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45" windowWidth="10200" windowHeight="8115" activeTab="2"/>
  </bookViews>
  <sheets>
    <sheet name="S1_EPB2010" sheetId="2" r:id="rId1"/>
    <sheet name="S2_1946-1970" sheetId="1" r:id="rId2"/>
    <sheet name="D" sheetId="10" r:id="rId3"/>
    <sheet name="SD" sheetId="7" r:id="rId4"/>
    <sheet name="T" sheetId="9" r:id="rId5"/>
  </sheets>
  <calcPr calcId="145621"/>
</workbook>
</file>

<file path=xl/calcChain.xml><?xml version="1.0" encoding="utf-8"?>
<calcChain xmlns="http://schemas.openxmlformats.org/spreadsheetml/2006/main">
  <c r="AE37" i="7" l="1"/>
  <c r="AA37" i="7"/>
  <c r="W37" i="9"/>
  <c r="W44" i="10"/>
  <c r="W69" i="10"/>
  <c r="W84" i="10"/>
  <c r="W80" i="10"/>
  <c r="W81" i="10" s="1"/>
  <c r="W78" i="10"/>
  <c r="W75" i="10"/>
  <c r="W77" i="10"/>
  <c r="W76" i="10"/>
  <c r="W70" i="10"/>
  <c r="W68" i="10"/>
  <c r="W49" i="10"/>
  <c r="W48" i="10"/>
  <c r="W47" i="10"/>
  <c r="W46" i="10"/>
  <c r="W45" i="10"/>
  <c r="W37" i="10"/>
  <c r="W36" i="10"/>
  <c r="W35" i="10"/>
  <c r="W34" i="10"/>
  <c r="S84" i="10"/>
  <c r="W86" i="10" s="1"/>
  <c r="S80" i="10"/>
  <c r="S81" i="10" s="1"/>
  <c r="S78" i="10"/>
  <c r="S77" i="10"/>
  <c r="S76" i="10"/>
  <c r="S75" i="10"/>
  <c r="S70" i="10"/>
  <c r="S69" i="10"/>
  <c r="S68" i="10"/>
  <c r="S49" i="10"/>
  <c r="S48" i="10"/>
  <c r="S47" i="10"/>
  <c r="S46" i="10"/>
  <c r="S45" i="10"/>
  <c r="S44" i="10"/>
  <c r="S37" i="10"/>
  <c r="S36" i="10"/>
  <c r="S35" i="10"/>
  <c r="S34" i="10"/>
  <c r="S10" i="10"/>
  <c r="S9" i="10"/>
  <c r="S8" i="10"/>
  <c r="S7" i="10"/>
  <c r="S5" i="10"/>
  <c r="S4" i="10"/>
  <c r="S3" i="10"/>
  <c r="S2" i="10"/>
  <c r="W85" i="10"/>
  <c r="S54" i="10"/>
  <c r="S58" i="10" s="1"/>
  <c r="S66" i="10" s="1"/>
  <c r="S16" i="10"/>
  <c r="S28" i="10" s="1"/>
  <c r="W10" i="10"/>
  <c r="W9" i="10"/>
  <c r="W8" i="10"/>
  <c r="W51" i="10" s="1"/>
  <c r="W55" i="10" s="1"/>
  <c r="W63" i="10" s="1"/>
  <c r="S51" i="10"/>
  <c r="S55" i="10" s="1"/>
  <c r="S63" i="10" s="1"/>
  <c r="W5" i="10"/>
  <c r="W54" i="10" s="1"/>
  <c r="W58" i="10" s="1"/>
  <c r="W66" i="10" s="1"/>
  <c r="W4" i="10"/>
  <c r="W3" i="10"/>
  <c r="W13" i="10" s="1"/>
  <c r="S13" i="10"/>
  <c r="W77" i="9"/>
  <c r="W75" i="9"/>
  <c r="W69" i="9"/>
  <c r="S78" i="9"/>
  <c r="S69" i="9"/>
  <c r="S75" i="9"/>
  <c r="W78" i="9"/>
  <c r="W47" i="9"/>
  <c r="S47" i="9"/>
  <c r="S25" i="10" l="1"/>
  <c r="S17" i="10"/>
  <c r="S29" i="10" s="1"/>
  <c r="W53" i="10"/>
  <c r="W57" i="10" s="1"/>
  <c r="W65" i="10" s="1"/>
  <c r="W15" i="10"/>
  <c r="W25" i="10"/>
  <c r="W17" i="10"/>
  <c r="W29" i="10" s="1"/>
  <c r="W7" i="10"/>
  <c r="S14" i="10"/>
  <c r="S52" i="10"/>
  <c r="S56" i="10" s="1"/>
  <c r="S64" i="10" s="1"/>
  <c r="S15" i="10"/>
  <c r="S53" i="10"/>
  <c r="S57" i="10" s="1"/>
  <c r="S65" i="10" s="1"/>
  <c r="S85" i="10"/>
  <c r="S20" i="10"/>
  <c r="S32" i="10" s="1"/>
  <c r="S86" i="10"/>
  <c r="W2" i="10"/>
  <c r="W16" i="10"/>
  <c r="W76" i="9"/>
  <c r="W70" i="9"/>
  <c r="W68" i="9"/>
  <c r="W48" i="9"/>
  <c r="W46" i="9"/>
  <c r="W44" i="9"/>
  <c r="W36" i="9"/>
  <c r="S80" i="9"/>
  <c r="S77" i="9"/>
  <c r="S68" i="9"/>
  <c r="S49" i="9"/>
  <c r="S48" i="9"/>
  <c r="S45" i="9"/>
  <c r="S44" i="9"/>
  <c r="S37" i="9"/>
  <c r="S35" i="9"/>
  <c r="S34" i="9"/>
  <c r="S14" i="9"/>
  <c r="S9" i="9"/>
  <c r="S7" i="9"/>
  <c r="S4" i="9"/>
  <c r="S2" i="9"/>
  <c r="AA54" i="7"/>
  <c r="AE86" i="7"/>
  <c r="AE85" i="7"/>
  <c r="AE84" i="7"/>
  <c r="AE80" i="7"/>
  <c r="AE81" i="7" s="1"/>
  <c r="AE78" i="7"/>
  <c r="AE77" i="7"/>
  <c r="AE76" i="7"/>
  <c r="AE75" i="7"/>
  <c r="AE70" i="7"/>
  <c r="AE69" i="7"/>
  <c r="AE68" i="7"/>
  <c r="AE53" i="7"/>
  <c r="AE57" i="7" s="1"/>
  <c r="AE65" i="7" s="1"/>
  <c r="AE52" i="7"/>
  <c r="AE56" i="7" s="1"/>
  <c r="AE64" i="7" s="1"/>
  <c r="AE49" i="7"/>
  <c r="AE48" i="7"/>
  <c r="AE47" i="7"/>
  <c r="AE46" i="7"/>
  <c r="AE45" i="7"/>
  <c r="AE44" i="7"/>
  <c r="AE36" i="7"/>
  <c r="AE35" i="7"/>
  <c r="AE34" i="7"/>
  <c r="AE13" i="7"/>
  <c r="AE25" i="7" s="1"/>
  <c r="AE10" i="7"/>
  <c r="AE9" i="7"/>
  <c r="AE8" i="7"/>
  <c r="AE51" i="7" s="1"/>
  <c r="AE55" i="7" s="1"/>
  <c r="AE63" i="7" s="1"/>
  <c r="AE7" i="7"/>
  <c r="AE5" i="7"/>
  <c r="AE54" i="7" s="1"/>
  <c r="AE58" i="7" s="1"/>
  <c r="AE66" i="7" s="1"/>
  <c r="AE4" i="7"/>
  <c r="AE15" i="7" s="1"/>
  <c r="AE3" i="7"/>
  <c r="AE2" i="7"/>
  <c r="AE14" i="7" s="1"/>
  <c r="W8" i="7"/>
  <c r="W9" i="7"/>
  <c r="W7" i="7"/>
  <c r="W3" i="7"/>
  <c r="W4" i="7"/>
  <c r="W2" i="7"/>
  <c r="W86" i="7"/>
  <c r="W85" i="7"/>
  <c r="W84" i="7"/>
  <c r="W81" i="7"/>
  <c r="W80" i="7"/>
  <c r="W78" i="7"/>
  <c r="W77" i="7"/>
  <c r="W76" i="7"/>
  <c r="W75" i="7"/>
  <c r="W70" i="7"/>
  <c r="W69" i="7"/>
  <c r="W68" i="7"/>
  <c r="W53" i="7"/>
  <c r="W57" i="7" s="1"/>
  <c r="W65" i="7" s="1"/>
  <c r="W52" i="7"/>
  <c r="W56" i="7" s="1"/>
  <c r="W64" i="7" s="1"/>
  <c r="W49" i="7"/>
  <c r="W48" i="7"/>
  <c r="W47" i="7"/>
  <c r="W46" i="7"/>
  <c r="W45" i="7"/>
  <c r="W44" i="7"/>
  <c r="W37" i="7"/>
  <c r="W36" i="7"/>
  <c r="W35" i="7"/>
  <c r="W34" i="7"/>
  <c r="W13" i="7"/>
  <c r="W17" i="7" s="1"/>
  <c r="W29" i="7" s="1"/>
  <c r="W10" i="7"/>
  <c r="W51" i="7"/>
  <c r="W55" i="7" s="1"/>
  <c r="W63" i="7" s="1"/>
  <c r="W5" i="7"/>
  <c r="W54" i="7" s="1"/>
  <c r="W58" i="7" s="1"/>
  <c r="W66" i="7" s="1"/>
  <c r="W15" i="7"/>
  <c r="W14" i="7"/>
  <c r="AA84" i="7"/>
  <c r="AA80" i="7"/>
  <c r="AA78" i="7"/>
  <c r="AA77" i="7"/>
  <c r="AA76" i="7"/>
  <c r="AA75" i="7"/>
  <c r="AA70" i="7"/>
  <c r="AA69" i="7"/>
  <c r="AA49" i="7"/>
  <c r="AA48" i="7"/>
  <c r="AA47" i="7"/>
  <c r="AA46" i="7"/>
  <c r="AA45" i="7"/>
  <c r="AA44" i="7"/>
  <c r="AA36" i="7"/>
  <c r="AA35" i="7"/>
  <c r="AA34" i="7"/>
  <c r="S44" i="7"/>
  <c r="S84" i="7"/>
  <c r="S80" i="7"/>
  <c r="S78" i="7"/>
  <c r="S77" i="7"/>
  <c r="S76" i="7"/>
  <c r="S70" i="7"/>
  <c r="S75" i="7"/>
  <c r="S69" i="7"/>
  <c r="S68" i="7"/>
  <c r="S49" i="7"/>
  <c r="S47" i="7"/>
  <c r="S46" i="7"/>
  <c r="S45" i="7"/>
  <c r="S48" i="7"/>
  <c r="S37" i="7"/>
  <c r="S36" i="7"/>
  <c r="S35" i="7"/>
  <c r="S34" i="7"/>
  <c r="S10" i="7"/>
  <c r="S9" i="7"/>
  <c r="S8" i="9"/>
  <c r="S8" i="7"/>
  <c r="S7" i="7"/>
  <c r="S5" i="7"/>
  <c r="S4" i="7"/>
  <c r="S3" i="9"/>
  <c r="S3" i="7"/>
  <c r="S2" i="7"/>
  <c r="W28" i="10" l="1"/>
  <c r="W20" i="10"/>
  <c r="W32" i="10" s="1"/>
  <c r="S26" i="10"/>
  <c r="S18" i="10"/>
  <c r="S30" i="10" s="1"/>
  <c r="W27" i="10"/>
  <c r="W19" i="10"/>
  <c r="W31" i="10" s="1"/>
  <c r="S27" i="10"/>
  <c r="S19" i="10"/>
  <c r="S31" i="10" s="1"/>
  <c r="W52" i="10"/>
  <c r="W56" i="10" s="1"/>
  <c r="W64" i="10" s="1"/>
  <c r="W14" i="10"/>
  <c r="AE26" i="7"/>
  <c r="AE18" i="7"/>
  <c r="AE30" i="7" s="1"/>
  <c r="AE27" i="7"/>
  <c r="AE19" i="7"/>
  <c r="AE31" i="7" s="1"/>
  <c r="AE16" i="7"/>
  <c r="AE17" i="7"/>
  <c r="AE29" i="7" s="1"/>
  <c r="W27" i="7"/>
  <c r="W19" i="7"/>
  <c r="W31" i="7" s="1"/>
  <c r="W26" i="7"/>
  <c r="W18" i="7"/>
  <c r="W30" i="7" s="1"/>
  <c r="W25" i="7"/>
  <c r="W16" i="7"/>
  <c r="AA3" i="7"/>
  <c r="W3" i="9"/>
  <c r="W10" i="9"/>
  <c r="W8" i="9"/>
  <c r="W51" i="9" s="1"/>
  <c r="W55" i="9" s="1"/>
  <c r="W63" i="9" s="1"/>
  <c r="W5" i="9"/>
  <c r="S51" i="7"/>
  <c r="S13" i="7"/>
  <c r="S25" i="7" s="1"/>
  <c r="W26" i="10" l="1"/>
  <c r="W18" i="10"/>
  <c r="W30" i="10" s="1"/>
  <c r="AE28" i="7"/>
  <c r="AE20" i="7"/>
  <c r="AE32" i="7" s="1"/>
  <c r="W28" i="7"/>
  <c r="W20" i="7"/>
  <c r="W32" i="7" s="1"/>
  <c r="W13" i="9"/>
  <c r="S51" i="9"/>
  <c r="S55" i="9" s="1"/>
  <c r="S63" i="9" s="1"/>
  <c r="W25" i="9"/>
  <c r="W17" i="9"/>
  <c r="W29" i="9" s="1"/>
  <c r="W54" i="9"/>
  <c r="W58" i="9" s="1"/>
  <c r="W66" i="9" s="1"/>
  <c r="W16" i="9"/>
  <c r="S13" i="9"/>
  <c r="S16" i="9"/>
  <c r="S54" i="9"/>
  <c r="S58" i="9" s="1"/>
  <c r="S66" i="9" s="1"/>
  <c r="AA8" i="7"/>
  <c r="AA51" i="7" s="1"/>
  <c r="AA55" i="7" s="1"/>
  <c r="AA63" i="7" s="1"/>
  <c r="AA13" i="7"/>
  <c r="AA25" i="7" s="1"/>
  <c r="S17" i="7"/>
  <c r="S29" i="7" s="1"/>
  <c r="B19" i="10"/>
  <c r="B18" i="10"/>
  <c r="M1" i="10"/>
  <c r="I19" i="1"/>
  <c r="H19" i="1"/>
  <c r="I18" i="1"/>
  <c r="I17" i="1"/>
  <c r="H17" i="1"/>
  <c r="I42" i="1"/>
  <c r="I46" i="2"/>
  <c r="I29" i="2"/>
  <c r="I48" i="1"/>
  <c r="H48" i="1"/>
  <c r="I47" i="1"/>
  <c r="H47" i="1"/>
  <c r="H44" i="1" s="1"/>
  <c r="I46" i="1"/>
  <c r="H46" i="1"/>
  <c r="H48" i="2"/>
  <c r="I37" i="1"/>
  <c r="I25" i="1"/>
  <c r="H25" i="1"/>
  <c r="I5" i="1"/>
  <c r="H50" i="1"/>
  <c r="H54" i="2"/>
  <c r="S25" i="9" l="1"/>
  <c r="S17" i="9"/>
  <c r="S29" i="9" s="1"/>
  <c r="S28" i="9"/>
  <c r="S20" i="9"/>
  <c r="S32" i="9" s="1"/>
  <c r="W28" i="9"/>
  <c r="W20" i="9"/>
  <c r="W32" i="9" s="1"/>
  <c r="S55" i="7"/>
  <c r="S63" i="7" s="1"/>
  <c r="AA17" i="7"/>
  <c r="AA29" i="7" s="1"/>
  <c r="I51" i="2"/>
  <c r="H51" i="2"/>
  <c r="I50" i="2"/>
  <c r="H50" i="2"/>
  <c r="I52" i="2"/>
  <c r="H52" i="2"/>
  <c r="C33" i="7" l="1"/>
  <c r="C34" i="7"/>
  <c r="C35" i="7"/>
  <c r="C36" i="7"/>
  <c r="C37" i="7"/>
  <c r="C39" i="7"/>
  <c r="C42" i="7"/>
  <c r="C41" i="7"/>
  <c r="C36" i="9"/>
  <c r="C35" i="9"/>
  <c r="C41" i="9"/>
  <c r="C39" i="9"/>
  <c r="C37" i="9"/>
  <c r="C38" i="9"/>
  <c r="C43" i="9"/>
  <c r="C44" i="9"/>
  <c r="C11" i="9" l="1"/>
  <c r="L7" i="9" s="1"/>
  <c r="C13" i="9" l="1"/>
  <c r="L9" i="9" s="1"/>
  <c r="C31" i="9"/>
  <c r="L14" i="9" s="1"/>
  <c r="B31" i="9"/>
  <c r="C28" i="7"/>
  <c r="L17" i="7" s="1"/>
  <c r="B28" i="7"/>
  <c r="B4" i="9"/>
  <c r="B3" i="9"/>
  <c r="B4" i="7"/>
  <c r="B3" i="7"/>
  <c r="C3" i="7" s="1"/>
  <c r="L19" i="7" s="1"/>
  <c r="D21" i="7"/>
  <c r="L3" i="7" s="1"/>
  <c r="D10" i="7"/>
  <c r="L5" i="7" s="1"/>
  <c r="D27" i="7"/>
  <c r="L18" i="7" s="1"/>
  <c r="G21" i="7"/>
  <c r="L1" i="7" s="1"/>
  <c r="D12" i="9"/>
  <c r="B24" i="9"/>
  <c r="L29" i="9" s="1"/>
  <c r="D29" i="9"/>
  <c r="L16" i="9" s="1"/>
  <c r="D23" i="9"/>
  <c r="G23" i="9"/>
  <c r="L1" i="9" s="1"/>
  <c r="B12" i="9"/>
  <c r="L19" i="9" s="1"/>
  <c r="B14" i="9"/>
  <c r="C3" i="9" l="1"/>
  <c r="L17" i="9" s="1"/>
  <c r="B5" i="9"/>
  <c r="C5" i="9" s="1"/>
  <c r="L2" i="9" s="1"/>
  <c r="B37" i="7"/>
  <c r="D14" i="9"/>
  <c r="L5" i="9" s="1"/>
  <c r="L4" i="9"/>
  <c r="L21" i="9"/>
  <c r="C23" i="9"/>
  <c r="C25" i="9" s="1"/>
  <c r="L3" i="9"/>
  <c r="B39" i="9"/>
  <c r="L28" i="9"/>
  <c r="L30" i="7"/>
  <c r="C12" i="9"/>
  <c r="D25" i="9"/>
  <c r="C17" i="9"/>
  <c r="L12" i="9" s="1"/>
  <c r="W7" i="9" s="1"/>
  <c r="C15" i="9"/>
  <c r="L11" i="9" s="1"/>
  <c r="W9" i="9" s="1"/>
  <c r="B15" i="9"/>
  <c r="B17" i="9"/>
  <c r="L23" i="9" s="1"/>
  <c r="W2" i="9" s="1"/>
  <c r="B21" i="9"/>
  <c r="B19" i="9"/>
  <c r="B27" i="9"/>
  <c r="B28" i="9"/>
  <c r="L27" i="9" s="1"/>
  <c r="B29" i="9"/>
  <c r="C30" i="9" s="1"/>
  <c r="L15" i="9" s="1"/>
  <c r="S70" i="9" s="1"/>
  <c r="B5" i="7"/>
  <c r="S76" i="9" l="1"/>
  <c r="S46" i="9"/>
  <c r="S36" i="9"/>
  <c r="W34" i="9"/>
  <c r="C4" i="9"/>
  <c r="L6" i="9" s="1"/>
  <c r="L25" i="9"/>
  <c r="B13" i="9"/>
  <c r="L20" i="9" s="1"/>
  <c r="B38" i="9"/>
  <c r="L26" i="9"/>
  <c r="B37" i="9"/>
  <c r="L13" i="9"/>
  <c r="B41" i="9"/>
  <c r="L22" i="9"/>
  <c r="B11" i="9"/>
  <c r="L18" i="9" s="1"/>
  <c r="B40" i="9"/>
  <c r="L30" i="9"/>
  <c r="L24" i="9"/>
  <c r="C14" i="9"/>
  <c r="L8" i="9"/>
  <c r="C5" i="7"/>
  <c r="B6" i="7"/>
  <c r="B26" i="7"/>
  <c r="L29" i="7" s="1"/>
  <c r="B25" i="7"/>
  <c r="D23" i="7"/>
  <c r="L4" i="7" s="1"/>
  <c r="B12" i="7"/>
  <c r="C9" i="7"/>
  <c r="D12" i="7"/>
  <c r="B15" i="7"/>
  <c r="C15" i="7"/>
  <c r="L16" i="7" s="1"/>
  <c r="C13" i="7"/>
  <c r="B13" i="7"/>
  <c r="C14" i="7"/>
  <c r="B14" i="7"/>
  <c r="B17" i="7"/>
  <c r="L27" i="7" s="1"/>
  <c r="B36" i="10"/>
  <c r="D36" i="10" s="1"/>
  <c r="B34" i="10"/>
  <c r="D34" i="10" s="1"/>
  <c r="E24" i="10"/>
  <c r="E22" i="10"/>
  <c r="E20" i="10"/>
  <c r="E18" i="10"/>
  <c r="E17" i="10"/>
  <c r="E16" i="10"/>
  <c r="E15" i="10"/>
  <c r="E14" i="10"/>
  <c r="E13" i="10"/>
  <c r="E9" i="10"/>
  <c r="E28" i="9"/>
  <c r="E27" i="9"/>
  <c r="E26" i="9"/>
  <c r="E24" i="9"/>
  <c r="G25" i="9"/>
  <c r="E22" i="9"/>
  <c r="E20" i="9"/>
  <c r="E19" i="9"/>
  <c r="E18" i="9"/>
  <c r="E17" i="9"/>
  <c r="E16" i="9"/>
  <c r="W35" i="9" l="1"/>
  <c r="W49" i="9"/>
  <c r="W45" i="9"/>
  <c r="W84" i="9"/>
  <c r="W80" i="9"/>
  <c r="W81" i="9" s="1"/>
  <c r="W4" i="9"/>
  <c r="W15" i="9" s="1"/>
  <c r="S15" i="9"/>
  <c r="S53" i="9"/>
  <c r="S57" i="9" s="1"/>
  <c r="S65" i="9" s="1"/>
  <c r="S52" i="9"/>
  <c r="S56" i="9" s="1"/>
  <c r="S64" i="9" s="1"/>
  <c r="S81" i="9"/>
  <c r="S84" i="9"/>
  <c r="B35" i="9"/>
  <c r="L10" i="9"/>
  <c r="B36" i="9"/>
  <c r="D36" i="9" s="1"/>
  <c r="L24" i="7"/>
  <c r="B39" i="7"/>
  <c r="B10" i="7"/>
  <c r="L21" i="7" s="1"/>
  <c r="L25" i="7"/>
  <c r="L23" i="7"/>
  <c r="AA2" i="7" s="1"/>
  <c r="C10" i="7"/>
  <c r="L11" i="7" s="1"/>
  <c r="L15" i="7"/>
  <c r="B27" i="7"/>
  <c r="B38" i="7" s="1"/>
  <c r="L28" i="7"/>
  <c r="B36" i="7"/>
  <c r="B11" i="7"/>
  <c r="L22" i="7" s="1"/>
  <c r="L26" i="7"/>
  <c r="C21" i="7"/>
  <c r="L14" i="7"/>
  <c r="C4" i="7"/>
  <c r="L2" i="7"/>
  <c r="C12" i="7"/>
  <c r="L13" i="7" s="1"/>
  <c r="L6" i="7"/>
  <c r="C11" i="7"/>
  <c r="L12" i="7" s="1"/>
  <c r="L10" i="7"/>
  <c r="C23" i="7"/>
  <c r="L9" i="7" s="1"/>
  <c r="B9" i="7"/>
  <c r="E12" i="10"/>
  <c r="E10" i="10"/>
  <c r="E26" i="10"/>
  <c r="E11" i="10"/>
  <c r="B32" i="10"/>
  <c r="D32" i="10" s="1"/>
  <c r="B35" i="10"/>
  <c r="D35" i="10" s="1"/>
  <c r="E25" i="10"/>
  <c r="E19" i="10"/>
  <c r="E21" i="10"/>
  <c r="E13" i="9"/>
  <c r="D41" i="9"/>
  <c r="E15" i="9"/>
  <c r="E25" i="9"/>
  <c r="E23" i="9"/>
  <c r="E12" i="9"/>
  <c r="E14" i="9"/>
  <c r="E21" i="9"/>
  <c r="D38" i="9"/>
  <c r="D39" i="9"/>
  <c r="S27" i="9" l="1"/>
  <c r="S19" i="9"/>
  <c r="S31" i="9" s="1"/>
  <c r="S26" i="9"/>
  <c r="S18" i="9"/>
  <c r="S30" i="9" s="1"/>
  <c r="W53" i="9"/>
  <c r="W57" i="9" s="1"/>
  <c r="W65" i="9" s="1"/>
  <c r="W85" i="9"/>
  <c r="W86" i="9"/>
  <c r="S85" i="9"/>
  <c r="S86" i="9"/>
  <c r="W52" i="9"/>
  <c r="W56" i="9" s="1"/>
  <c r="W64" i="9" s="1"/>
  <c r="W14" i="9"/>
  <c r="AA7" i="7"/>
  <c r="L31" i="7"/>
  <c r="B33" i="7"/>
  <c r="L20" i="7"/>
  <c r="L8" i="7"/>
  <c r="B35" i="7"/>
  <c r="B34" i="7"/>
  <c r="C6" i="7"/>
  <c r="L7" i="7"/>
  <c r="B6" i="10"/>
  <c r="B38" i="10" s="1"/>
  <c r="D38" i="10" s="1"/>
  <c r="E23" i="10"/>
  <c r="B33" i="10"/>
  <c r="D37" i="9"/>
  <c r="E11" i="9"/>
  <c r="D35" i="9"/>
  <c r="W26" i="9" l="1"/>
  <c r="W18" i="9"/>
  <c r="W30" i="9" s="1"/>
  <c r="W27" i="9"/>
  <c r="W19" i="9"/>
  <c r="W31" i="9" s="1"/>
  <c r="AA81" i="7"/>
  <c r="S54" i="7"/>
  <c r="S58" i="7" s="1"/>
  <c r="S66" i="7" s="1"/>
  <c r="AA5" i="7"/>
  <c r="AA9" i="7"/>
  <c r="AA68" i="7"/>
  <c r="S52" i="7"/>
  <c r="S56" i="7" s="1"/>
  <c r="S64" i="7" s="1"/>
  <c r="AA10" i="7"/>
  <c r="S15" i="7"/>
  <c r="AA4" i="7"/>
  <c r="AA15" i="7" s="1"/>
  <c r="S53" i="7"/>
  <c r="S57" i="7" s="1"/>
  <c r="S65" i="7" s="1"/>
  <c r="S14" i="7"/>
  <c r="S16" i="7"/>
  <c r="C6" i="10"/>
  <c r="B39" i="10" s="1"/>
  <c r="D33" i="10"/>
  <c r="B6" i="9"/>
  <c r="B43" i="9" s="1"/>
  <c r="D43" i="9" s="1"/>
  <c r="C6" i="9"/>
  <c r="B44" i="9" s="1"/>
  <c r="AA86" i="7" l="1"/>
  <c r="AA85" i="7"/>
  <c r="S27" i="7"/>
  <c r="S19" i="7"/>
  <c r="S31" i="7" s="1"/>
  <c r="S81" i="7"/>
  <c r="AA52" i="7"/>
  <c r="AA56" i="7" s="1"/>
  <c r="AA64" i="7" s="1"/>
  <c r="AA14" i="7"/>
  <c r="AA53" i="7"/>
  <c r="AA57" i="7" s="1"/>
  <c r="AA65" i="7" s="1"/>
  <c r="AA58" i="7"/>
  <c r="AA66" i="7" s="1"/>
  <c r="AA16" i="7"/>
  <c r="S26" i="7"/>
  <c r="S18" i="7"/>
  <c r="S30" i="7" s="1"/>
  <c r="S28" i="7"/>
  <c r="S20" i="7"/>
  <c r="S32" i="7" s="1"/>
  <c r="S86" i="7"/>
  <c r="S85" i="7"/>
  <c r="D39" i="10"/>
  <c r="D44" i="9"/>
  <c r="AA27" i="7" l="1"/>
  <c r="AA19" i="7"/>
  <c r="AA31" i="7" s="1"/>
  <c r="AA18" i="7"/>
  <c r="AA30" i="7" s="1"/>
  <c r="AA26" i="7"/>
  <c r="AA28" i="7"/>
  <c r="AA20" i="7"/>
  <c r="AA32" i="7" s="1"/>
  <c r="D39" i="7"/>
  <c r="D37" i="7"/>
  <c r="E26" i="7"/>
  <c r="E25" i="7"/>
  <c r="E24" i="7"/>
  <c r="E22" i="7"/>
  <c r="G23" i="7"/>
  <c r="E23" i="7"/>
  <c r="E20" i="7"/>
  <c r="E19" i="7"/>
  <c r="E18" i="7"/>
  <c r="E17" i="7"/>
  <c r="E16" i="7"/>
  <c r="E15" i="7"/>
  <c r="E14" i="7"/>
  <c r="E13" i="7"/>
  <c r="E11" i="7" l="1"/>
  <c r="E21" i="7"/>
  <c r="D34" i="7"/>
  <c r="D35" i="7"/>
  <c r="E12" i="7"/>
  <c r="E9" i="7"/>
  <c r="E10" i="7"/>
  <c r="D36" i="7"/>
  <c r="D33" i="7" l="1"/>
  <c r="B41" i="7"/>
  <c r="D41" i="7" s="1"/>
  <c r="B42" i="7" l="1"/>
  <c r="D42" i="7" l="1"/>
  <c r="H15" i="1" l="1"/>
  <c r="H46" i="2" l="1"/>
  <c r="H44" i="2"/>
  <c r="H42" i="1"/>
  <c r="H40" i="1" s="1"/>
  <c r="H29" i="2" l="1"/>
  <c r="I12" i="1" l="1"/>
  <c r="I13" i="2"/>
  <c r="I5" i="2"/>
  <c r="I42" i="2" l="1"/>
  <c r="H42" i="2"/>
  <c r="I41" i="2"/>
  <c r="H41" i="2"/>
  <c r="I40" i="2"/>
  <c r="H40" i="2"/>
  <c r="I39" i="2"/>
  <c r="H39" i="2"/>
  <c r="I35" i="2"/>
  <c r="H35" i="2"/>
  <c r="I34" i="2"/>
  <c r="H34" i="2"/>
  <c r="I33" i="2"/>
  <c r="H33" i="2"/>
  <c r="H31" i="2" s="1"/>
  <c r="I28" i="2"/>
  <c r="H28" i="2"/>
  <c r="I27" i="2"/>
  <c r="H27" i="2"/>
  <c r="I26" i="2"/>
  <c r="H26" i="2"/>
  <c r="I22" i="2"/>
  <c r="H22" i="2"/>
  <c r="I21" i="2"/>
  <c r="H21" i="2"/>
  <c r="I20" i="2"/>
  <c r="H20" i="2"/>
  <c r="I16" i="2"/>
  <c r="H16" i="2"/>
  <c r="I15" i="2"/>
  <c r="H15" i="2"/>
  <c r="I14" i="2"/>
  <c r="H14" i="2"/>
  <c r="I12" i="2"/>
  <c r="H12" i="2"/>
  <c r="I8" i="2"/>
  <c r="H8" i="2"/>
  <c r="I7" i="2"/>
  <c r="H7" i="2"/>
  <c r="I6" i="2"/>
  <c r="H6" i="2"/>
  <c r="I4" i="2"/>
  <c r="H4" i="2"/>
  <c r="I38" i="1"/>
  <c r="H38" i="1"/>
  <c r="H37" i="1"/>
  <c r="I36" i="1"/>
  <c r="H36" i="1"/>
  <c r="I35" i="1"/>
  <c r="H35" i="1"/>
  <c r="I31" i="1"/>
  <c r="H31" i="1"/>
  <c r="I30" i="1"/>
  <c r="H30" i="1"/>
  <c r="I29" i="1"/>
  <c r="H29" i="1"/>
  <c r="I13" i="1"/>
  <c r="H13" i="1"/>
  <c r="I11" i="1"/>
  <c r="H11" i="1"/>
  <c r="I24" i="1"/>
  <c r="H24" i="1"/>
  <c r="I23" i="1"/>
  <c r="H23" i="1"/>
  <c r="I7" i="1"/>
  <c r="H7" i="1"/>
  <c r="I6" i="1"/>
  <c r="H6" i="1"/>
  <c r="I4" i="1"/>
  <c r="H4" i="1"/>
  <c r="H18" i="2" l="1"/>
  <c r="H10" i="2"/>
  <c r="H37" i="2"/>
  <c r="H24" i="2"/>
  <c r="H2" i="2"/>
  <c r="H2" i="1"/>
  <c r="H9" i="1"/>
  <c r="H21" i="1"/>
  <c r="H27" i="1"/>
  <c r="H33" i="1"/>
</calcChain>
</file>

<file path=xl/comments1.xml><?xml version="1.0" encoding="utf-8"?>
<comments xmlns="http://schemas.openxmlformats.org/spreadsheetml/2006/main">
  <authors>
    <author>Christina Protopapadaki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This was wrong (d=0.6!) in the model. Now corrected.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
</t>
        </r>
      </text>
    </comment>
  </commentList>
</comments>
</file>

<file path=xl/comments2.xml><?xml version="1.0" encoding="utf-8"?>
<comments xmlns="http://schemas.openxmlformats.org/spreadsheetml/2006/main">
  <authors>
    <author>Christina Protopapadaki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Christina Protopapadaki:</t>
        </r>
        <r>
          <rPr>
            <sz val="9"/>
            <color indexed="81"/>
            <rFont val="Tahoma"/>
            <family val="2"/>
          </rPr>
          <t xml:space="preserve">
Not given in document
</t>
        </r>
      </text>
    </comment>
  </commentList>
</comments>
</file>

<file path=xl/comments3.xml><?xml version="1.0" encoding="utf-8"?>
<comments xmlns="http://schemas.openxmlformats.org/spreadsheetml/2006/main">
  <authors>
    <author>Christina Protopapadaki</author>
  </authors>
  <commentList>
    <comment ref="C28" authorId="0">
      <text>
        <r>
          <rPr>
            <b/>
            <sz val="9"/>
            <color indexed="81"/>
            <rFont val="Tahoma"/>
            <charset val="1"/>
          </rPr>
          <t>Christina Protopapadaki:</t>
        </r>
        <r>
          <rPr>
            <sz val="9"/>
            <color indexed="81"/>
            <rFont val="Tahoma"/>
            <charset val="1"/>
          </rPr>
          <t xml:space="preserve">
I don't substract the doors because I haven't "cut" the corners because of the roof either</t>
        </r>
      </text>
    </comment>
  </commentList>
</comments>
</file>

<file path=xl/comments4.xml><?xml version="1.0" encoding="utf-8"?>
<comments xmlns="http://schemas.openxmlformats.org/spreadsheetml/2006/main">
  <authors>
    <author>bwf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bwf:</t>
        </r>
        <r>
          <rPr>
            <sz val="9"/>
            <color indexed="81"/>
            <rFont val="Tahoma"/>
            <family val="2"/>
          </rPr>
          <t xml:space="preserve">
The edges to heated are not taken into account. Here: the neighbors</t>
        </r>
      </text>
    </comment>
  </commentList>
</comments>
</file>

<file path=xl/sharedStrings.xml><?xml version="1.0" encoding="utf-8"?>
<sst xmlns="http://schemas.openxmlformats.org/spreadsheetml/2006/main" count="2707" uniqueCount="238">
  <si>
    <t>W/m²K</t>
  </si>
  <si>
    <t>Wall external</t>
  </si>
  <si>
    <t>U=</t>
  </si>
  <si>
    <t>layers</t>
  </si>
  <si>
    <t>d [m]</t>
  </si>
  <si>
    <t>λ[W/mK]</t>
  </si>
  <si>
    <t>ρ [kg/m³]</t>
  </si>
  <si>
    <t>c [J/kgK]</t>
  </si>
  <si>
    <t>R [m²K/W]</t>
  </si>
  <si>
    <t>C [J/m²K]</t>
  </si>
  <si>
    <t>Air cavity</t>
  </si>
  <si>
    <t>Plaster</t>
  </si>
  <si>
    <t>Floor</t>
  </si>
  <si>
    <t>Tiles</t>
  </si>
  <si>
    <t>Screed</t>
  </si>
  <si>
    <t>Concrete</t>
  </si>
  <si>
    <t>Roof</t>
  </si>
  <si>
    <t>Wall internal</t>
  </si>
  <si>
    <t>High density brick</t>
  </si>
  <si>
    <t>Floor internal</t>
  </si>
  <si>
    <t>Wooden floor</t>
  </si>
  <si>
    <t>MW</t>
  </si>
  <si>
    <t>Low density brick</t>
  </si>
  <si>
    <t>Flat Roof</t>
  </si>
  <si>
    <t>Lightweight concrete</t>
  </si>
  <si>
    <t>XPS</t>
  </si>
  <si>
    <t>High density brick 2</t>
  </si>
  <si>
    <t>Wood</t>
  </si>
  <si>
    <t>Gypsum board</t>
  </si>
  <si>
    <t>Door</t>
  </si>
  <si>
    <t>door non-ins</t>
  </si>
  <si>
    <t>door ins</t>
  </si>
  <si>
    <t>Floor area</t>
  </si>
  <si>
    <t>Volume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</si>
  <si>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rgb="FF000000"/>
        <rFont val="Calibri"/>
        <family val="2"/>
        <charset val="1"/>
      </rPr>
      <t>=</t>
    </r>
  </si>
  <si>
    <t>Day zone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</si>
  <si>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rgb="FF000000"/>
        <rFont val="Calibri"/>
        <family val="2"/>
        <charset val="1"/>
      </rPr>
      <t>=</t>
    </r>
  </si>
  <si>
    <t>Night zone</t>
  </si>
  <si>
    <t>Total</t>
  </si>
  <si>
    <t>Awall_South</t>
  </si>
  <si>
    <t>Awall_West</t>
  </si>
  <si>
    <t>Awall_North</t>
  </si>
  <si>
    <t>Awall_East</t>
  </si>
  <si>
    <t>Awind_South</t>
  </si>
  <si>
    <t>Awind_West</t>
  </si>
  <si>
    <t>Awind_North</t>
  </si>
  <si>
    <t>Awind_East</t>
  </si>
  <si>
    <t>Adoor_South</t>
  </si>
  <si>
    <t>Adoor_West</t>
  </si>
  <si>
    <t>Adoor_North</t>
  </si>
  <si>
    <t>Adoor_East</t>
  </si>
  <si>
    <t>Aroof_South</t>
  </si>
  <si>
    <t>φ=</t>
  </si>
  <si>
    <t>Aroof_West</t>
  </si>
  <si>
    <t>Aroof_North</t>
  </si>
  <si>
    <t>Aroof_East</t>
  </si>
  <si>
    <t>Afloor_ground</t>
  </si>
  <si>
    <t>PerimFloor_gr</t>
  </si>
  <si>
    <t>Afloor_comm_NZ</t>
  </si>
  <si>
    <t>-</t>
  </si>
  <si>
    <t>Awall_int</t>
  </si>
  <si>
    <t>% difference</t>
  </si>
  <si>
    <r>
      <t>Total Wall Area*</t>
    </r>
    <r>
      <rPr>
        <sz val="11"/>
        <color rgb="FF000000"/>
        <rFont val="Calibri"/>
        <family val="2"/>
        <charset val="1"/>
      </rPr>
      <t>include door</t>
    </r>
  </si>
  <si>
    <t>Total Roof</t>
  </si>
  <si>
    <t>Total floor on ground</t>
  </si>
  <si>
    <t>Total Int wall</t>
  </si>
  <si>
    <t>Total Int floor</t>
  </si>
  <si>
    <t>Total Windows</t>
  </si>
  <si>
    <t>Overall</t>
  </si>
  <si>
    <t>OK</t>
  </si>
  <si>
    <t>Wall to adjacent</t>
  </si>
  <si>
    <t>Awall_West   *adj</t>
  </si>
  <si>
    <t>Awall_East    *adj</t>
  </si>
  <si>
    <t>λ [W/mK]</t>
  </si>
  <si>
    <t>Unheated</t>
  </si>
  <si>
    <t>Liège totals</t>
  </si>
  <si>
    <r>
      <t>h</t>
    </r>
    <r>
      <rPr>
        <vertAlign val="subscript"/>
        <sz val="11"/>
        <color theme="1"/>
        <rFont val="Calibri"/>
        <family val="2"/>
        <scheme val="minor"/>
      </rPr>
      <t>1u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</si>
  <si>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attic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</si>
  <si>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1d</t>
    </r>
    <r>
      <rPr>
        <sz val="11"/>
        <color rgb="FF000000"/>
        <rFont val="Calibri"/>
        <family val="2"/>
        <charset val="1"/>
      </rPr>
      <t>=</t>
    </r>
  </si>
  <si>
    <t>length=</t>
  </si>
  <si>
    <t>depth=</t>
  </si>
  <si>
    <r>
      <t>h</t>
    </r>
    <r>
      <rPr>
        <vertAlign val="subscript"/>
        <sz val="11"/>
        <color theme="1"/>
        <rFont val="Calibri"/>
        <family val="2"/>
        <scheme val="minor"/>
      </rPr>
      <t>night</t>
    </r>
    <r>
      <rPr>
        <sz val="11"/>
        <color rgb="FF000000"/>
        <rFont val="Calibri"/>
        <family val="2"/>
        <charset val="1"/>
      </rPr>
      <t>=</t>
    </r>
  </si>
  <si>
    <t>Afloor_int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</si>
  <si>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night</t>
    </r>
    <r>
      <rPr>
        <sz val="11"/>
        <color rgb="FF000000"/>
        <rFont val="Calibri"/>
        <family val="2"/>
        <charset val="1"/>
      </rPr>
      <t>=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</si>
  <si>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attic</t>
    </r>
    <r>
      <rPr>
        <sz val="11"/>
        <color rgb="FF000000"/>
        <rFont val="Calibri"/>
        <family val="2"/>
        <charset val="1"/>
      </rPr>
      <t>=</t>
    </r>
  </si>
  <si>
    <t>length</t>
  </si>
  <si>
    <t>width</t>
  </si>
  <si>
    <t>Heated</t>
  </si>
  <si>
    <t>Roof_incl</t>
  </si>
  <si>
    <t>A_Volume</t>
  </si>
  <si>
    <t>A_Aroof</t>
  </si>
  <si>
    <t>A_Awall_west </t>
  </si>
  <si>
    <t>A_Awall_east </t>
  </si>
  <si>
    <t>N_Volume</t>
  </si>
  <si>
    <t>N_Awall_south </t>
  </si>
  <si>
    <t>N_Awall_west </t>
  </si>
  <si>
    <t>N_Awall_north </t>
  </si>
  <si>
    <t>N_Awall_east </t>
  </si>
  <si>
    <t>N_Awind_south </t>
  </si>
  <si>
    <t>N_Awind_north </t>
  </si>
  <si>
    <t>N_Aroof </t>
  </si>
  <si>
    <t>N_Aintwalls </t>
  </si>
  <si>
    <t>N_Aintfloor </t>
  </si>
  <si>
    <t>N_A_Acommonfloor </t>
  </si>
  <si>
    <t>D_Volume</t>
  </si>
  <si>
    <t>D_Awall_south </t>
  </si>
  <si>
    <t>D_Awall_west </t>
  </si>
  <si>
    <t>D_Awall_north </t>
  </si>
  <si>
    <t>D_Awall_east </t>
  </si>
  <si>
    <t>D_Awind_south </t>
  </si>
  <si>
    <t>D_Awind_north </t>
  </si>
  <si>
    <r>
      <t> D_Adoor_south</t>
    </r>
    <r>
      <rPr>
        <sz val="8.25"/>
        <color rgb="FF006400"/>
        <rFont val="Courier New,courier"/>
      </rPr>
      <t/>
    </r>
  </si>
  <si>
    <t>D_Adoor_north</t>
  </si>
  <si>
    <t>D_Afloor</t>
  </si>
  <si>
    <t>D_Pfloor </t>
  </si>
  <si>
    <t> D_Aintwalls </t>
  </si>
  <si>
    <t> D_N_Acommonfloor </t>
  </si>
  <si>
    <r>
      <t>D_Aroof </t>
    </r>
    <r>
      <rPr>
        <sz val="8.25"/>
        <color rgb="FF006400"/>
        <rFont val="Courier New,courier"/>
      </rPr>
      <t/>
    </r>
  </si>
  <si>
    <t>=</t>
  </si>
  <si>
    <t>;</t>
  </si>
  <si>
    <t>A_Aroof_south</t>
  </si>
  <si>
    <t>A_Aroof_north</t>
  </si>
  <si>
    <t>A_Awall_comm</t>
  </si>
  <si>
    <t>N_Aroof _south</t>
  </si>
  <si>
    <t>N_Aroof _north</t>
  </si>
  <si>
    <t>N_Awind_west</t>
  </si>
  <si>
    <t>D_Awall_comm</t>
  </si>
  <si>
    <t>D_Awind_west</t>
  </si>
  <si>
    <r>
      <t> D_Adoor</t>
    </r>
    <r>
      <rPr>
        <sz val="8.25"/>
        <color rgb="FF006400"/>
        <rFont val="Courier New,courier"/>
      </rPr>
      <t/>
    </r>
  </si>
  <si>
    <t>parameter </t>
  </si>
  <si>
    <t>Modelica.SIunits.Area</t>
  </si>
  <si>
    <t>Modelica.SIunits.Angle</t>
  </si>
  <si>
    <t>Modelica.SIunits.Volume</t>
  </si>
  <si>
    <t>Modelica.SIunits.Length</t>
  </si>
  <si>
    <t>N_Awall_comm</t>
  </si>
  <si>
    <t>Attic floor</t>
  </si>
  <si>
    <t>Window</t>
  </si>
  <si>
    <t xml:space="preserve"> g-value=</t>
  </si>
  <si>
    <t>Uglaz=</t>
  </si>
  <si>
    <t>Uwind=</t>
  </si>
  <si>
    <t>f=</t>
  </si>
  <si>
    <t>Uframe=</t>
  </si>
  <si>
    <t>Tiled roof 1</t>
  </si>
  <si>
    <t>Tiled roof 2</t>
  </si>
  <si>
    <t>In red the differences compared to the values given in the document. Actually only the R and C values that were not corrected.</t>
  </si>
  <si>
    <t>I got the model of the Detached building where the areas were still as parameters, in case you want to use it</t>
  </si>
  <si>
    <t>N_Awind_east</t>
  </si>
  <si>
    <t>N_Aroof_south</t>
  </si>
  <si>
    <t>N_Aroof_north</t>
  </si>
  <si>
    <t>D_Awind_east</t>
  </si>
  <si>
    <t>each door</t>
  </si>
  <si>
    <t>D_N_Acommonfloor </t>
  </si>
  <si>
    <t>D_Aintwalls </t>
  </si>
  <si>
    <r>
      <t>D_Adoor</t>
    </r>
    <r>
      <rPr>
        <sz val="8.25"/>
        <color rgb="FF006400"/>
        <rFont val="Courier New,courier"/>
      </rPr>
      <t/>
    </r>
  </si>
  <si>
    <t>//Parameters in model</t>
  </si>
  <si>
    <t>parameter Real AwinNDay</t>
  </si>
  <si>
    <t>parameter Real AwinEDay</t>
  </si>
  <si>
    <t>parameter Real AwinSDay</t>
  </si>
  <si>
    <t>parameter Real AwinWDay</t>
  </si>
  <si>
    <t>parameter Real AwinNNight</t>
  </si>
  <si>
    <t>parameter Real AwinENight</t>
  </si>
  <si>
    <t>parameter Real AwinSNight</t>
  </si>
  <si>
    <t>parameter Real AwinWNight</t>
  </si>
  <si>
    <t> parameter Real     CiD </t>
  </si>
  <si>
    <t> parameter Real     CwD </t>
  </si>
  <si>
    <t> parameter Real     CwiD </t>
  </si>
  <si>
    <t> parameter Real     CflD </t>
  </si>
  <si>
    <t> parameter Real     f1D </t>
  </si>
  <si>
    <t> parameter Real     f2D </t>
  </si>
  <si>
    <t> parameter Real     f3D </t>
  </si>
  <si>
    <t> parameter Real     f4D </t>
  </si>
  <si>
    <t> parameter Real     hwD </t>
  </si>
  <si>
    <t> parameter Real     hflD </t>
  </si>
  <si>
    <t> parameter Real     hwiD </t>
  </si>
  <si>
    <t> parameter Real     infD </t>
  </si>
  <si>
    <t> parameter Real     UwD </t>
  </si>
  <si>
    <t> parameter Real     UflD </t>
  </si>
  <si>
    <t> parameter Real     CiN </t>
  </si>
  <si>
    <t> parameter Real     CwN </t>
  </si>
  <si>
    <t> parameter Real     CwiN </t>
  </si>
  <si>
    <t> parameter Real     f1N </t>
  </si>
  <si>
    <t> parameter Real     f2N </t>
  </si>
  <si>
    <t> parameter Real     f3N </t>
  </si>
  <si>
    <t> parameter Real     hwN </t>
  </si>
  <si>
    <t> parameter Real     hwiN </t>
  </si>
  <si>
    <t> parameter Real     infN </t>
  </si>
  <si>
    <t> parameter Real     UwN </t>
  </si>
  <si>
    <t> parameter Real     CfiD </t>
  </si>
  <si>
    <t> parameter Real     CfiN </t>
  </si>
  <si>
    <t> parameter Real     f5D </t>
  </si>
  <si>
    <t> parameter Real     f5N </t>
  </si>
  <si>
    <t> parameter Real     UfDN </t>
  </si>
  <si>
    <t> parameter Real     Ufi </t>
  </si>
  <si>
    <t> parameter Real     UfND </t>
  </si>
  <si>
    <t>parameter Real abs1ED </t>
  </si>
  <si>
    <t>parameter Real abs1ND </t>
  </si>
  <si>
    <t>parameter Real abs1SD </t>
  </si>
  <si>
    <t>parameter Real abs1WD </t>
  </si>
  <si>
    <t>parameter Real abs2ED </t>
  </si>
  <si>
    <t>parameter Real abs2ND </t>
  </si>
  <si>
    <t>parameter Real abs2SD </t>
  </si>
  <si>
    <t>parameter Real abs2WD </t>
  </si>
  <si>
    <t>parameter Real abs3ED </t>
  </si>
  <si>
    <t>parameter Real abs3ND </t>
  </si>
  <si>
    <t>parameter Real abs3SD </t>
  </si>
  <si>
    <t>parameter Real abs3WD </t>
  </si>
  <si>
    <t>parameter Real abs4ED </t>
  </si>
  <si>
    <t>parameter Real abs4ND </t>
  </si>
  <si>
    <t>parameter Real abs4SD </t>
  </si>
  <si>
    <t>parameter Real abs4WD </t>
  </si>
  <si>
    <t>parameter Real abs5ED </t>
  </si>
  <si>
    <t>parameter Real abs5ND </t>
  </si>
  <si>
    <t>parameter Real abs5SD </t>
  </si>
  <si>
    <t>parameter Real abs5WD </t>
  </si>
  <si>
    <t>parameter Real abs1EN </t>
  </si>
  <si>
    <t>parameter Real abs1NN </t>
  </si>
  <si>
    <t>parameter Real abs1SN </t>
  </si>
  <si>
    <t>parameter Real abs1WN </t>
  </si>
  <si>
    <t>parameter Real abs2EN</t>
  </si>
  <si>
    <t>parameter Real abs2NN </t>
  </si>
  <si>
    <t>parameter Real abs2SN</t>
  </si>
  <si>
    <t>parameter Real abs2WN </t>
  </si>
  <si>
    <t>parameter Real abs3EN</t>
  </si>
  <si>
    <t>parameter Real abs3NN</t>
  </si>
  <si>
    <t>parameter Real abs3SN</t>
  </si>
  <si>
    <t>parameter Real abs3WN</t>
  </si>
  <si>
    <t>parameter Real abs5EN</t>
  </si>
  <si>
    <t>parameter Real abs5NN</t>
  </si>
  <si>
    <t>parameter Real abs5SN</t>
  </si>
  <si>
    <t>parameter Real abs5WN</t>
  </si>
  <si>
    <t>Parameter reduced order T1</t>
  </si>
  <si>
    <t>Parameter reduced order T2</t>
  </si>
  <si>
    <t>Parameter reduced order SL1</t>
  </si>
  <si>
    <t>Parameter reduced order SL2</t>
  </si>
  <si>
    <t>Parameter reduced order SR1</t>
  </si>
  <si>
    <t>Parameter reduced order SR2</t>
  </si>
  <si>
    <t>Parameter reduced order D1</t>
  </si>
  <si>
    <t>Parameter reduced order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</si>
</sst>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"/>
    <numFmt numFmtId="165" formatCode="#,##0.000"/>
    <numFmt numFmtId="166" formatCode="0.0"/>
    <numFmt numFmtId="167" formatCode="_([$€]* #,##0.00_);_([$€]* \(#,##0.00\);_([$€]* &quot;-&quot;??_);_(@_)"/>
    <numFmt numFmtId="168" formatCode="0.000E+00"/>
  </numFmts>
  <fonts count="4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0"/>
      <name val="Arial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ahoma"/>
      <family val="2"/>
    </font>
    <font>
      <sz val="8"/>
      <color indexed="12"/>
      <name val="Tahoma"/>
      <family val="2"/>
    </font>
    <font>
      <b/>
      <sz val="10"/>
      <color indexed="9"/>
      <name val="Tahoma"/>
      <family val="2"/>
    </font>
    <font>
      <u/>
      <sz val="10"/>
      <color indexed="12"/>
      <name val="Arial"/>
      <family val="2"/>
    </font>
    <font>
      <b/>
      <sz val="8"/>
      <color indexed="9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.25"/>
      <color rgb="FF000000"/>
      <name val="Courier New,courier"/>
    </font>
    <font>
      <sz val="8.25"/>
      <color rgb="FF006400"/>
      <name val="Courier New,courier"/>
    </font>
    <font>
      <sz val="8.25"/>
      <color rgb="FF0000FF"/>
      <name val="Courier New,courier"/>
    </font>
    <font>
      <sz val="11"/>
      <color rgb="FF000000"/>
      <name val="Calibri"/>
      <family val="2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CC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43" fontId="15" fillId="0" borderId="0" applyBorder="0" applyAlignment="0" applyProtection="0"/>
    <xf numFmtId="0" fontId="16" fillId="0" borderId="0"/>
    <xf numFmtId="0" fontId="9" fillId="4" borderId="1" applyNumberFormat="0" applyFont="0" applyAlignment="0" applyProtection="0"/>
    <xf numFmtId="43" fontId="17" fillId="0" borderId="0" applyBorder="0" applyAlignment="0" applyProtection="0"/>
    <xf numFmtId="0" fontId="8" fillId="0" borderId="0"/>
    <xf numFmtId="0" fontId="25" fillId="0" borderId="0">
      <alignment vertical="center"/>
    </xf>
    <xf numFmtId="0" fontId="25" fillId="0" borderId="32">
      <alignment horizontal="left" vertical="center" wrapText="1"/>
    </xf>
    <xf numFmtId="0" fontId="28" fillId="6" borderId="33" applyFont="0" applyFill="0" applyBorder="0" applyAlignment="0">
      <alignment horizontal="left" vertical="top" wrapText="1"/>
    </xf>
    <xf numFmtId="0" fontId="29" fillId="7" borderId="32">
      <alignment vertical="center" shrinkToFit="1"/>
      <protection locked="0"/>
    </xf>
    <xf numFmtId="0" fontId="25" fillId="8" borderId="32">
      <alignment horizontal="center" vertical="center"/>
      <protection locked="0"/>
    </xf>
    <xf numFmtId="0" fontId="29" fillId="7" borderId="32">
      <alignment horizontal="center" vertical="center" shrinkToFit="1"/>
      <protection locked="0"/>
    </xf>
    <xf numFmtId="0" fontId="29" fillId="7" borderId="32">
      <alignment vertical="center" wrapText="1" shrinkToFit="1"/>
      <protection locked="0"/>
    </xf>
    <xf numFmtId="167" fontId="25" fillId="0" borderId="0" applyFont="0" applyFill="0" applyBorder="0" applyAlignment="0" applyProtection="0">
      <alignment vertical="center"/>
    </xf>
    <xf numFmtId="0" fontId="25" fillId="9" borderId="32">
      <alignment horizontal="center" vertical="center"/>
    </xf>
    <xf numFmtId="0" fontId="25" fillId="9" borderId="32">
      <alignment horizontal="center" vertical="center"/>
    </xf>
    <xf numFmtId="0" fontId="30" fillId="10" borderId="0">
      <alignment horizontal="left" vertical="center" indent="1"/>
    </xf>
    <xf numFmtId="0" fontId="28" fillId="6" borderId="33">
      <alignment horizontal="left" vertical="top" wrapText="1"/>
    </xf>
    <xf numFmtId="0" fontId="31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>
      <alignment vertical="center"/>
    </xf>
    <xf numFmtId="0" fontId="32" fillId="11" borderId="0">
      <alignment horizontal="left" vertical="center" indent="1"/>
    </xf>
    <xf numFmtId="0" fontId="7" fillId="2" borderId="0" applyNumberFormat="0" applyBorder="0" applyAlignment="0" applyProtection="0"/>
    <xf numFmtId="0" fontId="6" fillId="0" borderId="0"/>
    <xf numFmtId="0" fontId="6" fillId="2" borderId="0" applyNumberFormat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11" fillId="0" borderId="0" xfId="2" applyFont="1" applyFill="1" applyBorder="1" applyAlignment="1" applyProtection="1"/>
    <xf numFmtId="2" fontId="0" fillId="0" borderId="0" xfId="0" applyNumberFormat="1"/>
    <xf numFmtId="0" fontId="0" fillId="0" borderId="5" xfId="0" applyBorder="1"/>
    <xf numFmtId="0" fontId="12" fillId="0" borderId="6" xfId="0" applyFont="1" applyBorder="1"/>
    <xf numFmtId="0" fontId="12" fillId="0" borderId="7" xfId="0" applyFont="1" applyBorder="1"/>
    <xf numFmtId="0" fontId="0" fillId="0" borderId="8" xfId="0" applyBorder="1"/>
    <xf numFmtId="0" fontId="0" fillId="0" borderId="0" xfId="0" applyFont="1" applyBorder="1"/>
    <xf numFmtId="164" fontId="0" fillId="0" borderId="0" xfId="0" applyNumberFormat="1" applyBorder="1"/>
    <xf numFmtId="0" fontId="0" fillId="0" borderId="9" xfId="0" applyBorder="1"/>
    <xf numFmtId="165" fontId="0" fillId="0" borderId="0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2" fontId="0" fillId="0" borderId="0" xfId="0" applyNumberFormat="1" applyBorder="1"/>
    <xf numFmtId="0" fontId="0" fillId="0" borderId="11" xfId="0" applyFont="1" applyBorder="1"/>
    <xf numFmtId="0" fontId="0" fillId="0" borderId="8" xfId="0" applyFont="1" applyBorder="1"/>
    <xf numFmtId="0" fontId="13" fillId="0" borderId="0" xfId="0" applyFont="1" applyFill="1" applyBorder="1"/>
    <xf numFmtId="0" fontId="14" fillId="0" borderId="0" xfId="0" applyFont="1" applyFill="1" applyBorder="1"/>
    <xf numFmtId="164" fontId="13" fillId="0" borderId="0" xfId="0" applyNumberFormat="1" applyFont="1" applyFill="1" applyBorder="1"/>
    <xf numFmtId="0" fontId="13" fillId="0" borderId="9" xfId="0" applyFont="1" applyFill="1" applyBorder="1"/>
    <xf numFmtId="0" fontId="10" fillId="0" borderId="13" xfId="1" applyBorder="1"/>
    <xf numFmtId="0" fontId="9" fillId="2" borderId="5" xfId="3" applyBorder="1"/>
    <xf numFmtId="0" fontId="9" fillId="2" borderId="6" xfId="3" applyBorder="1"/>
    <xf numFmtId="0" fontId="9" fillId="2" borderId="6" xfId="3" applyBorder="1" applyAlignment="1">
      <alignment horizontal="right"/>
    </xf>
    <xf numFmtId="2" fontId="9" fillId="2" borderId="6" xfId="3" applyNumberFormat="1" applyBorder="1" applyAlignment="1">
      <alignment horizontal="center"/>
    </xf>
    <xf numFmtId="0" fontId="9" fillId="2" borderId="7" xfId="3" applyBorder="1"/>
    <xf numFmtId="0" fontId="10" fillId="0" borderId="0" xfId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6" xfId="0" applyBorder="1"/>
    <xf numFmtId="0" fontId="13" fillId="2" borderId="5" xfId="3" applyFont="1" applyBorder="1"/>
    <xf numFmtId="0" fontId="14" fillId="2" borderId="6" xfId="3" applyFont="1" applyBorder="1"/>
    <xf numFmtId="164" fontId="9" fillId="2" borderId="6" xfId="3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2" fontId="18" fillId="2" borderId="6" xfId="3" applyNumberFormat="1" applyFont="1" applyBorder="1" applyAlignment="1">
      <alignment horizontal="center"/>
    </xf>
    <xf numFmtId="0" fontId="19" fillId="0" borderId="0" xfId="0" applyFont="1" applyBorder="1"/>
    <xf numFmtId="2" fontId="0" fillId="0" borderId="11" xfId="0" applyNumberFormat="1" applyBorder="1"/>
    <xf numFmtId="164" fontId="13" fillId="0" borderId="0" xfId="0" applyNumberFormat="1" applyFont="1" applyBorder="1"/>
    <xf numFmtId="0" fontId="13" fillId="0" borderId="9" xfId="0" applyFont="1" applyBorder="1"/>
    <xf numFmtId="0" fontId="13" fillId="0" borderId="0" xfId="0" applyFont="1" applyBorder="1"/>
    <xf numFmtId="1" fontId="19" fillId="0" borderId="9" xfId="0" applyNumberFormat="1" applyFont="1" applyBorder="1"/>
    <xf numFmtId="0" fontId="19" fillId="0" borderId="12" xfId="0" applyFont="1" applyBorder="1"/>
    <xf numFmtId="0" fontId="19" fillId="0" borderId="11" xfId="0" applyFont="1" applyBorder="1"/>
    <xf numFmtId="0" fontId="8" fillId="2" borderId="5" xfId="3" applyFont="1" applyBorder="1"/>
    <xf numFmtId="0" fontId="7" fillId="2" borderId="5" xfId="27" applyBorder="1"/>
    <xf numFmtId="0" fontId="0" fillId="0" borderId="5" xfId="0" applyFill="1" applyBorder="1"/>
    <xf numFmtId="0" fontId="12" fillId="0" borderId="6" xfId="0" applyFont="1" applyFill="1" applyBorder="1"/>
    <xf numFmtId="0" fontId="12" fillId="0" borderId="7" xfId="0" applyFont="1" applyFill="1" applyBorder="1"/>
    <xf numFmtId="0" fontId="0" fillId="0" borderId="8" xfId="0" applyFill="1" applyBorder="1"/>
    <xf numFmtId="0" fontId="0" fillId="0" borderId="10" xfId="0" applyFill="1" applyBorder="1"/>
    <xf numFmtId="0" fontId="34" fillId="0" borderId="11" xfId="0" applyFont="1" applyFill="1" applyBorder="1"/>
    <xf numFmtId="164" fontId="0" fillId="0" borderId="11" xfId="0" applyNumberFormat="1" applyFill="1" applyBorder="1"/>
    <xf numFmtId="0" fontId="6" fillId="0" borderId="0" xfId="28"/>
    <xf numFmtId="0" fontId="20" fillId="0" borderId="0" xfId="28" applyFont="1" applyAlignment="1"/>
    <xf numFmtId="0" fontId="6" fillId="0" borderId="0" xfId="28" applyAlignment="1"/>
    <xf numFmtId="0" fontId="6" fillId="0" borderId="14" xfId="28" applyBorder="1"/>
    <xf numFmtId="0" fontId="6" fillId="0" borderId="15" xfId="28" applyBorder="1"/>
    <xf numFmtId="0" fontId="6" fillId="0" borderId="0" xfId="28" applyAlignment="1">
      <alignment horizontal="right"/>
    </xf>
    <xf numFmtId="0" fontId="6" fillId="0" borderId="0" xfId="28" applyAlignment="1">
      <alignment horizontal="left"/>
    </xf>
    <xf numFmtId="0" fontId="21" fillId="0" borderId="16" xfId="28" applyFont="1" applyBorder="1"/>
    <xf numFmtId="166" fontId="18" fillId="0" borderId="14" xfId="28" applyNumberFormat="1" applyFont="1" applyBorder="1"/>
    <xf numFmtId="166" fontId="18" fillId="0" borderId="15" xfId="28" applyNumberFormat="1" applyFont="1" applyBorder="1"/>
    <xf numFmtId="0" fontId="6" fillId="0" borderId="0" xfId="28" applyBorder="1"/>
    <xf numFmtId="0" fontId="20" fillId="0" borderId="0" xfId="28" applyFont="1"/>
    <xf numFmtId="166" fontId="18" fillId="0" borderId="16" xfId="28" applyNumberFormat="1" applyFont="1" applyBorder="1"/>
    <xf numFmtId="166" fontId="18" fillId="0" borderId="17" xfId="28" applyNumberFormat="1" applyFont="1" applyBorder="1"/>
    <xf numFmtId="0" fontId="6" fillId="0" borderId="0" xfId="28" applyFill="1" applyBorder="1"/>
    <xf numFmtId="0" fontId="21" fillId="0" borderId="18" xfId="28" applyFont="1" applyBorder="1"/>
    <xf numFmtId="166" fontId="20" fillId="0" borderId="16" xfId="28" applyNumberFormat="1" applyFont="1" applyBorder="1"/>
    <xf numFmtId="166" fontId="20" fillId="0" borderId="17" xfId="28" applyNumberFormat="1" applyFont="1" applyBorder="1"/>
    <xf numFmtId="166" fontId="6" fillId="0" borderId="19" xfId="28" applyNumberFormat="1" applyBorder="1"/>
    <xf numFmtId="166" fontId="6" fillId="0" borderId="20" xfId="28" applyNumberFormat="1" applyBorder="1"/>
    <xf numFmtId="0" fontId="21" fillId="0" borderId="0" xfId="28" applyFont="1"/>
    <xf numFmtId="0" fontId="21" fillId="0" borderId="0" xfId="28" applyFont="1" applyBorder="1"/>
    <xf numFmtId="166" fontId="6" fillId="0" borderId="14" xfId="28" applyNumberFormat="1" applyBorder="1"/>
    <xf numFmtId="1" fontId="6" fillId="0" borderId="13" xfId="28" applyNumberFormat="1" applyBorder="1"/>
    <xf numFmtId="166" fontId="6" fillId="0" borderId="0" xfId="28" applyNumberFormat="1" applyBorder="1"/>
    <xf numFmtId="166" fontId="6" fillId="0" borderId="16" xfId="28" applyNumberFormat="1" applyBorder="1"/>
    <xf numFmtId="1" fontId="6" fillId="0" borderId="17" xfId="28" applyNumberFormat="1" applyBorder="1"/>
    <xf numFmtId="1" fontId="6" fillId="0" borderId="0" xfId="28" applyNumberFormat="1" applyBorder="1"/>
    <xf numFmtId="166" fontId="6" fillId="0" borderId="17" xfId="28" applyNumberFormat="1" applyBorder="1"/>
    <xf numFmtId="0" fontId="21" fillId="0" borderId="21" xfId="28" applyFont="1" applyBorder="1"/>
    <xf numFmtId="166" fontId="6" fillId="0" borderId="18" xfId="28" applyNumberFormat="1" applyBorder="1"/>
    <xf numFmtId="166" fontId="6" fillId="0" borderId="21" xfId="28" applyNumberFormat="1" applyBorder="1"/>
    <xf numFmtId="0" fontId="21" fillId="0" borderId="13" xfId="28" applyFont="1" applyBorder="1"/>
    <xf numFmtId="0" fontId="6" fillId="0" borderId="13" xfId="28" applyBorder="1"/>
    <xf numFmtId="0" fontId="6" fillId="0" borderId="16" xfId="28" applyBorder="1"/>
    <xf numFmtId="0" fontId="6" fillId="0" borderId="17" xfId="28" applyBorder="1"/>
    <xf numFmtId="0" fontId="6" fillId="0" borderId="18" xfId="28" applyBorder="1"/>
    <xf numFmtId="0" fontId="6" fillId="0" borderId="21" xfId="28" applyBorder="1"/>
    <xf numFmtId="0" fontId="6" fillId="0" borderId="34" xfId="28" applyBorder="1"/>
    <xf numFmtId="0" fontId="18" fillId="0" borderId="0" xfId="28" applyFont="1"/>
    <xf numFmtId="166" fontId="6" fillId="0" borderId="13" xfId="28" applyNumberFormat="1" applyBorder="1"/>
    <xf numFmtId="1" fontId="6" fillId="0" borderId="15" xfId="28" applyNumberFormat="1" applyBorder="1"/>
    <xf numFmtId="2" fontId="6" fillId="0" borderId="0" xfId="28" applyNumberFormat="1" applyAlignment="1">
      <alignment horizontal="left"/>
    </xf>
    <xf numFmtId="0" fontId="6" fillId="0" borderId="0" xfId="28" applyFill="1" applyBorder="1" applyAlignment="1">
      <alignment horizontal="left"/>
    </xf>
    <xf numFmtId="0" fontId="23" fillId="0" borderId="0" xfId="28" applyFont="1"/>
    <xf numFmtId="166" fontId="6" fillId="0" borderId="0" xfId="28" applyNumberFormat="1"/>
    <xf numFmtId="0" fontId="6" fillId="0" borderId="0" xfId="28" applyFont="1" applyFill="1" applyBorder="1"/>
    <xf numFmtId="166" fontId="18" fillId="0" borderId="18" xfId="28" applyNumberFormat="1" applyFont="1" applyBorder="1"/>
    <xf numFmtId="166" fontId="18" fillId="0" borderId="21" xfId="28" applyNumberFormat="1" applyFont="1" applyBorder="1"/>
    <xf numFmtId="166" fontId="18" fillId="0" borderId="34" xfId="28" applyNumberFormat="1" applyFont="1" applyBorder="1"/>
    <xf numFmtId="0" fontId="21" fillId="0" borderId="22" xfId="28" applyFont="1" applyBorder="1"/>
    <xf numFmtId="0" fontId="6" fillId="0" borderId="23" xfId="28" applyBorder="1"/>
    <xf numFmtId="166" fontId="6" fillId="0" borderId="24" xfId="28" applyNumberFormat="1" applyBorder="1"/>
    <xf numFmtId="166" fontId="6" fillId="0" borderId="25" xfId="28" applyNumberFormat="1" applyBorder="1"/>
    <xf numFmtId="166" fontId="6" fillId="0" borderId="23" xfId="28" applyNumberFormat="1" applyBorder="1"/>
    <xf numFmtId="166" fontId="6" fillId="0" borderId="26" xfId="28" applyNumberFormat="1" applyBorder="1"/>
    <xf numFmtId="166" fontId="18" fillId="0" borderId="27" xfId="28" applyNumberFormat="1" applyFont="1" applyBorder="1"/>
    <xf numFmtId="166" fontId="6" fillId="0" borderId="28" xfId="28" applyNumberFormat="1" applyBorder="1"/>
    <xf numFmtId="166" fontId="6" fillId="0" borderId="27" xfId="28" applyNumberFormat="1" applyBorder="1"/>
    <xf numFmtId="0" fontId="24" fillId="0" borderId="16" xfId="28" applyFont="1" applyBorder="1"/>
    <xf numFmtId="166" fontId="24" fillId="0" borderId="28" xfId="28" applyNumberFormat="1" applyFont="1" applyBorder="1"/>
    <xf numFmtId="0" fontId="24" fillId="0" borderId="0" xfId="28" applyFont="1"/>
    <xf numFmtId="166" fontId="6" fillId="0" borderId="29" xfId="28" applyNumberFormat="1" applyBorder="1"/>
    <xf numFmtId="166" fontId="6" fillId="0" borderId="30" xfId="28" applyNumberFormat="1" applyBorder="1"/>
    <xf numFmtId="166" fontId="6" fillId="0" borderId="31" xfId="28" applyNumberFormat="1" applyBorder="1"/>
    <xf numFmtId="0" fontId="6" fillId="5" borderId="0" xfId="28" applyFill="1"/>
    <xf numFmtId="166" fontId="6" fillId="0" borderId="0" xfId="28" applyNumberFormat="1" applyFill="1" applyBorder="1"/>
    <xf numFmtId="166" fontId="18" fillId="0" borderId="0" xfId="28" applyNumberFormat="1" applyFont="1"/>
    <xf numFmtId="0" fontId="21" fillId="0" borderId="0" xfId="28" applyFont="1" applyFill="1" applyBorder="1"/>
    <xf numFmtId="166" fontId="20" fillId="0" borderId="0" xfId="28" applyNumberFormat="1" applyFont="1" applyBorder="1"/>
    <xf numFmtId="2" fontId="6" fillId="0" borderId="0" xfId="28" applyNumberFormat="1" applyBorder="1"/>
    <xf numFmtId="166" fontId="20" fillId="0" borderId="0" xfId="28" applyNumberFormat="1" applyFont="1"/>
    <xf numFmtId="2" fontId="6" fillId="0" borderId="17" xfId="28" applyNumberFormat="1" applyBorder="1"/>
    <xf numFmtId="166" fontId="6" fillId="0" borderId="15" xfId="28" applyNumberFormat="1" applyBorder="1"/>
    <xf numFmtId="0" fontId="33" fillId="0" borderId="21" xfId="28" applyFont="1" applyBorder="1"/>
    <xf numFmtId="166" fontId="20" fillId="0" borderId="18" xfId="28" applyNumberFormat="1" applyFont="1" applyBorder="1"/>
    <xf numFmtId="166" fontId="20" fillId="0" borderId="21" xfId="28" applyNumberFormat="1" applyFont="1" applyBorder="1"/>
    <xf numFmtId="0" fontId="20" fillId="0" borderId="21" xfId="28" applyFont="1" applyBorder="1"/>
    <xf numFmtId="0" fontId="20" fillId="0" borderId="0" xfId="28" applyFont="1" applyAlignment="1">
      <alignment horizontal="left"/>
    </xf>
    <xf numFmtId="166" fontId="6" fillId="0" borderId="34" xfId="28" applyNumberFormat="1" applyBorder="1"/>
    <xf numFmtId="1" fontId="6" fillId="0" borderId="0" xfId="28" applyNumberFormat="1"/>
    <xf numFmtId="0" fontId="33" fillId="0" borderId="0" xfId="28" applyFont="1" applyBorder="1"/>
    <xf numFmtId="0" fontId="18" fillId="0" borderId="16" xfId="28" applyFont="1" applyBorder="1"/>
    <xf numFmtId="0" fontId="20" fillId="0" borderId="0" xfId="28" applyFont="1" applyAlignment="1">
      <alignment horizontal="right"/>
    </xf>
    <xf numFmtId="0" fontId="20" fillId="0" borderId="0" xfId="28" applyFont="1" applyFill="1" applyBorder="1" applyAlignment="1">
      <alignment horizontal="left"/>
    </xf>
    <xf numFmtId="2" fontId="6" fillId="0" borderId="13" xfId="28" applyNumberFormat="1" applyBorder="1"/>
    <xf numFmtId="2" fontId="6" fillId="0" borderId="15" xfId="28" applyNumberFormat="1" applyBorder="1"/>
    <xf numFmtId="0" fontId="5" fillId="0" borderId="0" xfId="28" applyFont="1" applyAlignment="1">
      <alignment horizontal="right"/>
    </xf>
    <xf numFmtId="0" fontId="5" fillId="0" borderId="0" xfId="28" applyFont="1"/>
    <xf numFmtId="0" fontId="4" fillId="0" borderId="0" xfId="28" applyFont="1"/>
    <xf numFmtId="2" fontId="6" fillId="0" borderId="14" xfId="28" applyNumberFormat="1" applyBorder="1"/>
    <xf numFmtId="2" fontId="20" fillId="0" borderId="16" xfId="28" applyNumberFormat="1" applyFont="1" applyBorder="1"/>
    <xf numFmtId="2" fontId="20" fillId="0" borderId="0" xfId="28" applyNumberFormat="1" applyFont="1" applyBorder="1"/>
    <xf numFmtId="2" fontId="20" fillId="0" borderId="17" xfId="28" applyNumberFormat="1" applyFont="1" applyBorder="1"/>
    <xf numFmtId="2" fontId="6" fillId="0" borderId="16" xfId="28" applyNumberFormat="1" applyBorder="1"/>
    <xf numFmtId="2" fontId="20" fillId="0" borderId="18" xfId="28" applyNumberFormat="1" applyFont="1" applyBorder="1"/>
    <xf numFmtId="2" fontId="20" fillId="0" borderId="21" xfId="28" applyNumberFormat="1" applyFont="1" applyBorder="1"/>
    <xf numFmtId="2" fontId="5" fillId="0" borderId="15" xfId="28" applyNumberFormat="1" applyFont="1" applyBorder="1"/>
    <xf numFmtId="2" fontId="5" fillId="0" borderId="16" xfId="28" applyNumberFormat="1" applyFont="1" applyBorder="1"/>
    <xf numFmtId="2" fontId="5" fillId="0" borderId="0" xfId="28" applyNumberFormat="1" applyFont="1" applyBorder="1"/>
    <xf numFmtId="2" fontId="5" fillId="0" borderId="17" xfId="28" applyNumberFormat="1" applyFont="1" applyBorder="1"/>
    <xf numFmtId="2" fontId="6" fillId="0" borderId="18" xfId="28" applyNumberFormat="1" applyBorder="1"/>
    <xf numFmtId="2" fontId="6" fillId="0" borderId="21" xfId="28" applyNumberFormat="1" applyBorder="1"/>
    <xf numFmtId="2" fontId="6" fillId="0" borderId="34" xfId="28" applyNumberFormat="1" applyBorder="1"/>
    <xf numFmtId="2" fontId="6" fillId="0" borderId="0" xfId="28" applyNumberFormat="1" applyFill="1" applyBorder="1"/>
    <xf numFmtId="0" fontId="4" fillId="0" borderId="0" xfId="28" applyFont="1" applyAlignment="1">
      <alignment horizontal="right"/>
    </xf>
    <xf numFmtId="0" fontId="38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4" fillId="0" borderId="3" xfId="28" applyFont="1" applyBorder="1"/>
    <xf numFmtId="0" fontId="4" fillId="0" borderId="4" xfId="28" applyFont="1" applyBorder="1"/>
    <xf numFmtId="0" fontId="16" fillId="0" borderId="8" xfId="0" applyFont="1" applyBorder="1" applyAlignment="1">
      <alignment vertical="center"/>
    </xf>
    <xf numFmtId="0" fontId="4" fillId="0" borderId="0" xfId="28" applyFont="1" applyBorder="1"/>
    <xf numFmtId="0" fontId="4" fillId="0" borderId="9" xfId="28" applyFont="1" applyBorder="1"/>
    <xf numFmtId="2" fontId="4" fillId="0" borderId="0" xfId="28" applyNumberFormat="1" applyFont="1" applyBorder="1"/>
    <xf numFmtId="166" fontId="4" fillId="0" borderId="0" xfId="28" applyNumberFormat="1" applyFont="1" applyBorder="1"/>
    <xf numFmtId="0" fontId="16" fillId="0" borderId="10" xfId="0" applyFont="1" applyBorder="1" applyAlignment="1">
      <alignment vertical="center"/>
    </xf>
    <xf numFmtId="0" fontId="4" fillId="0" borderId="11" xfId="28" applyFont="1" applyBorder="1"/>
    <xf numFmtId="0" fontId="4" fillId="0" borderId="12" xfId="28" applyFont="1" applyBorder="1"/>
    <xf numFmtId="2" fontId="4" fillId="0" borderId="11" xfId="28" applyNumberFormat="1" applyFont="1" applyBorder="1"/>
    <xf numFmtId="0" fontId="40" fillId="0" borderId="0" xfId="0" applyFont="1" applyAlignment="1">
      <alignment vertical="center"/>
    </xf>
    <xf numFmtId="0" fontId="40" fillId="0" borderId="2" xfId="0" applyFont="1" applyBorder="1" applyAlignment="1">
      <alignment vertical="center"/>
    </xf>
    <xf numFmtId="0" fontId="3" fillId="0" borderId="3" xfId="28" applyFont="1" applyBorder="1"/>
    <xf numFmtId="0" fontId="40" fillId="0" borderId="8" xfId="0" applyFont="1" applyBorder="1" applyAlignment="1">
      <alignment vertical="center"/>
    </xf>
    <xf numFmtId="0" fontId="3" fillId="0" borderId="0" xfId="28" applyFont="1" applyBorder="1"/>
    <xf numFmtId="0" fontId="40" fillId="0" borderId="10" xfId="0" applyFont="1" applyBorder="1" applyAlignment="1">
      <alignment vertical="center"/>
    </xf>
    <xf numFmtId="0" fontId="6" fillId="0" borderId="11" xfId="28" applyBorder="1"/>
    <xf numFmtId="0" fontId="16" fillId="0" borderId="3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2" borderId="5" xfId="3" applyFont="1" applyBorder="1"/>
    <xf numFmtId="0" fontId="41" fillId="0" borderId="10" xfId="0" applyFont="1" applyBorder="1"/>
    <xf numFmtId="0" fontId="41" fillId="0" borderId="2" xfId="0" applyFont="1" applyBorder="1"/>
    <xf numFmtId="0" fontId="41" fillId="0" borderId="3" xfId="0" applyFont="1" applyBorder="1"/>
    <xf numFmtId="0" fontId="41" fillId="0" borderId="0" xfId="0" applyFont="1"/>
    <xf numFmtId="0" fontId="41" fillId="0" borderId="3" xfId="0" applyFont="1" applyBorder="1" applyAlignment="1">
      <alignment horizontal="right"/>
    </xf>
    <xf numFmtId="0" fontId="41" fillId="0" borderId="11" xfId="0" applyFont="1" applyBorder="1"/>
    <xf numFmtId="0" fontId="41" fillId="0" borderId="3" xfId="0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41" fillId="0" borderId="11" xfId="0" applyFont="1" applyBorder="1" applyAlignment="1"/>
    <xf numFmtId="0" fontId="12" fillId="0" borderId="11" xfId="0" applyFont="1" applyBorder="1" applyAlignment="1"/>
    <xf numFmtId="164" fontId="0" fillId="0" borderId="11" xfId="0" applyNumberFormat="1" applyBorder="1" applyAlignment="1"/>
    <xf numFmtId="0" fontId="0" fillId="0" borderId="12" xfId="0" applyBorder="1" applyAlignment="1"/>
    <xf numFmtId="166" fontId="9" fillId="2" borderId="6" xfId="3" applyNumberFormat="1" applyBorder="1" applyAlignment="1">
      <alignment horizontal="center"/>
    </xf>
    <xf numFmtId="0" fontId="13" fillId="0" borderId="11" xfId="0" applyFont="1" applyBorder="1"/>
    <xf numFmtId="164" fontId="19" fillId="0" borderId="11" xfId="0" applyNumberFormat="1" applyFont="1" applyBorder="1"/>
    <xf numFmtId="166" fontId="18" fillId="2" borderId="6" xfId="3" applyNumberFormat="1" applyFont="1" applyBorder="1" applyAlignment="1">
      <alignment horizontal="center"/>
    </xf>
    <xf numFmtId="0" fontId="19" fillId="0" borderId="9" xfId="0" applyFont="1" applyBorder="1"/>
    <xf numFmtId="2" fontId="20" fillId="2" borderId="6" xfId="3" applyNumberFormat="1" applyFont="1" applyBorder="1" applyAlignment="1">
      <alignment horizontal="center"/>
    </xf>
    <xf numFmtId="164" fontId="19" fillId="0" borderId="0" xfId="0" applyNumberFormat="1" applyFont="1" applyBorder="1"/>
    <xf numFmtId="165" fontId="19" fillId="0" borderId="0" xfId="0" applyNumberFormat="1" applyFont="1" applyBorder="1"/>
    <xf numFmtId="0" fontId="42" fillId="0" borderId="0" xfId="1" applyFont="1" applyAlignment="1">
      <alignment wrapText="1"/>
    </xf>
    <xf numFmtId="166" fontId="18" fillId="0" borderId="17" xfId="28" applyNumberFormat="1" applyFont="1" applyFill="1" applyBorder="1"/>
    <xf numFmtId="0" fontId="2" fillId="0" borderId="0" xfId="28" applyFont="1"/>
    <xf numFmtId="0" fontId="20" fillId="0" borderId="0" xfId="28" applyFont="1" applyAlignment="1">
      <alignment wrapText="1"/>
    </xf>
    <xf numFmtId="0" fontId="2" fillId="0" borderId="0" xfId="28" applyFont="1" applyBorder="1"/>
    <xf numFmtId="166" fontId="2" fillId="0" borderId="0" xfId="28" applyNumberFormat="1" applyFont="1" applyBorder="1"/>
    <xf numFmtId="166" fontId="2" fillId="0" borderId="17" xfId="28" applyNumberFormat="1" applyFont="1" applyBorder="1"/>
    <xf numFmtId="0" fontId="2" fillId="0" borderId="14" xfId="28" applyFont="1" applyBorder="1"/>
    <xf numFmtId="1" fontId="2" fillId="0" borderId="18" xfId="28" applyNumberFormat="1" applyFont="1" applyBorder="1"/>
    <xf numFmtId="0" fontId="2" fillId="0" borderId="13" xfId="28" applyFont="1" applyBorder="1"/>
    <xf numFmtId="0" fontId="2" fillId="0" borderId="21" xfId="28" applyFont="1" applyBorder="1"/>
    <xf numFmtId="0" fontId="2" fillId="0" borderId="15" xfId="28" applyFont="1" applyBorder="1"/>
    <xf numFmtId="0" fontId="2" fillId="0" borderId="17" xfId="28" applyFont="1" applyBorder="1"/>
    <xf numFmtId="0" fontId="2" fillId="0" borderId="34" xfId="28" applyFont="1" applyBorder="1"/>
    <xf numFmtId="1" fontId="2" fillId="0" borderId="16" xfId="28" applyNumberFormat="1" applyFont="1" applyBorder="1"/>
    <xf numFmtId="0" fontId="2" fillId="0" borderId="16" xfId="28" applyFont="1" applyBorder="1"/>
    <xf numFmtId="0" fontId="2" fillId="0" borderId="18" xfId="28" applyFont="1" applyBorder="1"/>
    <xf numFmtId="1" fontId="2" fillId="0" borderId="0" xfId="28" applyNumberFormat="1" applyFont="1" applyBorder="1"/>
    <xf numFmtId="1" fontId="2" fillId="0" borderId="17" xfId="28" applyNumberFormat="1" applyFont="1" applyBorder="1"/>
    <xf numFmtId="1" fontId="2" fillId="0" borderId="34" xfId="28" applyNumberFormat="1" applyFont="1" applyBorder="1"/>
    <xf numFmtId="0" fontId="1" fillId="0" borderId="0" xfId="28" applyFont="1"/>
    <xf numFmtId="49" fontId="40" fillId="0" borderId="0" xfId="0" applyNumberFormat="1" applyFont="1" applyAlignment="1">
      <alignment vertical="center"/>
    </xf>
    <xf numFmtId="49" fontId="39" fillId="0" borderId="0" xfId="0" applyNumberFormat="1" applyFont="1" applyAlignment="1">
      <alignment vertical="center"/>
    </xf>
    <xf numFmtId="49" fontId="38" fillId="0" borderId="0" xfId="0" applyNumberFormat="1" applyFont="1" applyAlignment="1">
      <alignment vertical="center"/>
    </xf>
    <xf numFmtId="2" fontId="6" fillId="0" borderId="0" xfId="28" applyNumberFormat="1"/>
    <xf numFmtId="11" fontId="6" fillId="0" borderId="0" xfId="28" applyNumberFormat="1"/>
    <xf numFmtId="168" fontId="6" fillId="0" borderId="0" xfId="28" applyNumberFormat="1"/>
    <xf numFmtId="0" fontId="43" fillId="0" borderId="0" xfId="28" applyFont="1"/>
    <xf numFmtId="0" fontId="42" fillId="0" borderId="0" xfId="1" applyFont="1" applyAlignment="1">
      <alignment horizontal="center" wrapText="1"/>
    </xf>
    <xf numFmtId="0" fontId="20" fillId="0" borderId="0" xfId="28" applyFont="1" applyAlignment="1">
      <alignment horizontal="center" wrapText="1"/>
    </xf>
    <xf numFmtId="0" fontId="30" fillId="10" borderId="0" xfId="20" applyAlignment="1">
      <alignment horizontal="center" vertical="center"/>
    </xf>
  </cellXfs>
  <cellStyles count="30">
    <cellStyle name="20% - Accent1" xfId="27" builtinId="30"/>
    <cellStyle name="20% - Accent1 2" xfId="3"/>
    <cellStyle name="20% - Accent1 3" xfId="29"/>
    <cellStyle name="40% - Accent1 2" xfId="4"/>
    <cellStyle name="Comma 2" xfId="5"/>
    <cellStyle name="Constant" xfId="11"/>
    <cellStyle name="DataSheet" xfId="12"/>
    <cellStyle name="Eingabe" xfId="13"/>
    <cellStyle name="Eingabe oder Formel" xfId="14"/>
    <cellStyle name="Eingabe1" xfId="15"/>
    <cellStyle name="Entrée 2" xfId="16"/>
    <cellStyle name="Euro" xfId="17"/>
    <cellStyle name="Explanatory Text" xfId="1" builtinId="53"/>
    <cellStyle name="Formel" xfId="18"/>
    <cellStyle name="Formula" xfId="19"/>
    <cellStyle name="Heading1" xfId="20"/>
    <cellStyle name="Label" xfId="21"/>
    <cellStyle name="Lien hypertexte 2" xfId="22"/>
    <cellStyle name="Normal" xfId="0" builtinId="0"/>
    <cellStyle name="Normal 2" xfId="6"/>
    <cellStyle name="Normal 2 2" xfId="10"/>
    <cellStyle name="Normal 3" xfId="9"/>
    <cellStyle name="Normal 4" xfId="28"/>
    <cellStyle name="Note 2" xfId="7"/>
    <cellStyle name="Pourcentage 2" xfId="23"/>
    <cellStyle name="Pourcentage 2 2" xfId="24"/>
    <cellStyle name="Standard_dena Energiepass Arbeitshilfe - Berechnung und Tabellen" xfId="25"/>
    <cellStyle name="TableStyleLight1" xfId="8"/>
    <cellStyle name="TableStyleLight1 2" xfId="2"/>
    <cellStyle name="Ueberschrift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opLeftCell="A10" workbookViewId="0">
      <selection activeCell="B40" sqref="B40"/>
    </sheetView>
  </sheetViews>
  <sheetFormatPr defaultRowHeight="15" x14ac:dyDescent="0.25"/>
  <cols>
    <col min="3" max="3" width="9.7109375" customWidth="1"/>
  </cols>
  <sheetData>
    <row r="1" spans="2:14" ht="15.75" thickBot="1" x14ac:dyDescent="0.3">
      <c r="D1" s="23"/>
      <c r="E1" s="23"/>
      <c r="F1" s="23"/>
    </row>
    <row r="2" spans="2:14" ht="15.75" customHeight="1" thickBot="1" x14ac:dyDescent="0.3">
      <c r="B2" s="24" t="s">
        <v>1</v>
      </c>
      <c r="C2" s="25"/>
      <c r="D2" s="26"/>
      <c r="E2" s="27"/>
      <c r="F2" s="25"/>
      <c r="G2" s="26" t="s">
        <v>2</v>
      </c>
      <c r="H2" s="202">
        <f>(1/(1/8+SUM(H4:H8)+1/23))</f>
        <v>0.40308752688335003</v>
      </c>
      <c r="I2" s="28" t="s">
        <v>0</v>
      </c>
      <c r="J2" s="29"/>
      <c r="K2" s="238" t="s">
        <v>144</v>
      </c>
      <c r="L2" s="238"/>
      <c r="M2" s="238"/>
      <c r="N2" s="238"/>
    </row>
    <row r="3" spans="2:14" ht="15.75" thickBot="1" x14ac:dyDescent="0.3"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9"/>
      <c r="K3" s="238"/>
      <c r="L3" s="238"/>
      <c r="M3" s="238"/>
      <c r="N3" s="238"/>
    </row>
    <row r="4" spans="2:14" x14ac:dyDescent="0.25">
      <c r="B4" s="7"/>
      <c r="C4" s="1" t="s">
        <v>18</v>
      </c>
      <c r="D4" s="16">
        <v>0.1</v>
      </c>
      <c r="E4" s="1">
        <v>1.1000000000000001</v>
      </c>
      <c r="F4" s="1">
        <v>1850</v>
      </c>
      <c r="G4" s="30">
        <v>840</v>
      </c>
      <c r="H4" s="9">
        <f>D4/E4</f>
        <v>9.0909090909090912E-2</v>
      </c>
      <c r="I4" s="10">
        <f>D4*F4*G4</f>
        <v>155400</v>
      </c>
      <c r="J4" s="29"/>
      <c r="K4" s="238"/>
      <c r="L4" s="238"/>
      <c r="M4" s="238"/>
      <c r="N4" s="238"/>
    </row>
    <row r="5" spans="2:14" x14ac:dyDescent="0.25">
      <c r="B5" s="7"/>
      <c r="C5" s="1" t="s">
        <v>10</v>
      </c>
      <c r="D5" s="1">
        <v>0.03</v>
      </c>
      <c r="E5" s="1"/>
      <c r="F5" s="11"/>
      <c r="G5" s="42"/>
      <c r="H5" s="9">
        <v>0.18</v>
      </c>
      <c r="I5" s="47">
        <f>D5*F5*G5</f>
        <v>0</v>
      </c>
      <c r="J5" s="29"/>
      <c r="K5" s="238"/>
      <c r="L5" s="238"/>
      <c r="M5" s="238"/>
      <c r="N5" s="238"/>
    </row>
    <row r="6" spans="2:14" x14ac:dyDescent="0.25">
      <c r="B6" s="7"/>
      <c r="C6" s="1" t="s">
        <v>21</v>
      </c>
      <c r="D6" s="30">
        <v>0.06</v>
      </c>
      <c r="E6" s="1">
        <v>3.5999999999999997E-2</v>
      </c>
      <c r="F6" s="1">
        <v>1850</v>
      </c>
      <c r="G6" s="1">
        <v>840</v>
      </c>
      <c r="H6" s="9">
        <f>D6/E6</f>
        <v>1.6666666666666667</v>
      </c>
      <c r="I6" s="10">
        <f>D6*F6*G6</f>
        <v>93240</v>
      </c>
      <c r="J6" s="29"/>
      <c r="K6" s="210"/>
      <c r="L6" s="210"/>
    </row>
    <row r="7" spans="2:14" x14ac:dyDescent="0.25">
      <c r="B7" s="7"/>
      <c r="C7" s="1" t="s">
        <v>22</v>
      </c>
      <c r="D7" s="1">
        <v>0.14000000000000001</v>
      </c>
      <c r="E7" s="1">
        <v>0.41</v>
      </c>
      <c r="F7" s="1">
        <v>850</v>
      </c>
      <c r="G7" s="1">
        <v>840</v>
      </c>
      <c r="H7" s="9">
        <f>D7/E7</f>
        <v>0.34146341463414637</v>
      </c>
      <c r="I7" s="10">
        <f>D7*F7*G7</f>
        <v>99960.000000000015</v>
      </c>
      <c r="J7" s="29"/>
      <c r="K7" s="210"/>
      <c r="L7" s="210"/>
    </row>
    <row r="8" spans="2:14" ht="15.75" thickBot="1" x14ac:dyDescent="0.3">
      <c r="B8" s="12"/>
      <c r="C8" s="31" t="s">
        <v>11</v>
      </c>
      <c r="D8" s="31">
        <v>0.02</v>
      </c>
      <c r="E8" s="31">
        <v>0.6</v>
      </c>
      <c r="F8" s="31">
        <v>975</v>
      </c>
      <c r="G8" s="31">
        <v>840</v>
      </c>
      <c r="H8" s="14">
        <f>D8/E8</f>
        <v>3.3333333333333333E-2</v>
      </c>
      <c r="I8" s="32">
        <f>D8*F8*G8</f>
        <v>16380</v>
      </c>
      <c r="J8" s="29"/>
      <c r="K8" s="210"/>
      <c r="L8" s="210"/>
    </row>
    <row r="9" spans="2:14" ht="15.75" thickBot="1" x14ac:dyDescent="0.3">
      <c r="B9" s="1"/>
      <c r="C9" s="1"/>
      <c r="D9" s="1"/>
      <c r="E9" s="1"/>
      <c r="F9" s="1"/>
      <c r="G9" s="1"/>
      <c r="H9" s="9"/>
      <c r="I9" s="1"/>
      <c r="J9" s="29"/>
      <c r="K9" s="210"/>
      <c r="L9" s="210"/>
    </row>
    <row r="10" spans="2:14" ht="15.75" thickBot="1" x14ac:dyDescent="0.3">
      <c r="B10" s="24" t="s">
        <v>16</v>
      </c>
      <c r="C10" s="25"/>
      <c r="D10" s="26"/>
      <c r="E10" s="27"/>
      <c r="F10" s="25"/>
      <c r="G10" s="26" t="s">
        <v>2</v>
      </c>
      <c r="H10" s="205">
        <f>(1/(1/10+SUM(H12:H16)+1/23))</f>
        <v>0.30107717399999601</v>
      </c>
      <c r="I10" s="28" t="s">
        <v>0</v>
      </c>
      <c r="J10" s="29"/>
      <c r="K10" s="210"/>
      <c r="L10" s="210"/>
    </row>
    <row r="11" spans="2:14" ht="15.75" thickBot="1" x14ac:dyDescent="0.3">
      <c r="B11" s="4"/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29"/>
      <c r="K11" s="210"/>
      <c r="L11" s="210"/>
    </row>
    <row r="12" spans="2:14" x14ac:dyDescent="0.25">
      <c r="B12" s="7"/>
      <c r="C12" s="1" t="s">
        <v>142</v>
      </c>
      <c r="D12" s="1">
        <v>2.5000000000000001E-2</v>
      </c>
      <c r="E12" s="1">
        <v>1</v>
      </c>
      <c r="F12" s="1">
        <v>1700</v>
      </c>
      <c r="G12" s="1">
        <v>840</v>
      </c>
      <c r="H12" s="9">
        <f>D12/E12</f>
        <v>2.5000000000000001E-2</v>
      </c>
      <c r="I12" s="10">
        <f>D12*F12*G12</f>
        <v>35700</v>
      </c>
      <c r="J12" s="29"/>
      <c r="K12" s="210"/>
      <c r="L12" s="210"/>
    </row>
    <row r="13" spans="2:14" x14ac:dyDescent="0.25">
      <c r="B13" s="7"/>
      <c r="C13" s="1" t="s">
        <v>10</v>
      </c>
      <c r="D13" s="1">
        <v>0.03</v>
      </c>
      <c r="E13" s="1"/>
      <c r="F13" s="11"/>
      <c r="G13" s="42"/>
      <c r="H13" s="9">
        <v>0.16</v>
      </c>
      <c r="I13" s="47">
        <f>D13*F13*G13</f>
        <v>0</v>
      </c>
      <c r="J13" s="29"/>
      <c r="K13" s="210"/>
      <c r="L13" s="210"/>
    </row>
    <row r="14" spans="2:14" x14ac:dyDescent="0.25">
      <c r="B14" s="7"/>
      <c r="C14" s="30" t="s">
        <v>21</v>
      </c>
      <c r="D14" s="16">
        <v>0.1</v>
      </c>
      <c r="E14" s="1">
        <v>3.5999999999999997E-2</v>
      </c>
      <c r="F14" s="1">
        <v>1850</v>
      </c>
      <c r="G14" s="1">
        <v>840</v>
      </c>
      <c r="H14" s="9">
        <f>D14/E14</f>
        <v>2.7777777777777781</v>
      </c>
      <c r="I14" s="10">
        <f>D14*F14*G14</f>
        <v>155400</v>
      </c>
      <c r="J14" s="29"/>
      <c r="K14" s="29"/>
    </row>
    <row r="15" spans="2:14" x14ac:dyDescent="0.25">
      <c r="B15" s="7"/>
      <c r="C15" s="30" t="s">
        <v>27</v>
      </c>
      <c r="D15">
        <v>0.02</v>
      </c>
      <c r="E15" s="30">
        <v>0.11</v>
      </c>
      <c r="F15" s="30">
        <v>550</v>
      </c>
      <c r="G15" s="30">
        <v>1880</v>
      </c>
      <c r="H15" s="9">
        <f>D15/E15</f>
        <v>0.18181818181818182</v>
      </c>
      <c r="I15" s="10">
        <f>D15*F15*G15</f>
        <v>20680</v>
      </c>
      <c r="J15" s="29"/>
      <c r="K15" s="29"/>
    </row>
    <row r="16" spans="2:14" ht="15.75" thickBot="1" x14ac:dyDescent="0.3">
      <c r="B16" s="12"/>
      <c r="C16" s="13" t="s">
        <v>11</v>
      </c>
      <c r="D16" s="13">
        <v>0.02</v>
      </c>
      <c r="E16" s="13">
        <v>0.6</v>
      </c>
      <c r="F16" s="13">
        <v>975</v>
      </c>
      <c r="G16" s="13">
        <v>840</v>
      </c>
      <c r="H16" s="14">
        <f>D16/E16</f>
        <v>3.3333333333333333E-2</v>
      </c>
      <c r="I16" s="15">
        <f>D16*F16*G16</f>
        <v>16380</v>
      </c>
      <c r="J16" s="29"/>
      <c r="K16" s="29"/>
    </row>
    <row r="17" spans="1:11" ht="15.75" thickBot="1" x14ac:dyDescent="0.3">
      <c r="A17" s="1"/>
      <c r="B17" s="13"/>
      <c r="C17" s="13"/>
      <c r="D17" s="13"/>
      <c r="E17" s="13"/>
      <c r="F17" s="13"/>
      <c r="G17" s="13"/>
      <c r="H17" s="14"/>
      <c r="I17" s="33"/>
      <c r="J17" s="29"/>
      <c r="K17" s="29"/>
    </row>
    <row r="18" spans="1:11" ht="15.75" thickBot="1" x14ac:dyDescent="0.3">
      <c r="B18" s="34" t="s">
        <v>23</v>
      </c>
      <c r="C18" s="35"/>
      <c r="D18" s="26"/>
      <c r="E18" s="36"/>
      <c r="F18" s="25"/>
      <c r="G18" s="26" t="s">
        <v>2</v>
      </c>
      <c r="H18" s="205">
        <f>(1/(1/10+SUM(H20:H22)+1/23))</f>
        <v>0.27946370605087761</v>
      </c>
      <c r="I18" s="28" t="s">
        <v>0</v>
      </c>
      <c r="J18" s="29"/>
      <c r="K18" s="29"/>
    </row>
    <row r="19" spans="1:11" ht="15.75" thickBot="1" x14ac:dyDescent="0.3">
      <c r="B19" s="4"/>
      <c r="C19" s="5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5" t="s">
        <v>8</v>
      </c>
      <c r="I19" s="6" t="s">
        <v>9</v>
      </c>
      <c r="J19" s="29"/>
      <c r="K19" s="29"/>
    </row>
    <row r="20" spans="1:11" x14ac:dyDescent="0.25">
      <c r="B20" s="7"/>
      <c r="C20" s="1" t="s">
        <v>24</v>
      </c>
      <c r="D20" s="1">
        <v>0.03</v>
      </c>
      <c r="E20" s="1">
        <v>1.2</v>
      </c>
      <c r="F20" s="1">
        <v>1600</v>
      </c>
      <c r="G20" s="1">
        <v>840</v>
      </c>
      <c r="H20" s="9">
        <f>D20/E20</f>
        <v>2.5000000000000001E-2</v>
      </c>
      <c r="I20" s="10">
        <f>D20*F20*G20</f>
        <v>40320</v>
      </c>
      <c r="J20" s="29"/>
      <c r="K20" s="29"/>
    </row>
    <row r="21" spans="1:11" x14ac:dyDescent="0.25">
      <c r="B21" s="7"/>
      <c r="C21" s="1" t="s">
        <v>25</v>
      </c>
      <c r="D21" s="1">
        <v>0.08</v>
      </c>
      <c r="E21" s="1">
        <v>2.4E-2</v>
      </c>
      <c r="F21" s="1">
        <v>40</v>
      </c>
      <c r="G21" s="1">
        <v>1470</v>
      </c>
      <c r="H21" s="9">
        <f>D21/E21</f>
        <v>3.3333333333333335</v>
      </c>
      <c r="I21" s="10">
        <f>D21*F21*G21</f>
        <v>4704</v>
      </c>
      <c r="J21" s="29"/>
      <c r="K21" s="29"/>
    </row>
    <row r="22" spans="1:11" ht="15.75" thickBot="1" x14ac:dyDescent="0.3">
      <c r="B22" s="12"/>
      <c r="C22" s="13" t="s">
        <v>15</v>
      </c>
      <c r="D22" s="13">
        <v>0.13</v>
      </c>
      <c r="E22" s="13">
        <v>1.7</v>
      </c>
      <c r="F22" s="13">
        <v>2400</v>
      </c>
      <c r="G22" s="13">
        <v>840</v>
      </c>
      <c r="H22" s="14">
        <f>D22/E22</f>
        <v>7.6470588235294124E-2</v>
      </c>
      <c r="I22" s="15">
        <f>D22*F22*G22</f>
        <v>262080</v>
      </c>
      <c r="J22" s="29"/>
      <c r="K22" s="29"/>
    </row>
    <row r="23" spans="1:11" ht="15.75" thickBot="1" x14ac:dyDescent="0.3">
      <c r="B23" s="1"/>
      <c r="C23" s="1"/>
      <c r="D23" s="1"/>
      <c r="E23" s="1"/>
      <c r="F23" s="1"/>
      <c r="G23" s="1"/>
      <c r="H23" s="9"/>
      <c r="I23" s="1"/>
      <c r="J23" s="29"/>
      <c r="K23" s="29"/>
    </row>
    <row r="24" spans="1:11" ht="15.75" thickBot="1" x14ac:dyDescent="0.3">
      <c r="B24" s="24" t="s">
        <v>12</v>
      </c>
      <c r="C24" s="25"/>
      <c r="D24" s="26"/>
      <c r="E24" s="36"/>
      <c r="F24" s="25"/>
      <c r="G24" s="26" t="s">
        <v>2</v>
      </c>
      <c r="H24" s="205">
        <f>(1/(1/6+SUM(H26:H29)+0))</f>
        <v>0.40291179955984424</v>
      </c>
      <c r="I24" s="28" t="s">
        <v>0</v>
      </c>
      <c r="J24" s="29"/>
      <c r="K24" s="29"/>
    </row>
    <row r="25" spans="1:11" ht="15.75" thickBot="1" x14ac:dyDescent="0.3">
      <c r="B25" s="4"/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6" t="s">
        <v>9</v>
      </c>
      <c r="J25" s="29"/>
      <c r="K25" s="29"/>
    </row>
    <row r="26" spans="1:11" x14ac:dyDescent="0.25">
      <c r="B26" s="37"/>
      <c r="C26" s="38" t="s">
        <v>13</v>
      </c>
      <c r="D26" s="38">
        <v>0.02</v>
      </c>
      <c r="E26" s="38">
        <v>1.4</v>
      </c>
      <c r="F26" s="38">
        <v>2100</v>
      </c>
      <c r="G26" s="38">
        <v>840</v>
      </c>
      <c r="H26" s="39">
        <f>D26/E26</f>
        <v>1.4285714285714287E-2</v>
      </c>
      <c r="I26" s="40">
        <f>D26*F26*G26</f>
        <v>35280</v>
      </c>
      <c r="J26" s="29"/>
      <c r="K26" s="29"/>
    </row>
    <row r="27" spans="1:11" x14ac:dyDescent="0.25">
      <c r="B27" s="7"/>
      <c r="C27" s="1" t="s">
        <v>14</v>
      </c>
      <c r="D27" s="1">
        <v>0.06</v>
      </c>
      <c r="E27" s="1">
        <v>0.6</v>
      </c>
      <c r="F27" s="1">
        <v>1100</v>
      </c>
      <c r="G27" s="1">
        <v>860</v>
      </c>
      <c r="H27" s="9">
        <f>D27/E27</f>
        <v>0.1</v>
      </c>
      <c r="I27" s="10">
        <f>D27*F27*G27</f>
        <v>56760</v>
      </c>
      <c r="J27" s="29"/>
      <c r="K27" s="29"/>
    </row>
    <row r="28" spans="1:11" x14ac:dyDescent="0.25">
      <c r="B28" s="7"/>
      <c r="C28" s="1" t="s">
        <v>25</v>
      </c>
      <c r="D28" s="1">
        <v>0.05</v>
      </c>
      <c r="E28" s="1">
        <v>2.4E-2</v>
      </c>
      <c r="F28" s="1">
        <v>40</v>
      </c>
      <c r="G28" s="1">
        <v>1470</v>
      </c>
      <c r="H28" s="9">
        <f>D28/E28</f>
        <v>2.0833333333333335</v>
      </c>
      <c r="I28" s="10">
        <f>D28*F28*G28</f>
        <v>2940</v>
      </c>
      <c r="J28" s="29"/>
      <c r="K28" s="29"/>
    </row>
    <row r="29" spans="1:11" ht="15.75" thickBot="1" x14ac:dyDescent="0.3">
      <c r="B29" s="12"/>
      <c r="C29" s="13" t="s">
        <v>15</v>
      </c>
      <c r="D29" s="43">
        <v>0.2</v>
      </c>
      <c r="E29" s="13">
        <v>1.7</v>
      </c>
      <c r="F29" s="13">
        <v>2400</v>
      </c>
      <c r="G29" s="13">
        <v>840</v>
      </c>
      <c r="H29" s="14">
        <f>D29/E29</f>
        <v>0.11764705882352942</v>
      </c>
      <c r="I29" s="48">
        <f>D29*F29*G29</f>
        <v>403200</v>
      </c>
      <c r="J29" s="29"/>
      <c r="K29" s="29"/>
    </row>
    <row r="30" spans="1:11" ht="15.75" thickBot="1" x14ac:dyDescent="0.3">
      <c r="J30" s="29"/>
      <c r="K30" s="29"/>
    </row>
    <row r="31" spans="1:11" ht="15.75" thickBot="1" x14ac:dyDescent="0.3">
      <c r="B31" s="24" t="s">
        <v>17</v>
      </c>
      <c r="C31" s="25"/>
      <c r="D31" s="26"/>
      <c r="E31" s="27"/>
      <c r="F31" s="25"/>
      <c r="G31" s="26" t="s">
        <v>2</v>
      </c>
      <c r="H31" s="27">
        <f>(1/(1/8+SUM(H33:H35)+1/8))</f>
        <v>2.4535315985130111</v>
      </c>
      <c r="I31" s="28" t="s">
        <v>0</v>
      </c>
      <c r="J31" s="29"/>
      <c r="K31" s="29"/>
    </row>
    <row r="32" spans="1:11" ht="15.75" thickBot="1" x14ac:dyDescent="0.3">
      <c r="B32" s="4"/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6" t="s">
        <v>9</v>
      </c>
      <c r="J32" s="29"/>
      <c r="K32" s="29"/>
    </row>
    <row r="33" spans="2:11" x14ac:dyDescent="0.25">
      <c r="B33" s="7"/>
      <c r="C33" s="1" t="s">
        <v>11</v>
      </c>
      <c r="D33" s="1">
        <v>0.02</v>
      </c>
      <c r="E33" s="1">
        <v>0.6</v>
      </c>
      <c r="F33" s="1">
        <v>975</v>
      </c>
      <c r="G33" s="1">
        <v>840</v>
      </c>
      <c r="H33" s="9">
        <f>D33/E33</f>
        <v>3.3333333333333333E-2</v>
      </c>
      <c r="I33" s="10">
        <f>D33*F33*G33</f>
        <v>16380</v>
      </c>
      <c r="J33" s="29"/>
      <c r="K33" s="29"/>
    </row>
    <row r="34" spans="2:11" x14ac:dyDescent="0.25">
      <c r="B34" s="7"/>
      <c r="C34" s="1" t="s">
        <v>18</v>
      </c>
      <c r="D34" s="16">
        <v>0.1</v>
      </c>
      <c r="E34" s="1">
        <v>1.1000000000000001</v>
      </c>
      <c r="F34" s="1">
        <v>1850</v>
      </c>
      <c r="G34" s="1">
        <v>840</v>
      </c>
      <c r="H34" s="9">
        <f>D34/E34</f>
        <v>9.0909090909090912E-2</v>
      </c>
      <c r="I34" s="10">
        <f>D34*F34*G34</f>
        <v>155400</v>
      </c>
      <c r="J34" s="29"/>
      <c r="K34" s="29"/>
    </row>
    <row r="35" spans="2:11" ht="15.75" thickBot="1" x14ac:dyDescent="0.3">
      <c r="B35" s="12"/>
      <c r="C35" s="13" t="s">
        <v>11</v>
      </c>
      <c r="D35" s="13">
        <v>0.02</v>
      </c>
      <c r="E35" s="13">
        <v>0.6</v>
      </c>
      <c r="F35" s="13">
        <v>975</v>
      </c>
      <c r="G35" s="13">
        <v>840</v>
      </c>
      <c r="H35" s="14">
        <f>D35/E35</f>
        <v>3.3333333333333333E-2</v>
      </c>
      <c r="I35" s="15">
        <f>D35*F35*G35</f>
        <v>16380</v>
      </c>
      <c r="J35" s="29"/>
      <c r="K35" s="29"/>
    </row>
    <row r="36" spans="2:11" ht="15.75" thickBot="1" x14ac:dyDescent="0.3">
      <c r="J36" s="29"/>
      <c r="K36" s="29"/>
    </row>
    <row r="37" spans="2:11" ht="15.75" thickBot="1" x14ac:dyDescent="0.3">
      <c r="B37" s="24" t="s">
        <v>19</v>
      </c>
      <c r="C37" s="25"/>
      <c r="D37" s="26"/>
      <c r="E37" s="27"/>
      <c r="F37" s="25"/>
      <c r="G37" s="26" t="s">
        <v>2</v>
      </c>
      <c r="H37" s="202">
        <f>1/(1/10+SUM(H39:H42)+1/6)</f>
        <v>1.8799368088467614</v>
      </c>
      <c r="I37" s="28" t="s">
        <v>0</v>
      </c>
      <c r="J37" s="29"/>
      <c r="K37" s="29"/>
    </row>
    <row r="38" spans="2:11" ht="15.75" thickBot="1" x14ac:dyDescent="0.3">
      <c r="B38" s="4"/>
      <c r="C38" s="5" t="s">
        <v>3</v>
      </c>
      <c r="D38" s="5" t="s">
        <v>4</v>
      </c>
      <c r="E38" s="5" t="s">
        <v>5</v>
      </c>
      <c r="F38" s="5" t="s">
        <v>6</v>
      </c>
      <c r="G38" s="5" t="s">
        <v>7</v>
      </c>
      <c r="H38" s="5" t="s">
        <v>8</v>
      </c>
      <c r="I38" s="6" t="s">
        <v>9</v>
      </c>
      <c r="J38" s="29"/>
      <c r="K38" s="29"/>
    </row>
    <row r="39" spans="2:11" x14ac:dyDescent="0.25">
      <c r="B39" s="37"/>
      <c r="C39" s="38" t="s">
        <v>13</v>
      </c>
      <c r="D39" s="38">
        <v>0.02</v>
      </c>
      <c r="E39" s="38">
        <v>1.4</v>
      </c>
      <c r="F39" s="38">
        <v>2100</v>
      </c>
      <c r="G39" s="38">
        <v>840</v>
      </c>
      <c r="H39" s="39">
        <f>D39/E39</f>
        <v>1.4285714285714287E-2</v>
      </c>
      <c r="I39" s="40">
        <f>D39*F39*G39</f>
        <v>35280</v>
      </c>
      <c r="J39" s="29"/>
      <c r="K39" s="29"/>
    </row>
    <row r="40" spans="2:11" x14ac:dyDescent="0.25">
      <c r="B40" s="7"/>
      <c r="C40" s="1" t="s">
        <v>14</v>
      </c>
      <c r="D40" s="1">
        <v>0.06</v>
      </c>
      <c r="E40" s="1">
        <v>0.6</v>
      </c>
      <c r="F40" s="1">
        <v>1100</v>
      </c>
      <c r="G40" s="1">
        <v>860</v>
      </c>
      <c r="H40" s="9">
        <f>D40/E40</f>
        <v>0.1</v>
      </c>
      <c r="I40" s="10">
        <f>D40*F40*G40</f>
        <v>56760</v>
      </c>
      <c r="J40" s="29"/>
      <c r="K40" s="29"/>
    </row>
    <row r="41" spans="2:11" x14ac:dyDescent="0.25">
      <c r="B41" s="7"/>
      <c r="C41" s="1" t="s">
        <v>15</v>
      </c>
      <c r="D41" s="16">
        <v>0.2</v>
      </c>
      <c r="E41" s="1">
        <v>1.7</v>
      </c>
      <c r="F41" s="1">
        <v>2400</v>
      </c>
      <c r="G41" s="1">
        <v>840</v>
      </c>
      <c r="H41" s="208">
        <f>D41/E41</f>
        <v>0.11764705882352942</v>
      </c>
      <c r="I41" s="206">
        <f>D41*F41*G41</f>
        <v>403200</v>
      </c>
    </row>
    <row r="42" spans="2:11" ht="15.75" thickBot="1" x14ac:dyDescent="0.3">
      <c r="B42" s="12"/>
      <c r="C42" s="13" t="s">
        <v>11</v>
      </c>
      <c r="D42" s="31">
        <v>0.02</v>
      </c>
      <c r="E42" s="13">
        <v>0.6</v>
      </c>
      <c r="F42" s="13">
        <v>975</v>
      </c>
      <c r="G42" s="13">
        <v>840</v>
      </c>
      <c r="H42" s="14">
        <f>D42/E42</f>
        <v>3.3333333333333333E-2</v>
      </c>
      <c r="I42" s="15">
        <f>D42*F42*G42</f>
        <v>16380</v>
      </c>
    </row>
    <row r="43" spans="2:11" ht="15.75" thickBot="1" x14ac:dyDescent="0.3">
      <c r="B43" s="1"/>
      <c r="C43" s="1"/>
      <c r="D43" s="1"/>
      <c r="E43" s="1"/>
      <c r="F43" s="1"/>
      <c r="G43" s="1"/>
      <c r="H43" s="9"/>
      <c r="I43" s="1"/>
    </row>
    <row r="44" spans="2:11" ht="15.75" thickBot="1" x14ac:dyDescent="0.3">
      <c r="B44" s="50" t="s">
        <v>29</v>
      </c>
      <c r="C44" s="25"/>
      <c r="D44" s="26"/>
      <c r="E44" s="27"/>
      <c r="F44" s="25"/>
      <c r="G44" s="26" t="s">
        <v>2</v>
      </c>
      <c r="H44" s="202">
        <f>(1/(1/8+SUM(H46)+1/23))</f>
        <v>2.9334799340296867</v>
      </c>
      <c r="I44" s="28" t="s">
        <v>0</v>
      </c>
    </row>
    <row r="45" spans="2:11" ht="15.75" thickBot="1" x14ac:dyDescent="0.3">
      <c r="B45" s="4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</row>
    <row r="46" spans="2:11" ht="15.75" thickBot="1" x14ac:dyDescent="0.3">
      <c r="B46" s="12"/>
      <c r="C46" s="13" t="s">
        <v>31</v>
      </c>
      <c r="D46" s="13">
        <v>0.05</v>
      </c>
      <c r="E46" s="13">
        <v>0.28999999999999998</v>
      </c>
      <c r="F46" s="13">
        <v>600</v>
      </c>
      <c r="G46" s="13">
        <v>1000</v>
      </c>
      <c r="H46" s="14">
        <f>D46/E46</f>
        <v>0.17241379310344829</v>
      </c>
      <c r="I46" s="15">
        <f>D46*F46*G46</f>
        <v>30000</v>
      </c>
    </row>
    <row r="47" spans="2:11" ht="15.75" thickBot="1" x14ac:dyDescent="0.3"/>
    <row r="48" spans="2:11" ht="15.75" thickBot="1" x14ac:dyDescent="0.3">
      <c r="B48" s="188" t="s">
        <v>135</v>
      </c>
      <c r="C48" s="25"/>
      <c r="D48" s="26"/>
      <c r="E48" s="27"/>
      <c r="F48" s="25"/>
      <c r="G48" s="26" t="s">
        <v>2</v>
      </c>
      <c r="H48" s="207">
        <f>1/(1/10+SUM(H50:H52)+1/6)</f>
        <v>0.46544428772919594</v>
      </c>
      <c r="I48" s="28" t="s">
        <v>0</v>
      </c>
    </row>
    <row r="49" spans="2:9" ht="15.75" thickBot="1" x14ac:dyDescent="0.3">
      <c r="B49" s="4"/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5" t="s">
        <v>8</v>
      </c>
      <c r="I49" s="6" t="s">
        <v>9</v>
      </c>
    </row>
    <row r="50" spans="2:9" x14ac:dyDescent="0.25">
      <c r="B50" s="7"/>
      <c r="C50" s="30" t="s">
        <v>21</v>
      </c>
      <c r="D50" s="16">
        <v>0.06</v>
      </c>
      <c r="E50" s="46">
        <v>3.5999999999999997E-2</v>
      </c>
      <c r="F50" s="46">
        <v>1850</v>
      </c>
      <c r="G50" s="46">
        <v>840</v>
      </c>
      <c r="H50" s="44">
        <f>D50/E50</f>
        <v>1.6666666666666667</v>
      </c>
      <c r="I50" s="45">
        <f>D50*F50*G50</f>
        <v>93240</v>
      </c>
    </row>
    <row r="51" spans="2:9" x14ac:dyDescent="0.25">
      <c r="B51" s="7"/>
      <c r="C51" s="30" t="s">
        <v>27</v>
      </c>
      <c r="D51">
        <v>0.02</v>
      </c>
      <c r="E51" s="30">
        <v>0.11</v>
      </c>
      <c r="F51" s="30">
        <v>550</v>
      </c>
      <c r="G51" s="30">
        <v>1880</v>
      </c>
      <c r="H51" s="9">
        <f>D51/E51</f>
        <v>0.18181818181818182</v>
      </c>
      <c r="I51" s="10">
        <f>D51*F51*G51</f>
        <v>20680</v>
      </c>
    </row>
    <row r="52" spans="2:9" ht="15.75" thickBot="1" x14ac:dyDescent="0.3">
      <c r="B52" s="12"/>
      <c r="C52" s="13" t="s">
        <v>11</v>
      </c>
      <c r="D52" s="31">
        <v>0.02</v>
      </c>
      <c r="E52" s="13">
        <v>0.6</v>
      </c>
      <c r="F52" s="13">
        <v>975</v>
      </c>
      <c r="G52" s="13">
        <v>840</v>
      </c>
      <c r="H52" s="14">
        <f>D52/E52</f>
        <v>3.3333333333333333E-2</v>
      </c>
      <c r="I52" s="15">
        <f>D52*F52*G52</f>
        <v>16380</v>
      </c>
    </row>
    <row r="53" spans="2:9" ht="15.75" thickBot="1" x14ac:dyDescent="0.3"/>
    <row r="54" spans="2:9" ht="15.75" thickBot="1" x14ac:dyDescent="0.3">
      <c r="B54" s="188" t="s">
        <v>136</v>
      </c>
      <c r="C54" s="25"/>
      <c r="D54" s="26"/>
      <c r="E54" s="27"/>
      <c r="F54" s="25"/>
      <c r="G54" s="26" t="s">
        <v>139</v>
      </c>
      <c r="H54" s="202">
        <f>F56*F55+C56*(1-F55)</f>
        <v>1.5649999999999999</v>
      </c>
      <c r="I54" s="28" t="s">
        <v>0</v>
      </c>
    </row>
    <row r="55" spans="2:9" x14ac:dyDescent="0.25">
      <c r="B55" s="190" t="s">
        <v>137</v>
      </c>
      <c r="C55" s="191">
        <v>0.755</v>
      </c>
      <c r="D55" s="192"/>
      <c r="E55" s="193" t="s">
        <v>140</v>
      </c>
      <c r="F55" s="195">
        <v>0.15</v>
      </c>
      <c r="G55" s="196"/>
      <c r="H55" s="196"/>
      <c r="I55" s="197"/>
    </row>
    <row r="56" spans="2:9" ht="15.75" thickBot="1" x14ac:dyDescent="0.3">
      <c r="B56" s="189" t="s">
        <v>138</v>
      </c>
      <c r="C56" s="198">
        <v>1.4</v>
      </c>
      <c r="D56" s="194"/>
      <c r="E56" s="194" t="s">
        <v>141</v>
      </c>
      <c r="F56" s="198">
        <v>2.5</v>
      </c>
      <c r="G56" s="199"/>
      <c r="H56" s="200"/>
      <c r="I56" s="201"/>
    </row>
  </sheetData>
  <mergeCells count="1">
    <mergeCell ref="K2:N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topLeftCell="A7" zoomScaleNormal="100" workbookViewId="0">
      <selection activeCell="I23" sqref="I23:I24"/>
    </sheetView>
  </sheetViews>
  <sheetFormatPr defaultRowHeight="15" x14ac:dyDescent="0.25"/>
  <sheetData>
    <row r="1" spans="1:12" ht="15.75" thickBot="1" x14ac:dyDescent="0.3">
      <c r="D1" s="2"/>
      <c r="E1" s="2"/>
      <c r="F1" s="2"/>
      <c r="J1" s="2"/>
    </row>
    <row r="2" spans="1:12" ht="15.75" thickBot="1" x14ac:dyDescent="0.3">
      <c r="B2" s="24" t="s">
        <v>1</v>
      </c>
      <c r="C2" s="25"/>
      <c r="D2" s="26"/>
      <c r="E2" s="27"/>
      <c r="F2" s="25"/>
      <c r="G2" s="26" t="s">
        <v>2</v>
      </c>
      <c r="H2" s="202">
        <f>(1/(1/8+SUM(H4:H7)+1/23))</f>
        <v>1.7187694607049446</v>
      </c>
      <c r="I2" s="28" t="s">
        <v>0</v>
      </c>
      <c r="J2" s="2"/>
    </row>
    <row r="3" spans="1:12" ht="15.75" thickBot="1" x14ac:dyDescent="0.3">
      <c r="A3" s="3"/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"/>
    </row>
    <row r="4" spans="1:12" x14ac:dyDescent="0.25">
      <c r="A4" s="3"/>
      <c r="B4" s="7"/>
      <c r="C4" s="1" t="s">
        <v>18</v>
      </c>
      <c r="D4" s="16">
        <v>0.08</v>
      </c>
      <c r="E4" s="1">
        <v>1.1000000000000001</v>
      </c>
      <c r="F4" s="1">
        <v>1850</v>
      </c>
      <c r="G4" s="30">
        <v>840</v>
      </c>
      <c r="H4" s="9">
        <f>D4/E4</f>
        <v>7.2727272727272724E-2</v>
      </c>
      <c r="I4" s="10">
        <f>F4*G4*D4</f>
        <v>124320</v>
      </c>
      <c r="J4" s="2"/>
    </row>
    <row r="5" spans="1:12" x14ac:dyDescent="0.25">
      <c r="A5" s="3"/>
      <c r="B5" s="7"/>
      <c r="C5" s="1" t="s">
        <v>10</v>
      </c>
      <c r="D5" s="1">
        <v>0.05</v>
      </c>
      <c r="E5" s="1"/>
      <c r="F5" s="11"/>
      <c r="G5" s="42"/>
      <c r="H5" s="9">
        <v>0.18</v>
      </c>
      <c r="I5" s="47">
        <f>D5*F5*G5</f>
        <v>0</v>
      </c>
      <c r="J5" s="2"/>
    </row>
    <row r="6" spans="1:12" x14ac:dyDescent="0.25">
      <c r="A6" s="3"/>
      <c r="B6" s="7"/>
      <c r="C6" s="8" t="s">
        <v>26</v>
      </c>
      <c r="D6" s="1">
        <v>0.14000000000000001</v>
      </c>
      <c r="E6" s="1">
        <v>1.1000000000000001</v>
      </c>
      <c r="F6" s="1">
        <v>1850</v>
      </c>
      <c r="G6" s="8">
        <v>840</v>
      </c>
      <c r="H6" s="9">
        <f>D6/E6</f>
        <v>0.12727272727272729</v>
      </c>
      <c r="I6" s="10">
        <f>D6*F6*G6</f>
        <v>217560</v>
      </c>
      <c r="J6" s="2"/>
    </row>
    <row r="7" spans="1:12" ht="15.75" thickBot="1" x14ac:dyDescent="0.3">
      <c r="A7" s="3"/>
      <c r="B7" s="12"/>
      <c r="C7" s="13" t="s">
        <v>11</v>
      </c>
      <c r="D7" s="13">
        <v>0.02</v>
      </c>
      <c r="E7" s="13">
        <v>0.6</v>
      </c>
      <c r="F7" s="13">
        <v>975</v>
      </c>
      <c r="G7" s="13">
        <v>840</v>
      </c>
      <c r="H7" s="14">
        <f>D7/E7</f>
        <v>3.3333333333333333E-2</v>
      </c>
      <c r="I7" s="15">
        <f>D7*F7*G7</f>
        <v>16380</v>
      </c>
      <c r="J7" s="2"/>
    </row>
    <row r="8" spans="1:12" s="1" customFormat="1" ht="15.75" thickBot="1" x14ac:dyDescent="0.3">
      <c r="A8" s="16"/>
      <c r="D8" s="2"/>
      <c r="E8" s="2"/>
      <c r="F8" s="2"/>
      <c r="J8" s="2"/>
      <c r="K8" s="2"/>
      <c r="L8" s="2"/>
    </row>
    <row r="9" spans="1:12" s="1" customFormat="1" ht="15.75" thickBot="1" x14ac:dyDescent="0.3">
      <c r="A9" s="16"/>
      <c r="B9" s="24" t="s">
        <v>16</v>
      </c>
      <c r="C9" s="25"/>
      <c r="D9" s="26"/>
      <c r="E9" s="27"/>
      <c r="F9" s="25"/>
      <c r="G9" s="26" t="s">
        <v>2</v>
      </c>
      <c r="H9" s="41">
        <f>(1/(1/10+SUM(H11:H13)+1/23))</f>
        <v>2.83932641174981</v>
      </c>
      <c r="I9" s="28" t="s">
        <v>0</v>
      </c>
      <c r="J9" s="2"/>
      <c r="K9" s="2"/>
      <c r="L9" s="2"/>
    </row>
    <row r="10" spans="1:12" s="1" customFormat="1" ht="15.75" thickBot="1" x14ac:dyDescent="0.3">
      <c r="A10" s="16"/>
      <c r="B10" s="4"/>
      <c r="C10" s="5" t="s">
        <v>3</v>
      </c>
      <c r="D10" s="5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6" t="s">
        <v>9</v>
      </c>
      <c r="J10" s="2"/>
      <c r="K10" s="2"/>
      <c r="L10" s="2"/>
    </row>
    <row r="11" spans="1:12" s="1" customFormat="1" x14ac:dyDescent="0.25">
      <c r="A11" s="16"/>
      <c r="B11" s="7"/>
      <c r="C11" s="1" t="s">
        <v>143</v>
      </c>
      <c r="D11" s="1">
        <v>0.02</v>
      </c>
      <c r="E11" s="1">
        <v>1.3</v>
      </c>
      <c r="F11" s="1">
        <v>1700</v>
      </c>
      <c r="G11" s="1">
        <v>840</v>
      </c>
      <c r="H11" s="9">
        <f>D11/E11</f>
        <v>1.5384615384615384E-2</v>
      </c>
      <c r="I11" s="10">
        <f>D11*F11*G11</f>
        <v>28560</v>
      </c>
      <c r="J11" s="2"/>
      <c r="K11" s="2"/>
      <c r="L11" s="2"/>
    </row>
    <row r="12" spans="1:12" s="1" customFormat="1" x14ac:dyDescent="0.25">
      <c r="A12" s="16"/>
      <c r="B12" s="7"/>
      <c r="C12" s="1" t="s">
        <v>10</v>
      </c>
      <c r="D12" s="1">
        <v>0.03</v>
      </c>
      <c r="F12" s="11"/>
      <c r="G12" s="42"/>
      <c r="H12" s="9">
        <v>0.16</v>
      </c>
      <c r="I12" s="47">
        <f>D12*F12*G12</f>
        <v>0</v>
      </c>
      <c r="J12" s="2"/>
      <c r="K12" s="2"/>
      <c r="L12" s="2"/>
    </row>
    <row r="13" spans="1:12" s="1" customFormat="1" ht="15.75" thickBot="1" x14ac:dyDescent="0.3">
      <c r="A13" s="16"/>
      <c r="B13" s="12"/>
      <c r="C13" s="13" t="s">
        <v>28</v>
      </c>
      <c r="D13" s="13">
        <v>0.02</v>
      </c>
      <c r="E13" s="13">
        <v>0.6</v>
      </c>
      <c r="F13" s="13">
        <v>975</v>
      </c>
      <c r="G13" s="13">
        <v>840</v>
      </c>
      <c r="H13" s="14">
        <f>D13/E13</f>
        <v>3.3333333333333333E-2</v>
      </c>
      <c r="I13" s="15">
        <f>D13*F13*G13</f>
        <v>16380</v>
      </c>
      <c r="J13" s="2"/>
      <c r="K13" s="2"/>
      <c r="L13" s="2"/>
    </row>
    <row r="14" spans="1:12" s="1" customFormat="1" ht="15.75" thickBot="1" x14ac:dyDescent="0.3">
      <c r="A14" s="16"/>
      <c r="H14" s="9"/>
      <c r="I14" s="33"/>
      <c r="J14" s="2"/>
      <c r="K14" s="2"/>
      <c r="L14" s="2"/>
    </row>
    <row r="15" spans="1:12" s="1" customFormat="1" ht="15.75" thickBot="1" x14ac:dyDescent="0.3">
      <c r="A15" s="16"/>
      <c r="B15" s="51" t="s">
        <v>23</v>
      </c>
      <c r="C15" s="25"/>
      <c r="D15" s="26"/>
      <c r="E15" s="36"/>
      <c r="F15" s="25"/>
      <c r="G15" s="26" t="s">
        <v>2</v>
      </c>
      <c r="H15" s="41">
        <f>(1/(1/10+SUM(H17:H19)+1/23))</f>
        <v>2.83932641174981</v>
      </c>
      <c r="I15" s="28" t="s">
        <v>0</v>
      </c>
      <c r="K15" s="2"/>
      <c r="L15" s="2"/>
    </row>
    <row r="16" spans="1:12" s="1" customFormat="1" ht="15.75" thickBot="1" x14ac:dyDescent="0.3">
      <c r="A16" s="16"/>
      <c r="B16" s="52"/>
      <c r="C16" s="53" t="s">
        <v>3</v>
      </c>
      <c r="D16" s="53" t="s">
        <v>4</v>
      </c>
      <c r="E16" s="53" t="s">
        <v>73</v>
      </c>
      <c r="F16" s="53" t="s">
        <v>6</v>
      </c>
      <c r="G16" s="53" t="s">
        <v>7</v>
      </c>
      <c r="H16" s="53" t="s">
        <v>8</v>
      </c>
      <c r="I16" s="54" t="s">
        <v>9</v>
      </c>
      <c r="K16" s="2"/>
      <c r="L16" s="2"/>
    </row>
    <row r="17" spans="1:12" s="1" customFormat="1" x14ac:dyDescent="0.25">
      <c r="A17" s="16"/>
      <c r="B17" s="55"/>
      <c r="C17" s="42" t="s">
        <v>143</v>
      </c>
      <c r="D17" s="42">
        <v>0.02</v>
      </c>
      <c r="E17" s="42">
        <v>1.3</v>
      </c>
      <c r="F17" s="42">
        <v>1700</v>
      </c>
      <c r="G17" s="42">
        <v>840</v>
      </c>
      <c r="H17" s="208">
        <f>D17/E17</f>
        <v>1.5384615384615384E-2</v>
      </c>
      <c r="I17" s="206">
        <f>D17*F17*G17</f>
        <v>28560</v>
      </c>
      <c r="J17" s="2"/>
      <c r="K17" s="2"/>
      <c r="L17" s="2"/>
    </row>
    <row r="18" spans="1:12" s="1" customFormat="1" x14ac:dyDescent="0.25">
      <c r="B18" s="55"/>
      <c r="C18" s="42" t="s">
        <v>10</v>
      </c>
      <c r="D18" s="42">
        <v>0.03</v>
      </c>
      <c r="E18" s="42"/>
      <c r="F18" s="209"/>
      <c r="G18" s="42"/>
      <c r="H18" s="208">
        <v>0.16</v>
      </c>
      <c r="I18" s="47">
        <f>D18*F18*G18</f>
        <v>0</v>
      </c>
      <c r="J18" s="2"/>
      <c r="K18" s="2"/>
      <c r="L18" s="2"/>
    </row>
    <row r="19" spans="1:12" s="1" customFormat="1" ht="15.75" thickBot="1" x14ac:dyDescent="0.3">
      <c r="B19" s="56"/>
      <c r="C19" s="49" t="s">
        <v>28</v>
      </c>
      <c r="D19" s="49">
        <v>0.02</v>
      </c>
      <c r="E19" s="49">
        <v>0.6</v>
      </c>
      <c r="F19" s="49">
        <v>975</v>
      </c>
      <c r="G19" s="49">
        <v>840</v>
      </c>
      <c r="H19" s="204">
        <f>D19/E19</f>
        <v>3.3333333333333333E-2</v>
      </c>
      <c r="I19" s="48">
        <f>D19*F19*G19</f>
        <v>16380</v>
      </c>
      <c r="J19" s="2"/>
      <c r="K19" s="2"/>
      <c r="L19" s="2"/>
    </row>
    <row r="20" spans="1:12" s="1" customFormat="1" ht="15.75" thickBot="1" x14ac:dyDescent="0.3">
      <c r="B20" s="56"/>
      <c r="C20" s="31"/>
      <c r="D20" s="31"/>
      <c r="E20" s="57"/>
      <c r="F20" s="57"/>
      <c r="G20" s="57"/>
      <c r="H20" s="58"/>
      <c r="I20" s="32"/>
      <c r="J20" s="2"/>
      <c r="K20" s="2"/>
      <c r="L20" s="2"/>
    </row>
    <row r="21" spans="1:12" s="1" customFormat="1" ht="15.75" thickBot="1" x14ac:dyDescent="0.3">
      <c r="B21" s="24" t="s">
        <v>12</v>
      </c>
      <c r="C21" s="25"/>
      <c r="D21" s="26"/>
      <c r="E21" s="36"/>
      <c r="F21" s="25"/>
      <c r="G21" s="26" t="s">
        <v>2</v>
      </c>
      <c r="H21" s="205">
        <f>(1/(1/6+SUM(H23:H25)+0))</f>
        <v>2.9861982434127978</v>
      </c>
      <c r="I21" s="28" t="s">
        <v>0</v>
      </c>
      <c r="J21" s="2"/>
      <c r="K21" s="2"/>
      <c r="L21" s="2"/>
    </row>
    <row r="22" spans="1:12" s="1" customFormat="1" ht="15.75" thickBot="1" x14ac:dyDescent="0.3">
      <c r="B22" s="4"/>
      <c r="C22" s="5" t="s">
        <v>3</v>
      </c>
      <c r="D22" s="5" t="s">
        <v>4</v>
      </c>
      <c r="E22" s="5" t="s">
        <v>5</v>
      </c>
      <c r="F22" s="5" t="s">
        <v>6</v>
      </c>
      <c r="G22" s="5" t="s">
        <v>7</v>
      </c>
      <c r="H22" s="5" t="s">
        <v>8</v>
      </c>
      <c r="I22" s="6" t="s">
        <v>9</v>
      </c>
      <c r="J22" s="2"/>
      <c r="K22" s="2"/>
      <c r="L22" s="2"/>
    </row>
    <row r="23" spans="1:12" s="1" customFormat="1" x14ac:dyDescent="0.25">
      <c r="B23" s="7"/>
      <c r="C23" s="1" t="s">
        <v>13</v>
      </c>
      <c r="D23" s="1">
        <v>0.02</v>
      </c>
      <c r="E23" s="1">
        <v>1.4</v>
      </c>
      <c r="F23" s="1">
        <v>2100</v>
      </c>
      <c r="G23" s="8">
        <v>840</v>
      </c>
      <c r="H23" s="9">
        <f>D23/E23</f>
        <v>1.4285714285714287E-2</v>
      </c>
      <c r="I23" s="10">
        <f>D23*F23*G23</f>
        <v>35280</v>
      </c>
      <c r="J23" s="2"/>
      <c r="K23" s="2"/>
      <c r="L23" s="2"/>
    </row>
    <row r="24" spans="1:12" s="1" customFormat="1" x14ac:dyDescent="0.25">
      <c r="B24" s="7"/>
      <c r="C24" s="1" t="s">
        <v>14</v>
      </c>
      <c r="D24" s="1">
        <v>0.05</v>
      </c>
      <c r="E24" s="1">
        <v>0.6</v>
      </c>
      <c r="F24" s="1">
        <v>1100</v>
      </c>
      <c r="G24" s="1">
        <v>860</v>
      </c>
      <c r="H24" s="9">
        <f>D24/E24</f>
        <v>8.3333333333333343E-2</v>
      </c>
      <c r="I24" s="10">
        <f>D24*F24*G24</f>
        <v>47300</v>
      </c>
      <c r="J24" s="2"/>
      <c r="K24" s="2"/>
      <c r="L24" s="2"/>
    </row>
    <row r="25" spans="1:12" s="1" customFormat="1" ht="15.75" thickBot="1" x14ac:dyDescent="0.3">
      <c r="B25" s="12"/>
      <c r="C25" s="17" t="s">
        <v>15</v>
      </c>
      <c r="D25" s="13">
        <v>0.12</v>
      </c>
      <c r="E25" s="13">
        <v>1.7</v>
      </c>
      <c r="F25" s="203">
        <v>2400</v>
      </c>
      <c r="G25" s="17">
        <v>840</v>
      </c>
      <c r="H25" s="204">
        <f>D25/E25</f>
        <v>7.0588235294117646E-2</v>
      </c>
      <c r="I25" s="48">
        <f>D25*F25*G25</f>
        <v>241920</v>
      </c>
      <c r="J25" s="2"/>
      <c r="K25" s="2"/>
      <c r="L25" s="2"/>
    </row>
    <row r="26" spans="1:12" s="1" customFormat="1" ht="15.75" thickBot="1" x14ac:dyDescent="0.3">
      <c r="J26" s="2"/>
      <c r="K26" s="2"/>
      <c r="L26" s="2"/>
    </row>
    <row r="27" spans="1:12" s="1" customFormat="1" ht="15.75" thickBot="1" x14ac:dyDescent="0.3">
      <c r="B27" s="24" t="s">
        <v>17</v>
      </c>
      <c r="C27" s="25"/>
      <c r="D27" s="26"/>
      <c r="E27" s="27"/>
      <c r="F27" s="25"/>
      <c r="G27" s="26" t="s">
        <v>2</v>
      </c>
      <c r="H27" s="27">
        <f>(1/(1/8+SUM(H29:H31)+1/8))</f>
        <v>2.2525597269624571</v>
      </c>
      <c r="I27" s="28" t="s">
        <v>0</v>
      </c>
      <c r="J27" s="2"/>
      <c r="L27" s="2"/>
    </row>
    <row r="28" spans="1:12" s="1" customFormat="1" ht="15.75" thickBot="1" x14ac:dyDescent="0.3">
      <c r="B28" s="4"/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2"/>
      <c r="L28" s="2"/>
    </row>
    <row r="29" spans="1:12" s="1" customFormat="1" x14ac:dyDescent="0.25">
      <c r="B29" s="7"/>
      <c r="C29" s="1" t="s">
        <v>11</v>
      </c>
      <c r="D29" s="1">
        <v>0.02</v>
      </c>
      <c r="E29" s="1">
        <v>0.6</v>
      </c>
      <c r="F29" s="1">
        <v>975</v>
      </c>
      <c r="G29" s="1">
        <v>840</v>
      </c>
      <c r="H29" s="9">
        <f>D29/E29</f>
        <v>3.3333333333333333E-2</v>
      </c>
      <c r="I29" s="10">
        <f>D29*F29*G29</f>
        <v>16380</v>
      </c>
      <c r="J29" s="2"/>
      <c r="L29" s="2"/>
    </row>
    <row r="30" spans="1:12" s="1" customFormat="1" x14ac:dyDescent="0.25">
      <c r="B30" s="7"/>
      <c r="C30" s="1" t="s">
        <v>18</v>
      </c>
      <c r="D30" s="1">
        <v>0.14000000000000001</v>
      </c>
      <c r="E30" s="1">
        <v>1.1000000000000001</v>
      </c>
      <c r="F30" s="1">
        <v>1850</v>
      </c>
      <c r="G30" s="1">
        <v>840</v>
      </c>
      <c r="H30" s="9">
        <f>D30/E30</f>
        <v>0.12727272727272729</v>
      </c>
      <c r="I30" s="10">
        <f>D30*F30*G30</f>
        <v>217560</v>
      </c>
      <c r="J30" s="2"/>
      <c r="L30" s="2"/>
    </row>
    <row r="31" spans="1:12" s="1" customFormat="1" ht="15.75" thickBot="1" x14ac:dyDescent="0.3">
      <c r="B31" s="12"/>
      <c r="C31" s="13" t="s">
        <v>11</v>
      </c>
      <c r="D31" s="13">
        <v>0.02</v>
      </c>
      <c r="E31" s="13">
        <v>0.6</v>
      </c>
      <c r="F31" s="13">
        <v>975</v>
      </c>
      <c r="G31" s="13">
        <v>840</v>
      </c>
      <c r="H31" s="14">
        <f>D31/E31</f>
        <v>3.3333333333333333E-2</v>
      </c>
      <c r="I31" s="15">
        <f>D31*F31*G31</f>
        <v>16380</v>
      </c>
      <c r="J31" s="2"/>
    </row>
    <row r="32" spans="1:12" s="1" customFormat="1" ht="15.75" thickBot="1" x14ac:dyDescent="0.3">
      <c r="J32" s="2"/>
      <c r="K32" s="2"/>
      <c r="L32" s="2"/>
    </row>
    <row r="33" spans="2:9" s="1" customFormat="1" ht="15.75" thickBot="1" x14ac:dyDescent="0.3">
      <c r="B33" s="24" t="s">
        <v>19</v>
      </c>
      <c r="C33" s="25"/>
      <c r="D33" s="26"/>
      <c r="E33" s="27"/>
      <c r="F33" s="25"/>
      <c r="G33" s="26" t="s">
        <v>2</v>
      </c>
      <c r="H33" s="202">
        <f>1/(1/10+SUM(H35:H38)+1/6)</f>
        <v>1.5103652517275421</v>
      </c>
      <c r="I33" s="28" t="s">
        <v>0</v>
      </c>
    </row>
    <row r="34" spans="2:9" s="1" customFormat="1" ht="15.75" thickBot="1" x14ac:dyDescent="0.3">
      <c r="B34" s="4"/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5" t="s">
        <v>8</v>
      </c>
      <c r="I34" s="6" t="s">
        <v>9</v>
      </c>
    </row>
    <row r="35" spans="2:9" x14ac:dyDescent="0.25">
      <c r="B35" s="18"/>
      <c r="C35" s="8" t="s">
        <v>20</v>
      </c>
      <c r="D35" s="19">
        <v>0.02</v>
      </c>
      <c r="E35" s="20">
        <v>0.18</v>
      </c>
      <c r="F35" s="20">
        <v>700</v>
      </c>
      <c r="G35" s="20">
        <v>1880</v>
      </c>
      <c r="H35" s="21">
        <f>D35/E35</f>
        <v>0.11111111111111112</v>
      </c>
      <c r="I35" s="22">
        <f>D35*F35*G35</f>
        <v>26320</v>
      </c>
    </row>
    <row r="36" spans="2:9" x14ac:dyDescent="0.25">
      <c r="B36" s="7"/>
      <c r="C36" s="1" t="s">
        <v>14</v>
      </c>
      <c r="D36" s="1">
        <v>0.08</v>
      </c>
      <c r="E36" s="1">
        <v>0.6</v>
      </c>
      <c r="F36" s="1">
        <v>1100</v>
      </c>
      <c r="G36" s="1">
        <v>860</v>
      </c>
      <c r="H36" s="9">
        <f>D36/E36</f>
        <v>0.13333333333333333</v>
      </c>
      <c r="I36" s="10">
        <f>D36*F36*G36</f>
        <v>75680</v>
      </c>
    </row>
    <row r="37" spans="2:9" x14ac:dyDescent="0.25">
      <c r="B37" s="7"/>
      <c r="C37" s="1" t="s">
        <v>15</v>
      </c>
      <c r="D37" s="1">
        <v>0.2</v>
      </c>
      <c r="E37" s="1">
        <v>1.7</v>
      </c>
      <c r="F37" s="1">
        <v>2400</v>
      </c>
      <c r="G37" s="1">
        <v>840</v>
      </c>
      <c r="H37" s="9">
        <f>D37/E37</f>
        <v>0.11764705882352942</v>
      </c>
      <c r="I37" s="206">
        <f>D37*F37*G37</f>
        <v>403200</v>
      </c>
    </row>
    <row r="38" spans="2:9" ht="15.75" thickBot="1" x14ac:dyDescent="0.3">
      <c r="B38" s="12"/>
      <c r="C38" s="13" t="s">
        <v>11</v>
      </c>
      <c r="D38" s="13">
        <v>0.02</v>
      </c>
      <c r="E38" s="13">
        <v>0.6</v>
      </c>
      <c r="F38" s="13">
        <v>975</v>
      </c>
      <c r="G38" s="13">
        <v>840</v>
      </c>
      <c r="H38" s="14">
        <f>D38/E38</f>
        <v>3.3333333333333333E-2</v>
      </c>
      <c r="I38" s="15">
        <f>D38*F38*G38</f>
        <v>16380</v>
      </c>
    </row>
    <row r="39" spans="2:9" ht="15.75" thickBot="1" x14ac:dyDescent="0.3">
      <c r="B39" s="1"/>
      <c r="C39" s="1"/>
      <c r="D39" s="1"/>
      <c r="E39" s="1"/>
      <c r="F39" s="1"/>
      <c r="G39" s="1"/>
      <c r="H39" s="1"/>
      <c r="I39" s="1"/>
    </row>
    <row r="40" spans="2:9" ht="15.75" thickBot="1" x14ac:dyDescent="0.3">
      <c r="B40" s="50" t="s">
        <v>29</v>
      </c>
      <c r="C40" s="25"/>
      <c r="D40" s="26"/>
      <c r="E40" s="27"/>
      <c r="F40" s="25"/>
      <c r="G40" s="26" t="s">
        <v>2</v>
      </c>
      <c r="H40" s="202">
        <f>(1/(1/8+SUM(H42)+1/23))</f>
        <v>4.0244969378827644</v>
      </c>
      <c r="I40" s="28" t="s">
        <v>0</v>
      </c>
    </row>
    <row r="41" spans="2:9" ht="15.75" thickBot="1" x14ac:dyDescent="0.3">
      <c r="B41" s="4"/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6" t="s">
        <v>9</v>
      </c>
    </row>
    <row r="42" spans="2:9" ht="15.75" thickBot="1" x14ac:dyDescent="0.3">
      <c r="B42" s="12"/>
      <c r="C42" s="13" t="s">
        <v>30</v>
      </c>
      <c r="D42" s="13">
        <v>0.04</v>
      </c>
      <c r="E42" s="13">
        <v>0.5</v>
      </c>
      <c r="F42" s="13">
        <v>600</v>
      </c>
      <c r="G42" s="13">
        <v>1000</v>
      </c>
      <c r="H42" s="14">
        <f>D42/E42</f>
        <v>0.08</v>
      </c>
      <c r="I42" s="15">
        <f>D42*F42*G42</f>
        <v>24000</v>
      </c>
    </row>
    <row r="43" spans="2:9" ht="15.75" thickBot="1" x14ac:dyDescent="0.3"/>
    <row r="44" spans="2:9" ht="15.75" thickBot="1" x14ac:dyDescent="0.3">
      <c r="B44" s="188" t="s">
        <v>135</v>
      </c>
      <c r="C44" s="25"/>
      <c r="D44" s="26"/>
      <c r="E44" s="27"/>
      <c r="F44" s="25"/>
      <c r="G44" s="26" t="s">
        <v>2</v>
      </c>
      <c r="H44" s="207">
        <f>1/(1/10+SUM(H46:H48)+1/6)</f>
        <v>0.46544428772919594</v>
      </c>
      <c r="I44" s="28" t="s">
        <v>0</v>
      </c>
    </row>
    <row r="45" spans="2:9" ht="15.75" thickBot="1" x14ac:dyDescent="0.3">
      <c r="B45" s="4"/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</row>
    <row r="46" spans="2:9" x14ac:dyDescent="0.25">
      <c r="B46" s="7"/>
      <c r="C46" s="30" t="s">
        <v>21</v>
      </c>
      <c r="D46" s="16">
        <v>0.06</v>
      </c>
      <c r="E46" s="1">
        <v>3.5999999999999997E-2</v>
      </c>
      <c r="F46" s="46">
        <v>1850</v>
      </c>
      <c r="G46" s="46">
        <v>840</v>
      </c>
      <c r="H46" s="44">
        <f>D46/E46</f>
        <v>1.6666666666666667</v>
      </c>
      <c r="I46" s="45">
        <f>D46*F46*G46</f>
        <v>93240</v>
      </c>
    </row>
    <row r="47" spans="2:9" x14ac:dyDescent="0.25">
      <c r="B47" s="7"/>
      <c r="C47" s="30" t="s">
        <v>27</v>
      </c>
      <c r="D47">
        <v>0.02</v>
      </c>
      <c r="E47" s="30">
        <v>0.11</v>
      </c>
      <c r="F47" s="30">
        <v>550</v>
      </c>
      <c r="G47" s="30">
        <v>1880</v>
      </c>
      <c r="H47" s="9">
        <f>D47/E47</f>
        <v>0.18181818181818182</v>
      </c>
      <c r="I47" s="10">
        <f>D47*F47*G47</f>
        <v>20680</v>
      </c>
    </row>
    <row r="48" spans="2:9" ht="15.75" thickBot="1" x14ac:dyDescent="0.3">
      <c r="B48" s="12"/>
      <c r="C48" s="13" t="s">
        <v>11</v>
      </c>
      <c r="D48" s="31">
        <v>0.02</v>
      </c>
      <c r="E48" s="13">
        <v>0.6</v>
      </c>
      <c r="F48" s="13">
        <v>975</v>
      </c>
      <c r="G48" s="13">
        <v>840</v>
      </c>
      <c r="H48" s="14">
        <f>D48/E48</f>
        <v>3.3333333333333333E-2</v>
      </c>
      <c r="I48" s="15">
        <f>D48*F48*G48</f>
        <v>16380</v>
      </c>
    </row>
    <row r="49" spans="2:9" ht="15.75" thickBot="1" x14ac:dyDescent="0.3"/>
    <row r="50" spans="2:9" ht="15.75" thickBot="1" x14ac:dyDescent="0.3">
      <c r="B50" s="188" t="s">
        <v>136</v>
      </c>
      <c r="C50" s="25"/>
      <c r="D50" s="26"/>
      <c r="E50" s="27"/>
      <c r="F50" s="25"/>
      <c r="G50" s="26" t="s">
        <v>139</v>
      </c>
      <c r="H50" s="202">
        <f>F52*F51+C52*(1-F51)</f>
        <v>1.5649999999999999</v>
      </c>
      <c r="I50" s="28" t="s">
        <v>0</v>
      </c>
    </row>
    <row r="51" spans="2:9" x14ac:dyDescent="0.25">
      <c r="B51" s="190" t="s">
        <v>137</v>
      </c>
      <c r="C51" s="191">
        <v>0.755</v>
      </c>
      <c r="D51" s="192"/>
      <c r="E51" s="193" t="s">
        <v>140</v>
      </c>
      <c r="F51" s="195">
        <v>0.15</v>
      </c>
      <c r="G51" s="196"/>
      <c r="H51" s="196"/>
      <c r="I51" s="197"/>
    </row>
    <row r="52" spans="2:9" ht="15.75" thickBot="1" x14ac:dyDescent="0.3">
      <c r="B52" s="189" t="s">
        <v>138</v>
      </c>
      <c r="C52" s="198">
        <v>1.4</v>
      </c>
      <c r="D52" s="194"/>
      <c r="E52" s="194" t="s">
        <v>141</v>
      </c>
      <c r="F52" s="198">
        <v>2.5</v>
      </c>
      <c r="G52" s="199"/>
      <c r="H52" s="200"/>
      <c r="I52" s="201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I34" zoomScale="80" zoomScaleNormal="80" workbookViewId="0">
      <selection activeCell="U2" sqref="U2:X86"/>
    </sheetView>
  </sheetViews>
  <sheetFormatPr defaultRowHeight="15" x14ac:dyDescent="0.2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6.140625" style="59" customWidth="1"/>
    <col min="7" max="7" width="10.7109375" style="59" customWidth="1"/>
    <col min="8" max="8" width="9.140625" style="59"/>
    <col min="9" max="10" width="12.7109375" style="59" customWidth="1"/>
    <col min="11" max="11" width="16.85546875" style="59" customWidth="1"/>
    <col min="12" max="12" width="3.42578125" style="59" customWidth="1"/>
    <col min="13" max="13" width="24.85546875" style="59" customWidth="1"/>
    <col min="14" max="16" width="9.140625" style="59"/>
    <col min="17" max="17" width="21.5703125" style="59" bestFit="1" customWidth="1"/>
    <col min="18" max="18" width="2" style="59" bestFit="1" customWidth="1"/>
    <col min="19" max="19" width="51.85546875" style="59" customWidth="1"/>
    <col min="20" max="20" width="9.140625" style="59" customWidth="1"/>
    <col min="21" max="21" width="21.5703125" style="59" customWidth="1"/>
    <col min="22" max="22" width="2" style="59" customWidth="1"/>
    <col min="23" max="23" width="56.5703125" style="59" customWidth="1"/>
    <col min="24" max="16384" width="9.140625" style="59"/>
  </cols>
  <sheetData>
    <row r="1" spans="1:24" x14ac:dyDescent="0.25">
      <c r="I1" s="179" t="s">
        <v>129</v>
      </c>
      <c r="J1" s="180" t="s">
        <v>131</v>
      </c>
      <c r="K1" s="166" t="s">
        <v>88</v>
      </c>
      <c r="L1" s="167" t="s">
        <v>118</v>
      </c>
      <c r="M1" s="167" t="str">
        <f>TEXT(G23,"??.??")&amp;"*Modelica.Constants.pi/180"</f>
        <v xml:space="preserve">  .  *Modelica.Constants.pi/180</v>
      </c>
      <c r="N1" s="168" t="s">
        <v>119</v>
      </c>
      <c r="Q1" s="240" t="s">
        <v>236</v>
      </c>
      <c r="R1" s="240"/>
      <c r="S1" s="240"/>
      <c r="T1" s="240"/>
      <c r="U1" s="240" t="s">
        <v>237</v>
      </c>
      <c r="V1" s="240"/>
      <c r="W1" s="240"/>
      <c r="X1" s="240"/>
    </row>
    <row r="2" spans="1:24" ht="18" x14ac:dyDescent="0.35">
      <c r="A2" s="62"/>
      <c r="B2" s="62" t="s">
        <v>32</v>
      </c>
      <c r="C2" s="63" t="s">
        <v>33</v>
      </c>
      <c r="D2" s="64" t="s">
        <v>34</v>
      </c>
      <c r="E2" s="65"/>
      <c r="F2" s="61"/>
      <c r="I2" s="181" t="s">
        <v>129</v>
      </c>
      <c r="J2" s="182" t="s">
        <v>132</v>
      </c>
      <c r="K2" s="169" t="s">
        <v>89</v>
      </c>
      <c r="L2" s="170" t="s">
        <v>118</v>
      </c>
      <c r="M2" s="83">
        <v>55.74</v>
      </c>
      <c r="N2" s="171" t="s">
        <v>119</v>
      </c>
      <c r="Q2" s="231" t="s">
        <v>155</v>
      </c>
      <c r="R2" s="231" t="s">
        <v>118</v>
      </c>
      <c r="S2" s="234">
        <f>M27</f>
        <v>1.8</v>
      </c>
      <c r="T2" s="230" t="s">
        <v>119</v>
      </c>
      <c r="U2" s="231" t="s">
        <v>155</v>
      </c>
      <c r="V2" s="231" t="s">
        <v>118</v>
      </c>
      <c r="W2" s="234">
        <f>S2</f>
        <v>1.8</v>
      </c>
      <c r="X2" s="230" t="s">
        <v>119</v>
      </c>
    </row>
    <row r="3" spans="1:24" ht="18" x14ac:dyDescent="0.35">
      <c r="A3" s="66" t="s">
        <v>35</v>
      </c>
      <c r="B3" s="67"/>
      <c r="C3" s="68"/>
      <c r="D3" s="64" t="s">
        <v>36</v>
      </c>
      <c r="E3" s="65"/>
      <c r="F3" s="61"/>
      <c r="I3" s="181" t="s">
        <v>129</v>
      </c>
      <c r="J3" s="69" t="s">
        <v>130</v>
      </c>
      <c r="K3" s="169" t="s">
        <v>120</v>
      </c>
      <c r="L3" s="170" t="s">
        <v>118</v>
      </c>
      <c r="M3" s="172">
        <v>32.5</v>
      </c>
      <c r="N3" s="171" t="s">
        <v>119</v>
      </c>
      <c r="Q3" s="231" t="s">
        <v>156</v>
      </c>
      <c r="R3" s="231" t="s">
        <v>118</v>
      </c>
      <c r="S3" s="234">
        <f>M28</f>
        <v>4.8</v>
      </c>
      <c r="T3" s="230" t="s">
        <v>119</v>
      </c>
      <c r="U3" s="231" t="s">
        <v>156</v>
      </c>
      <c r="V3" s="231" t="s">
        <v>118</v>
      </c>
      <c r="W3" s="234">
        <f>S3</f>
        <v>4.8</v>
      </c>
      <c r="X3" s="230" t="s">
        <v>119</v>
      </c>
    </row>
    <row r="4" spans="1:24" x14ac:dyDescent="0.25">
      <c r="A4" s="66" t="s">
        <v>37</v>
      </c>
      <c r="B4" s="71"/>
      <c r="C4" s="72"/>
      <c r="I4" s="181" t="s">
        <v>129</v>
      </c>
      <c r="J4" s="69" t="s">
        <v>130</v>
      </c>
      <c r="K4" s="169" t="s">
        <v>121</v>
      </c>
      <c r="L4" s="170" t="s">
        <v>118</v>
      </c>
      <c r="M4" s="172">
        <v>50.7</v>
      </c>
      <c r="N4" s="171" t="s">
        <v>119</v>
      </c>
      <c r="Q4" s="231" t="s">
        <v>157</v>
      </c>
      <c r="R4" s="231" t="s">
        <v>118</v>
      </c>
      <c r="S4" s="234">
        <f>M25</f>
        <v>7.04</v>
      </c>
      <c r="T4" s="230" t="s">
        <v>119</v>
      </c>
      <c r="U4" s="231" t="s">
        <v>157</v>
      </c>
      <c r="V4" s="231" t="s">
        <v>118</v>
      </c>
      <c r="W4" s="234">
        <f>S4</f>
        <v>7.04</v>
      </c>
      <c r="X4" s="230" t="s">
        <v>119</v>
      </c>
    </row>
    <row r="5" spans="1:24" ht="15.75" thickBot="1" x14ac:dyDescent="0.3">
      <c r="A5" s="74" t="s">
        <v>74</v>
      </c>
      <c r="B5" s="75"/>
      <c r="C5" s="76"/>
      <c r="D5" s="70"/>
      <c r="I5" s="181" t="s">
        <v>129</v>
      </c>
      <c r="J5" s="69" t="s">
        <v>130</v>
      </c>
      <c r="K5" s="169" t="s">
        <v>91</v>
      </c>
      <c r="L5" s="170" t="s">
        <v>118</v>
      </c>
      <c r="M5" s="173">
        <v>6.29</v>
      </c>
      <c r="N5" s="171" t="s">
        <v>119</v>
      </c>
      <c r="Q5" s="231" t="s">
        <v>158</v>
      </c>
      <c r="R5" s="231" t="s">
        <v>118</v>
      </c>
      <c r="S5" s="234">
        <f>M26</f>
        <v>5.64</v>
      </c>
      <c r="T5" s="230" t="s">
        <v>119</v>
      </c>
      <c r="U5" s="231" t="s">
        <v>158</v>
      </c>
      <c r="V5" s="231" t="s">
        <v>118</v>
      </c>
      <c r="W5" s="234">
        <f>S5</f>
        <v>5.64</v>
      </c>
      <c r="X5" s="230" t="s">
        <v>119</v>
      </c>
    </row>
    <row r="6" spans="1:24" ht="15.75" thickBot="1" x14ac:dyDescent="0.3">
      <c r="A6" s="59" t="s">
        <v>38</v>
      </c>
      <c r="B6" s="77">
        <f>SUM(B3:B5)</f>
        <v>0</v>
      </c>
      <c r="C6" s="78">
        <f>SUM(C3:C5)</f>
        <v>0</v>
      </c>
      <c r="I6" s="181" t="s">
        <v>129</v>
      </c>
      <c r="J6" s="69" t="s">
        <v>130</v>
      </c>
      <c r="K6" s="169" t="s">
        <v>92</v>
      </c>
      <c r="L6" s="170" t="s">
        <v>118</v>
      </c>
      <c r="M6" s="173">
        <v>6.29</v>
      </c>
      <c r="N6" s="171" t="s">
        <v>119</v>
      </c>
      <c r="Q6"/>
      <c r="R6" s="231"/>
      <c r="T6" s="230"/>
      <c r="U6"/>
      <c r="V6" s="231"/>
      <c r="W6" s="234"/>
      <c r="X6" s="230"/>
    </row>
    <row r="7" spans="1:24" x14ac:dyDescent="0.25">
      <c r="I7" s="181" t="s">
        <v>129</v>
      </c>
      <c r="J7" s="182" t="s">
        <v>132</v>
      </c>
      <c r="K7" s="169" t="s">
        <v>93</v>
      </c>
      <c r="L7" s="170" t="s">
        <v>118</v>
      </c>
      <c r="M7" s="173">
        <v>236.4</v>
      </c>
      <c r="N7" s="171" t="s">
        <v>119</v>
      </c>
      <c r="Q7" s="231" t="s">
        <v>159</v>
      </c>
      <c r="R7" s="231" t="s">
        <v>118</v>
      </c>
      <c r="S7" s="234">
        <f>M14</f>
        <v>0.8</v>
      </c>
      <c r="T7" s="230" t="s">
        <v>119</v>
      </c>
      <c r="U7" s="231" t="s">
        <v>159</v>
      </c>
      <c r="V7" s="231" t="s">
        <v>118</v>
      </c>
      <c r="W7" s="234">
        <f>S7</f>
        <v>0.8</v>
      </c>
      <c r="X7" s="230" t="s">
        <v>119</v>
      </c>
    </row>
    <row r="8" spans="1:24" x14ac:dyDescent="0.25">
      <c r="B8" s="79" t="s">
        <v>35</v>
      </c>
      <c r="C8" s="79" t="s">
        <v>37</v>
      </c>
      <c r="D8" s="79" t="s">
        <v>74</v>
      </c>
      <c r="E8" s="59" t="s">
        <v>38</v>
      </c>
      <c r="I8" s="181" t="s">
        <v>129</v>
      </c>
      <c r="J8" s="69" t="s">
        <v>130</v>
      </c>
      <c r="K8" s="169" t="s">
        <v>94</v>
      </c>
      <c r="L8" s="170" t="s">
        <v>118</v>
      </c>
      <c r="M8" s="173">
        <v>31.8</v>
      </c>
      <c r="N8" s="171" t="s">
        <v>119</v>
      </c>
      <c r="Q8" s="231" t="s">
        <v>160</v>
      </c>
      <c r="R8" s="231" t="s">
        <v>118</v>
      </c>
      <c r="S8" s="104">
        <f>M15</f>
        <v>2.9</v>
      </c>
      <c r="T8" s="230" t="s">
        <v>119</v>
      </c>
      <c r="U8" s="231" t="s">
        <v>160</v>
      </c>
      <c r="V8" s="231" t="s">
        <v>118</v>
      </c>
      <c r="W8" s="234">
        <f>S8</f>
        <v>2.9</v>
      </c>
      <c r="X8" s="230" t="s">
        <v>119</v>
      </c>
    </row>
    <row r="9" spans="1:24" x14ac:dyDescent="0.25">
      <c r="A9" s="80" t="s">
        <v>39</v>
      </c>
      <c r="B9" s="81"/>
      <c r="C9" s="82"/>
      <c r="D9" s="221" t="s">
        <v>59</v>
      </c>
      <c r="E9" s="83">
        <f t="shared" ref="E9:E24" si="0">SUM(B9:D9)</f>
        <v>0</v>
      </c>
      <c r="G9" s="65">
        <v>0</v>
      </c>
      <c r="I9" s="181" t="s">
        <v>129</v>
      </c>
      <c r="J9" s="69" t="s">
        <v>130</v>
      </c>
      <c r="K9" s="169" t="s">
        <v>95</v>
      </c>
      <c r="L9" s="170" t="s">
        <v>118</v>
      </c>
      <c r="M9" s="173">
        <v>18.2</v>
      </c>
      <c r="N9" s="171" t="s">
        <v>119</v>
      </c>
      <c r="Q9" s="231" t="s">
        <v>161</v>
      </c>
      <c r="R9" s="231" t="s">
        <v>118</v>
      </c>
      <c r="S9" s="234">
        <f>M12</f>
        <v>4.3</v>
      </c>
      <c r="T9" s="230" t="s">
        <v>119</v>
      </c>
      <c r="U9" s="231" t="s">
        <v>161</v>
      </c>
      <c r="V9" s="231" t="s">
        <v>118</v>
      </c>
      <c r="W9" s="234">
        <f>S9</f>
        <v>4.3</v>
      </c>
      <c r="X9" s="230" t="s">
        <v>119</v>
      </c>
    </row>
    <row r="10" spans="1:24" x14ac:dyDescent="0.25">
      <c r="A10" s="80" t="s">
        <v>40</v>
      </c>
      <c r="B10" s="84"/>
      <c r="C10" s="83"/>
      <c r="D10" s="85"/>
      <c r="E10" s="83">
        <f t="shared" si="0"/>
        <v>0</v>
      </c>
      <c r="G10" s="65">
        <v>90</v>
      </c>
      <c r="I10" s="181" t="s">
        <v>129</v>
      </c>
      <c r="J10" s="69" t="s">
        <v>130</v>
      </c>
      <c r="K10" s="169" t="s">
        <v>96</v>
      </c>
      <c r="L10" s="170" t="s">
        <v>118</v>
      </c>
      <c r="M10" s="173">
        <v>36.1</v>
      </c>
      <c r="N10" s="171" t="s">
        <v>119</v>
      </c>
      <c r="Q10" s="231" t="s">
        <v>162</v>
      </c>
      <c r="R10" s="231" t="s">
        <v>118</v>
      </c>
      <c r="S10" s="234">
        <f>M13</f>
        <v>2.7</v>
      </c>
      <c r="T10" s="230" t="s">
        <v>119</v>
      </c>
      <c r="U10" s="231" t="s">
        <v>162</v>
      </c>
      <c r="V10" s="231" t="s">
        <v>118</v>
      </c>
      <c r="W10" s="234">
        <f>S10</f>
        <v>2.7</v>
      </c>
      <c r="X10" s="230" t="s">
        <v>119</v>
      </c>
    </row>
    <row r="11" spans="1:24" x14ac:dyDescent="0.25">
      <c r="A11" s="80" t="s">
        <v>41</v>
      </c>
      <c r="B11" s="84"/>
      <c r="C11" s="86"/>
      <c r="D11" s="216" t="s">
        <v>59</v>
      </c>
      <c r="E11" s="83">
        <f>SUM(B11:D11)</f>
        <v>0</v>
      </c>
      <c r="G11" s="65">
        <v>180</v>
      </c>
      <c r="I11" s="181" t="s">
        <v>129</v>
      </c>
      <c r="J11" s="69" t="s">
        <v>130</v>
      </c>
      <c r="K11" s="169" t="s">
        <v>97</v>
      </c>
      <c r="L11" s="170" t="s">
        <v>118</v>
      </c>
      <c r="M11" s="173">
        <v>18</v>
      </c>
      <c r="N11" s="171" t="s">
        <v>119</v>
      </c>
      <c r="Q11"/>
      <c r="R11" s="231"/>
      <c r="T11" s="230"/>
      <c r="U11"/>
      <c r="V11" s="231"/>
      <c r="X11" s="230"/>
    </row>
    <row r="12" spans="1:24" x14ac:dyDescent="0.25">
      <c r="A12" s="88" t="s">
        <v>42</v>
      </c>
      <c r="B12" s="89"/>
      <c r="C12" s="90"/>
      <c r="D12" s="87"/>
      <c r="E12" s="90">
        <f t="shared" si="0"/>
        <v>0</v>
      </c>
      <c r="G12" s="65">
        <v>270</v>
      </c>
      <c r="I12" s="181" t="s">
        <v>129</v>
      </c>
      <c r="J12" s="69" t="s">
        <v>130</v>
      </c>
      <c r="K12" s="169" t="s">
        <v>98</v>
      </c>
      <c r="L12" s="170" t="s">
        <v>118</v>
      </c>
      <c r="M12" s="173">
        <v>4.3</v>
      </c>
      <c r="N12" s="171" t="s">
        <v>119</v>
      </c>
      <c r="Q12" s="232" t="s">
        <v>154</v>
      </c>
      <c r="R12" s="231"/>
      <c r="T12" s="230"/>
      <c r="U12" s="232" t="s">
        <v>154</v>
      </c>
      <c r="V12" s="231"/>
      <c r="X12" s="230"/>
    </row>
    <row r="13" spans="1:24" x14ac:dyDescent="0.25">
      <c r="A13" s="91" t="s">
        <v>43</v>
      </c>
      <c r="B13" s="62"/>
      <c r="C13" s="92"/>
      <c r="D13" s="221" t="s">
        <v>59</v>
      </c>
      <c r="E13" s="92">
        <f t="shared" si="0"/>
        <v>0</v>
      </c>
      <c r="I13" s="181" t="s">
        <v>129</v>
      </c>
      <c r="J13" s="69" t="s">
        <v>130</v>
      </c>
      <c r="K13" s="169" t="s">
        <v>125</v>
      </c>
      <c r="L13" s="170" t="s">
        <v>118</v>
      </c>
      <c r="M13" s="173">
        <v>2.7</v>
      </c>
      <c r="N13" s="171" t="s">
        <v>119</v>
      </c>
      <c r="Q13" s="178" t="s">
        <v>194</v>
      </c>
      <c r="R13" s="230" t="s">
        <v>118</v>
      </c>
      <c r="S13" s="59">
        <f>S3*S1_EPB2010!$C$55*0.25*0.8</f>
        <v>0.7248</v>
      </c>
      <c r="T13" s="230" t="s">
        <v>119</v>
      </c>
      <c r="U13" s="178" t="s">
        <v>194</v>
      </c>
      <c r="V13" s="230" t="s">
        <v>118</v>
      </c>
      <c r="W13" s="59">
        <f>W3*'S2_1946-1970'!$C$51*0.25*0.8</f>
        <v>0.7248</v>
      </c>
      <c r="X13" s="230" t="s">
        <v>119</v>
      </c>
    </row>
    <row r="14" spans="1:24" x14ac:dyDescent="0.25">
      <c r="A14" s="80" t="s">
        <v>44</v>
      </c>
      <c r="B14" s="93"/>
      <c r="C14" s="69"/>
      <c r="D14" s="222" t="s">
        <v>59</v>
      </c>
      <c r="E14" s="69">
        <f t="shared" si="0"/>
        <v>0</v>
      </c>
      <c r="I14" s="181" t="s">
        <v>129</v>
      </c>
      <c r="J14" s="69" t="s">
        <v>130</v>
      </c>
      <c r="K14" s="169" t="s">
        <v>99</v>
      </c>
      <c r="L14" s="170" t="s">
        <v>118</v>
      </c>
      <c r="M14" s="173">
        <v>0.8</v>
      </c>
      <c r="N14" s="171" t="s">
        <v>119</v>
      </c>
      <c r="Q14" s="178" t="s">
        <v>195</v>
      </c>
      <c r="R14" s="230" t="s">
        <v>118</v>
      </c>
      <c r="S14" s="59">
        <f>S2*S1_EPB2010!$C$55*0.25*0.8</f>
        <v>0.27179999999999999</v>
      </c>
      <c r="T14" s="230" t="s">
        <v>119</v>
      </c>
      <c r="U14" s="178" t="s">
        <v>195</v>
      </c>
      <c r="V14" s="230" t="s">
        <v>118</v>
      </c>
      <c r="W14" s="59">
        <f>W2*'S2_1946-1970'!$C$51*0.25*0.8</f>
        <v>0.27179999999999999</v>
      </c>
      <c r="X14" s="230" t="s">
        <v>119</v>
      </c>
    </row>
    <row r="15" spans="1:24" x14ac:dyDescent="0.25">
      <c r="A15" s="80" t="s">
        <v>45</v>
      </c>
      <c r="B15" s="93"/>
      <c r="C15" s="69"/>
      <c r="D15" s="222" t="s">
        <v>59</v>
      </c>
      <c r="E15" s="69">
        <f t="shared" si="0"/>
        <v>0</v>
      </c>
      <c r="I15" s="181" t="s">
        <v>129</v>
      </c>
      <c r="J15" s="69" t="s">
        <v>130</v>
      </c>
      <c r="K15" s="169" t="s">
        <v>146</v>
      </c>
      <c r="L15" s="170" t="s">
        <v>118</v>
      </c>
      <c r="M15" s="173">
        <v>2.9</v>
      </c>
      <c r="N15" s="171" t="s">
        <v>119</v>
      </c>
      <c r="Q15" s="178" t="s">
        <v>196</v>
      </c>
      <c r="R15" s="230" t="s">
        <v>118</v>
      </c>
      <c r="S15" s="59">
        <f>S4*S1_EPB2010!$C$55*0.25*0.8</f>
        <v>1.06304</v>
      </c>
      <c r="T15" s="230" t="s">
        <v>119</v>
      </c>
      <c r="U15" s="178" t="s">
        <v>196</v>
      </c>
      <c r="V15" s="230" t="s">
        <v>118</v>
      </c>
      <c r="W15" s="59">
        <f>W4*'S2_1946-1970'!$C$51*0.25*0.8</f>
        <v>1.06304</v>
      </c>
      <c r="X15" s="230" t="s">
        <v>119</v>
      </c>
    </row>
    <row r="16" spans="1:24" x14ac:dyDescent="0.25">
      <c r="A16" s="88" t="s">
        <v>46</v>
      </c>
      <c r="B16" s="95"/>
      <c r="C16" s="96"/>
      <c r="D16" s="223" t="s">
        <v>59</v>
      </c>
      <c r="E16" s="96">
        <f t="shared" si="0"/>
        <v>0</v>
      </c>
      <c r="I16" s="181" t="s">
        <v>129</v>
      </c>
      <c r="J16" s="69" t="s">
        <v>130</v>
      </c>
      <c r="K16" s="169" t="s">
        <v>147</v>
      </c>
      <c r="L16" s="170" t="s">
        <v>118</v>
      </c>
      <c r="M16" s="172">
        <v>13.2</v>
      </c>
      <c r="N16" s="171" t="s">
        <v>119</v>
      </c>
      <c r="Q16" s="178" t="s">
        <v>197</v>
      </c>
      <c r="R16" s="230" t="s">
        <v>118</v>
      </c>
      <c r="S16" s="59">
        <f>S5*S1_EPB2010!$C$55*0.25*0.8</f>
        <v>0.85163999999999995</v>
      </c>
      <c r="T16" s="230" t="s">
        <v>119</v>
      </c>
      <c r="U16" s="178" t="s">
        <v>197</v>
      </c>
      <c r="V16" s="230" t="s">
        <v>118</v>
      </c>
      <c r="W16" s="59">
        <f>W5*'S2_1946-1970'!$C$51*0.25*0.8</f>
        <v>0.85163999999999995</v>
      </c>
      <c r="X16" s="230" t="s">
        <v>119</v>
      </c>
    </row>
    <row r="17" spans="1:24" x14ac:dyDescent="0.25">
      <c r="A17" s="91" t="s">
        <v>47</v>
      </c>
      <c r="B17" s="217" t="s">
        <v>59</v>
      </c>
      <c r="C17" s="219" t="s">
        <v>59</v>
      </c>
      <c r="D17" s="221" t="s">
        <v>59</v>
      </c>
      <c r="E17" s="92">
        <f t="shared" si="0"/>
        <v>0</v>
      </c>
      <c r="I17" s="181" t="s">
        <v>129</v>
      </c>
      <c r="J17" s="69" t="s">
        <v>130</v>
      </c>
      <c r="K17" s="169" t="s">
        <v>148</v>
      </c>
      <c r="L17" s="170" t="s">
        <v>118</v>
      </c>
      <c r="M17" s="172">
        <v>13.2</v>
      </c>
      <c r="N17" s="171" t="s">
        <v>119</v>
      </c>
      <c r="Q17" s="178" t="s">
        <v>198</v>
      </c>
      <c r="R17" s="230" t="s">
        <v>118</v>
      </c>
      <c r="S17" s="59">
        <f>S13</f>
        <v>0.7248</v>
      </c>
      <c r="T17" s="230" t="s">
        <v>119</v>
      </c>
      <c r="U17" s="178" t="s">
        <v>198</v>
      </c>
      <c r="V17" s="230" t="s">
        <v>118</v>
      </c>
      <c r="W17" s="59">
        <f>W13</f>
        <v>0.7248</v>
      </c>
      <c r="X17" s="230" t="s">
        <v>119</v>
      </c>
    </row>
    <row r="18" spans="1:24" x14ac:dyDescent="0.25">
      <c r="A18" s="80" t="s">
        <v>48</v>
      </c>
      <c r="B18" s="93">
        <f>2*0.9</f>
        <v>1.8</v>
      </c>
      <c r="C18" s="214" t="s">
        <v>59</v>
      </c>
      <c r="D18" s="222" t="s">
        <v>59</v>
      </c>
      <c r="E18" s="69">
        <f t="shared" si="0"/>
        <v>1.8</v>
      </c>
      <c r="I18" s="181" t="s">
        <v>129</v>
      </c>
      <c r="J18" s="69" t="s">
        <v>130</v>
      </c>
      <c r="K18" s="169" t="s">
        <v>101</v>
      </c>
      <c r="L18" s="170" t="s">
        <v>118</v>
      </c>
      <c r="M18" s="172">
        <v>56.5</v>
      </c>
      <c r="N18" s="171" t="s">
        <v>119</v>
      </c>
      <c r="Q18" s="178" t="s">
        <v>199</v>
      </c>
      <c r="R18" s="230" t="s">
        <v>118</v>
      </c>
      <c r="S18" s="59">
        <f t="shared" ref="S18:S20" si="1">S14</f>
        <v>0.27179999999999999</v>
      </c>
      <c r="T18" s="230" t="s">
        <v>119</v>
      </c>
      <c r="U18" s="178" t="s">
        <v>199</v>
      </c>
      <c r="V18" s="230" t="s">
        <v>118</v>
      </c>
      <c r="W18" s="59">
        <f t="shared" ref="W18:W20" si="2">W14</f>
        <v>0.27179999999999999</v>
      </c>
      <c r="X18" s="230" t="s">
        <v>119</v>
      </c>
    </row>
    <row r="19" spans="1:24" x14ac:dyDescent="0.25">
      <c r="A19" s="80" t="s">
        <v>49</v>
      </c>
      <c r="B19" s="93">
        <f>2*0.9</f>
        <v>1.8</v>
      </c>
      <c r="C19" s="214" t="s">
        <v>59</v>
      </c>
      <c r="D19" s="222" t="s">
        <v>59</v>
      </c>
      <c r="E19" s="69">
        <f t="shared" si="0"/>
        <v>1.8</v>
      </c>
      <c r="I19" s="181" t="s">
        <v>129</v>
      </c>
      <c r="J19" s="69" t="s">
        <v>130</v>
      </c>
      <c r="K19" s="169" t="s">
        <v>103</v>
      </c>
      <c r="L19" s="170" t="s">
        <v>118</v>
      </c>
      <c r="M19" s="172">
        <v>71.3</v>
      </c>
      <c r="N19" s="171" t="s">
        <v>119</v>
      </c>
      <c r="Q19" s="178" t="s">
        <v>200</v>
      </c>
      <c r="R19" s="230" t="s">
        <v>118</v>
      </c>
      <c r="S19" s="59">
        <f t="shared" si="1"/>
        <v>1.06304</v>
      </c>
      <c r="T19" s="230" t="s">
        <v>119</v>
      </c>
      <c r="U19" s="178" t="s">
        <v>200</v>
      </c>
      <c r="V19" s="230" t="s">
        <v>118</v>
      </c>
      <c r="W19" s="59">
        <f t="shared" si="2"/>
        <v>1.06304</v>
      </c>
      <c r="X19" s="230" t="s">
        <v>119</v>
      </c>
    </row>
    <row r="20" spans="1:24" x14ac:dyDescent="0.25">
      <c r="A20" s="88" t="s">
        <v>50</v>
      </c>
      <c r="B20" s="218" t="s">
        <v>59</v>
      </c>
      <c r="C20" s="220" t="s">
        <v>59</v>
      </c>
      <c r="D20" s="223" t="s">
        <v>59</v>
      </c>
      <c r="E20" s="96">
        <f t="shared" si="0"/>
        <v>0</v>
      </c>
      <c r="I20" s="181" t="s">
        <v>129</v>
      </c>
      <c r="J20" s="182" t="s">
        <v>132</v>
      </c>
      <c r="K20" s="169" t="s">
        <v>104</v>
      </c>
      <c r="L20" s="170" t="s">
        <v>118</v>
      </c>
      <c r="M20" s="173">
        <v>236.4</v>
      </c>
      <c r="N20" s="171" t="s">
        <v>119</v>
      </c>
      <c r="Q20" s="178" t="s">
        <v>201</v>
      </c>
      <c r="R20" s="230" t="s">
        <v>118</v>
      </c>
      <c r="S20" s="59">
        <f t="shared" si="1"/>
        <v>0.85163999999999995</v>
      </c>
      <c r="T20" s="230" t="s">
        <v>119</v>
      </c>
      <c r="U20" s="178" t="s">
        <v>201</v>
      </c>
      <c r="V20" s="230" t="s">
        <v>118</v>
      </c>
      <c r="W20" s="59">
        <f t="shared" si="2"/>
        <v>0.85163999999999995</v>
      </c>
      <c r="X20" s="230" t="s">
        <v>119</v>
      </c>
    </row>
    <row r="21" spans="1:24" x14ac:dyDescent="0.25">
      <c r="A21" s="91" t="s">
        <v>51</v>
      </c>
      <c r="B21" s="217" t="s">
        <v>59</v>
      </c>
      <c r="C21" s="99"/>
      <c r="D21" s="100"/>
      <c r="E21" s="99">
        <f>SUM(B21:D21)</f>
        <v>0</v>
      </c>
      <c r="F21" s="64" t="s">
        <v>52</v>
      </c>
      <c r="G21" s="101"/>
      <c r="I21" s="181" t="s">
        <v>129</v>
      </c>
      <c r="J21" s="69" t="s">
        <v>130</v>
      </c>
      <c r="K21" s="169" t="s">
        <v>105</v>
      </c>
      <c r="L21" s="170" t="s">
        <v>118</v>
      </c>
      <c r="M21" s="172">
        <v>24.76</v>
      </c>
      <c r="N21" s="171" t="s">
        <v>119</v>
      </c>
      <c r="Q21" s="178" t="s">
        <v>202</v>
      </c>
      <c r="R21" s="230" t="s">
        <v>118</v>
      </c>
      <c r="S21" s="59">
        <v>0</v>
      </c>
      <c r="T21" s="230" t="s">
        <v>119</v>
      </c>
      <c r="U21" s="178" t="s">
        <v>202</v>
      </c>
      <c r="V21" s="230" t="s">
        <v>118</v>
      </c>
      <c r="W21" s="59">
        <v>0</v>
      </c>
      <c r="X21" s="230" t="s">
        <v>119</v>
      </c>
    </row>
    <row r="22" spans="1:24" x14ac:dyDescent="0.25">
      <c r="A22" s="80" t="s">
        <v>53</v>
      </c>
      <c r="B22" s="224" t="s">
        <v>59</v>
      </c>
      <c r="C22" s="227" t="s">
        <v>59</v>
      </c>
      <c r="D22" s="228" t="s">
        <v>59</v>
      </c>
      <c r="E22" s="86">
        <f t="shared" si="0"/>
        <v>0</v>
      </c>
      <c r="F22" s="64"/>
      <c r="G22" s="102"/>
      <c r="I22" s="181" t="s">
        <v>129</v>
      </c>
      <c r="J22" s="69" t="s">
        <v>130</v>
      </c>
      <c r="K22" s="169" t="s">
        <v>106</v>
      </c>
      <c r="L22" s="170" t="s">
        <v>118</v>
      </c>
      <c r="M22" s="172">
        <v>15.26</v>
      </c>
      <c r="N22" s="171" t="s">
        <v>119</v>
      </c>
      <c r="Q22" s="178" t="s">
        <v>203</v>
      </c>
      <c r="R22" s="230" t="s">
        <v>118</v>
      </c>
      <c r="S22" s="59">
        <v>0</v>
      </c>
      <c r="T22" s="230" t="s">
        <v>119</v>
      </c>
      <c r="U22" s="178" t="s">
        <v>203</v>
      </c>
      <c r="V22" s="230" t="s">
        <v>118</v>
      </c>
      <c r="W22" s="59">
        <v>0</v>
      </c>
      <c r="X22" s="230" t="s">
        <v>119</v>
      </c>
    </row>
    <row r="23" spans="1:24" x14ac:dyDescent="0.25">
      <c r="A23" s="80" t="s">
        <v>54</v>
      </c>
      <c r="B23" s="225" t="s">
        <v>59</v>
      </c>
      <c r="C23" s="83"/>
      <c r="D23" s="85"/>
      <c r="E23" s="83">
        <f t="shared" si="0"/>
        <v>0</v>
      </c>
      <c r="F23" s="64" t="s">
        <v>52</v>
      </c>
      <c r="G23" s="101"/>
      <c r="I23" s="181" t="s">
        <v>129</v>
      </c>
      <c r="J23" s="69" t="s">
        <v>130</v>
      </c>
      <c r="K23" s="169" t="s">
        <v>107</v>
      </c>
      <c r="L23" s="170" t="s">
        <v>118</v>
      </c>
      <c r="M23" s="172">
        <v>30</v>
      </c>
      <c r="N23" s="171" t="s">
        <v>119</v>
      </c>
      <c r="Q23" s="178" t="s">
        <v>204</v>
      </c>
      <c r="R23" s="230" t="s">
        <v>118</v>
      </c>
      <c r="S23" s="59">
        <v>0</v>
      </c>
      <c r="T23" s="230" t="s">
        <v>119</v>
      </c>
      <c r="U23" s="178" t="s">
        <v>204</v>
      </c>
      <c r="V23" s="230" t="s">
        <v>118</v>
      </c>
      <c r="W23" s="59">
        <v>0</v>
      </c>
      <c r="X23" s="230" t="s">
        <v>119</v>
      </c>
    </row>
    <row r="24" spans="1:24" x14ac:dyDescent="0.25">
      <c r="A24" s="88" t="s">
        <v>55</v>
      </c>
      <c r="B24" s="226" t="s">
        <v>59</v>
      </c>
      <c r="C24" s="220" t="s">
        <v>59</v>
      </c>
      <c r="D24" s="229" t="s">
        <v>59</v>
      </c>
      <c r="E24" s="96">
        <f t="shared" si="0"/>
        <v>0</v>
      </c>
      <c r="I24" s="181" t="s">
        <v>129</v>
      </c>
      <c r="J24" s="69" t="s">
        <v>130</v>
      </c>
      <c r="K24" s="169" t="s">
        <v>108</v>
      </c>
      <c r="L24" s="170" t="s">
        <v>118</v>
      </c>
      <c r="M24" s="172">
        <v>16.100000000000001</v>
      </c>
      <c r="N24" s="171" t="s">
        <v>119</v>
      </c>
      <c r="Q24" s="178" t="s">
        <v>205</v>
      </c>
      <c r="R24" s="230" t="s">
        <v>118</v>
      </c>
      <c r="S24" s="59">
        <v>0</v>
      </c>
      <c r="T24" s="230" t="s">
        <v>119</v>
      </c>
      <c r="U24" s="178" t="s">
        <v>205</v>
      </c>
      <c r="V24" s="230" t="s">
        <v>118</v>
      </c>
      <c r="W24" s="59">
        <v>0</v>
      </c>
      <c r="X24" s="230" t="s">
        <v>119</v>
      </c>
    </row>
    <row r="25" spans="1:24" x14ac:dyDescent="0.25">
      <c r="A25" s="103" t="s">
        <v>56</v>
      </c>
      <c r="B25" s="84"/>
      <c r="C25" s="215" t="s">
        <v>59</v>
      </c>
      <c r="D25" s="216" t="s">
        <v>59</v>
      </c>
      <c r="E25" s="104">
        <f>SUM(B25:D25)</f>
        <v>0</v>
      </c>
      <c r="I25" s="181" t="s">
        <v>129</v>
      </c>
      <c r="J25" s="69" t="s">
        <v>130</v>
      </c>
      <c r="K25" s="169" t="s">
        <v>109</v>
      </c>
      <c r="L25" s="170" t="s">
        <v>118</v>
      </c>
      <c r="M25" s="172">
        <v>7.04</v>
      </c>
      <c r="N25" s="171" t="s">
        <v>119</v>
      </c>
      <c r="Q25" s="178" t="s">
        <v>206</v>
      </c>
      <c r="R25" s="230" t="s">
        <v>118</v>
      </c>
      <c r="S25" s="59">
        <f>S13</f>
        <v>0.7248</v>
      </c>
      <c r="T25" s="230" t="s">
        <v>119</v>
      </c>
      <c r="U25" s="178" t="s">
        <v>206</v>
      </c>
      <c r="V25" s="230" t="s">
        <v>118</v>
      </c>
      <c r="W25" s="59">
        <f>W13</f>
        <v>0.7248</v>
      </c>
      <c r="X25" s="230" t="s">
        <v>119</v>
      </c>
    </row>
    <row r="26" spans="1:24" x14ac:dyDescent="0.25">
      <c r="A26" s="105" t="s">
        <v>57</v>
      </c>
      <c r="B26" s="84"/>
      <c r="C26" s="83"/>
      <c r="D26" s="87"/>
      <c r="E26" s="104">
        <f>SUM(B26:D26)</f>
        <v>0</v>
      </c>
      <c r="I26" s="181" t="s">
        <v>129</v>
      </c>
      <c r="J26" s="69" t="s">
        <v>130</v>
      </c>
      <c r="K26" s="169" t="s">
        <v>127</v>
      </c>
      <c r="L26" s="170" t="s">
        <v>118</v>
      </c>
      <c r="M26" s="172">
        <v>5.64</v>
      </c>
      <c r="N26" s="171" t="s">
        <v>119</v>
      </c>
      <c r="Q26" s="178" t="s">
        <v>207</v>
      </c>
      <c r="R26" s="230" t="s">
        <v>118</v>
      </c>
      <c r="S26" s="59">
        <f t="shared" ref="S26:S32" si="3">S14</f>
        <v>0.27179999999999999</v>
      </c>
      <c r="T26" s="230" t="s">
        <v>119</v>
      </c>
      <c r="U26" s="178" t="s">
        <v>207</v>
      </c>
      <c r="V26" s="230" t="s">
        <v>118</v>
      </c>
      <c r="W26" s="59">
        <f t="shared" ref="W26:W32" si="4">W14</f>
        <v>0.27179999999999999</v>
      </c>
      <c r="X26" s="230" t="s">
        <v>119</v>
      </c>
    </row>
    <row r="27" spans="1:24" x14ac:dyDescent="0.25">
      <c r="A27" s="79" t="s">
        <v>58</v>
      </c>
      <c r="B27" s="84"/>
      <c r="C27" s="214" t="s">
        <v>59</v>
      </c>
      <c r="D27" s="87"/>
      <c r="I27" s="181" t="s">
        <v>129</v>
      </c>
      <c r="J27" s="69" t="s">
        <v>130</v>
      </c>
      <c r="K27" s="169" t="s">
        <v>110</v>
      </c>
      <c r="L27" s="170" t="s">
        <v>118</v>
      </c>
      <c r="M27" s="172">
        <v>1.8</v>
      </c>
      <c r="N27" s="171" t="s">
        <v>119</v>
      </c>
      <c r="Q27" s="178" t="s">
        <v>208</v>
      </c>
      <c r="R27" s="230" t="s">
        <v>118</v>
      </c>
      <c r="S27" s="59">
        <f t="shared" si="3"/>
        <v>1.06304</v>
      </c>
      <c r="T27" s="230" t="s">
        <v>119</v>
      </c>
      <c r="U27" s="178" t="s">
        <v>208</v>
      </c>
      <c r="V27" s="230" t="s">
        <v>118</v>
      </c>
      <c r="W27" s="59">
        <f t="shared" si="4"/>
        <v>1.06304</v>
      </c>
      <c r="X27" s="230" t="s">
        <v>119</v>
      </c>
    </row>
    <row r="28" spans="1:24" x14ac:dyDescent="0.25">
      <c r="A28" s="79" t="s">
        <v>60</v>
      </c>
      <c r="B28" s="106"/>
      <c r="C28" s="107"/>
      <c r="D28" s="108"/>
      <c r="E28" s="98"/>
      <c r="I28" s="181" t="s">
        <v>129</v>
      </c>
      <c r="J28" s="69" t="s">
        <v>130</v>
      </c>
      <c r="K28" s="169" t="s">
        <v>149</v>
      </c>
      <c r="L28" s="170" t="s">
        <v>118</v>
      </c>
      <c r="M28" s="172">
        <v>4.8</v>
      </c>
      <c r="N28" s="171" t="s">
        <v>119</v>
      </c>
      <c r="Q28" s="178" t="s">
        <v>209</v>
      </c>
      <c r="R28" s="230" t="s">
        <v>118</v>
      </c>
      <c r="S28" s="59">
        <f t="shared" si="3"/>
        <v>0.85163999999999995</v>
      </c>
      <c r="T28" s="230" t="s">
        <v>119</v>
      </c>
      <c r="U28" s="178" t="s">
        <v>209</v>
      </c>
      <c r="V28" s="230" t="s">
        <v>118</v>
      </c>
      <c r="W28" s="59">
        <f t="shared" si="4"/>
        <v>0.85163999999999995</v>
      </c>
      <c r="X28" s="230" t="s">
        <v>119</v>
      </c>
    </row>
    <row r="29" spans="1:24" x14ac:dyDescent="0.25">
      <c r="E29" s="98"/>
      <c r="I29" s="181" t="s">
        <v>129</v>
      </c>
      <c r="J29" s="69" t="s">
        <v>130</v>
      </c>
      <c r="K29" s="169" t="s">
        <v>153</v>
      </c>
      <c r="L29" s="170" t="s">
        <v>118</v>
      </c>
      <c r="M29" s="172">
        <v>1.8</v>
      </c>
      <c r="N29" s="171" t="s">
        <v>119</v>
      </c>
      <c r="O29" s="212" t="s">
        <v>150</v>
      </c>
      <c r="Q29" s="178" t="s">
        <v>210</v>
      </c>
      <c r="R29" s="230" t="s">
        <v>118</v>
      </c>
      <c r="S29" s="59">
        <f t="shared" si="3"/>
        <v>0.7248</v>
      </c>
      <c r="T29" s="230" t="s">
        <v>119</v>
      </c>
      <c r="U29" s="178" t="s">
        <v>210</v>
      </c>
      <c r="V29" s="230" t="s">
        <v>118</v>
      </c>
      <c r="W29" s="59">
        <f t="shared" si="4"/>
        <v>0.7248</v>
      </c>
      <c r="X29" s="230" t="s">
        <v>119</v>
      </c>
    </row>
    <row r="30" spans="1:24" x14ac:dyDescent="0.25">
      <c r="I30" s="181" t="s">
        <v>129</v>
      </c>
      <c r="J30" s="69" t="s">
        <v>130</v>
      </c>
      <c r="K30" s="169" t="s">
        <v>113</v>
      </c>
      <c r="L30" s="170" t="s">
        <v>118</v>
      </c>
      <c r="M30" s="172">
        <v>71.3</v>
      </c>
      <c r="N30" s="171" t="s">
        <v>119</v>
      </c>
      <c r="Q30" s="178" t="s">
        <v>211</v>
      </c>
      <c r="R30" s="230" t="s">
        <v>118</v>
      </c>
      <c r="S30" s="59">
        <f t="shared" si="3"/>
        <v>0.27179999999999999</v>
      </c>
      <c r="T30" s="230" t="s">
        <v>119</v>
      </c>
      <c r="U30" s="178" t="s">
        <v>211</v>
      </c>
      <c r="V30" s="230" t="s">
        <v>118</v>
      </c>
      <c r="W30" s="59">
        <f t="shared" si="4"/>
        <v>0.27179999999999999</v>
      </c>
      <c r="X30" s="230" t="s">
        <v>119</v>
      </c>
    </row>
    <row r="31" spans="1:24" ht="15.75" thickBot="1" x14ac:dyDescent="0.3">
      <c r="C31" s="109" t="s">
        <v>75</v>
      </c>
      <c r="D31" s="110" t="s">
        <v>61</v>
      </c>
      <c r="I31" s="181" t="s">
        <v>129</v>
      </c>
      <c r="J31" s="182" t="s">
        <v>133</v>
      </c>
      <c r="K31" s="169" t="s">
        <v>114</v>
      </c>
      <c r="L31" s="170" t="s">
        <v>118</v>
      </c>
      <c r="M31" s="172">
        <v>40.5</v>
      </c>
      <c r="N31" s="171" t="s">
        <v>119</v>
      </c>
      <c r="Q31" s="178" t="s">
        <v>212</v>
      </c>
      <c r="R31" s="230" t="s">
        <v>118</v>
      </c>
      <c r="S31" s="59">
        <f t="shared" si="3"/>
        <v>1.06304</v>
      </c>
      <c r="T31" s="230" t="s">
        <v>119</v>
      </c>
      <c r="U31" s="178" t="s">
        <v>212</v>
      </c>
      <c r="V31" s="230" t="s">
        <v>118</v>
      </c>
      <c r="W31" s="59">
        <f t="shared" si="4"/>
        <v>1.06304</v>
      </c>
      <c r="X31" s="230" t="s">
        <v>119</v>
      </c>
    </row>
    <row r="32" spans="1:24" x14ac:dyDescent="0.25">
      <c r="A32" s="111" t="s">
        <v>62</v>
      </c>
      <c r="B32" s="112">
        <f>SUM(B9:D12,B17:D20)</f>
        <v>3.6</v>
      </c>
      <c r="C32" s="93"/>
      <c r="D32" s="113" t="e">
        <f>ABS((C32-B32)/C32*100)</f>
        <v>#DIV/0!</v>
      </c>
      <c r="I32" s="181" t="s">
        <v>129</v>
      </c>
      <c r="J32" s="69" t="s">
        <v>130</v>
      </c>
      <c r="K32" s="169" t="s">
        <v>152</v>
      </c>
      <c r="L32" s="170" t="s">
        <v>118</v>
      </c>
      <c r="M32" s="172">
        <v>58.65</v>
      </c>
      <c r="N32" s="171" t="s">
        <v>119</v>
      </c>
      <c r="Q32" s="178" t="s">
        <v>213</v>
      </c>
      <c r="R32" s="230" t="s">
        <v>118</v>
      </c>
      <c r="S32" s="59">
        <f t="shared" si="3"/>
        <v>0.85163999999999995</v>
      </c>
      <c r="T32" s="230" t="s">
        <v>119</v>
      </c>
      <c r="U32" s="178" t="s">
        <v>213</v>
      </c>
      <c r="V32" s="230" t="s">
        <v>118</v>
      </c>
      <c r="W32" s="59">
        <f t="shared" si="4"/>
        <v>0.85163999999999995</v>
      </c>
      <c r="X32" s="230" t="s">
        <v>119</v>
      </c>
    </row>
    <row r="33" spans="1:24" ht="15" customHeight="1" thickBot="1" x14ac:dyDescent="0.3">
      <c r="A33" s="114" t="s">
        <v>63</v>
      </c>
      <c r="B33" s="115">
        <f>SUM(B21:D24)</f>
        <v>0</v>
      </c>
      <c r="C33" s="93"/>
      <c r="D33" s="116" t="e">
        <f>ABS((C33-B33)/C33*100)</f>
        <v>#DIV/0!</v>
      </c>
      <c r="I33" s="183" t="s">
        <v>129</v>
      </c>
      <c r="J33" s="184" t="s">
        <v>130</v>
      </c>
      <c r="K33" s="174" t="s">
        <v>151</v>
      </c>
      <c r="L33" s="175" t="s">
        <v>118</v>
      </c>
      <c r="M33" s="177">
        <v>71.3</v>
      </c>
      <c r="N33" s="176" t="s">
        <v>119</v>
      </c>
      <c r="Q33"/>
      <c r="R33" s="231"/>
      <c r="T33" s="230"/>
      <c r="U33"/>
      <c r="V33" s="231"/>
      <c r="X33" s="230"/>
    </row>
    <row r="34" spans="1:24" x14ac:dyDescent="0.25">
      <c r="A34" s="114" t="s">
        <v>64</v>
      </c>
      <c r="B34" s="117">
        <f>SUM(B25:D25)</f>
        <v>0</v>
      </c>
      <c r="C34" s="93"/>
      <c r="D34" s="116" t="e">
        <f>ABS((C34-B34)/C34*100)</f>
        <v>#DIV/0!</v>
      </c>
      <c r="Q34" s="233" t="s">
        <v>163</v>
      </c>
      <c r="R34" s="231" t="s">
        <v>118</v>
      </c>
      <c r="S34" s="236">
        <f>$M$17*1.204*1012*5</f>
        <v>80417.567999999999</v>
      </c>
      <c r="T34" s="230" t="s">
        <v>119</v>
      </c>
      <c r="U34" s="233" t="s">
        <v>163</v>
      </c>
      <c r="V34" s="231" t="s">
        <v>118</v>
      </c>
      <c r="W34" s="236">
        <f>$M$17*1.204*1012*5</f>
        <v>80417.567999999999</v>
      </c>
      <c r="X34" s="230" t="s">
        <v>119</v>
      </c>
    </row>
    <row r="35" spans="1:24" x14ac:dyDescent="0.25">
      <c r="A35" s="114" t="s">
        <v>65</v>
      </c>
      <c r="B35" s="117">
        <f>SUM(B28:D28)+D27</f>
        <v>0</v>
      </c>
      <c r="C35" s="118"/>
      <c r="D35" s="119" t="e">
        <f>ABS((C35-B35)/C35*100)</f>
        <v>#DIV/0!</v>
      </c>
      <c r="Q35" s="233" t="s">
        <v>164</v>
      </c>
      <c r="R35" s="231" t="s">
        <v>118</v>
      </c>
      <c r="S35" s="236">
        <f>SUM($M$21:$M$24)*SUM(S1_EPB2010!$I$7:$I$8)</f>
        <v>10019200.800000003</v>
      </c>
      <c r="T35" s="230" t="s">
        <v>119</v>
      </c>
      <c r="U35" s="233" t="s">
        <v>164</v>
      </c>
      <c r="V35" s="231" t="s">
        <v>118</v>
      </c>
      <c r="W35" s="236">
        <f>SUM($M$21:$M24)*SUM('S2_1946-1970'!$I$6:$I$7)</f>
        <v>20146912.800000001</v>
      </c>
      <c r="X35" s="230" t="s">
        <v>119</v>
      </c>
    </row>
    <row r="36" spans="1:24" ht="15.75" thickBot="1" x14ac:dyDescent="0.3">
      <c r="A36" s="121" t="s">
        <v>67</v>
      </c>
      <c r="B36" s="122">
        <f>SUM(B13:D16)</f>
        <v>0</v>
      </c>
      <c r="C36" s="93"/>
      <c r="D36" s="116" t="e">
        <f>ABS((C36-B36)/C36*100)</f>
        <v>#DIV/0!</v>
      </c>
      <c r="I36" s="239" t="s">
        <v>145</v>
      </c>
      <c r="J36" s="239"/>
      <c r="K36" s="239"/>
      <c r="L36" s="239"/>
      <c r="M36" s="239"/>
      <c r="N36" s="239"/>
      <c r="Q36" s="233" t="s">
        <v>165</v>
      </c>
      <c r="R36" s="231" t="s">
        <v>118</v>
      </c>
      <c r="S36" s="236">
        <f>SUM($M$32)*SUM(S1_EPB2010!$I$33:$I$35)</f>
        <v>11035584</v>
      </c>
      <c r="T36" s="230" t="s">
        <v>119</v>
      </c>
      <c r="U36" s="233" t="s">
        <v>165</v>
      </c>
      <c r="V36" s="231" t="s">
        <v>118</v>
      </c>
      <c r="W36" s="236">
        <f>SUM($M$32)*SUM('S2_1946-1970'!$I$29:$I$31)</f>
        <v>14681268</v>
      </c>
      <c r="X36" s="230" t="s">
        <v>119</v>
      </c>
    </row>
    <row r="37" spans="1:24" ht="15.75" thickBot="1" x14ac:dyDescent="0.3">
      <c r="C37" s="93"/>
      <c r="D37" s="116"/>
      <c r="I37" s="239"/>
      <c r="J37" s="239"/>
      <c r="K37" s="239"/>
      <c r="L37" s="239"/>
      <c r="M37" s="239"/>
      <c r="N37" s="239"/>
      <c r="Q37" s="233" t="s">
        <v>166</v>
      </c>
      <c r="R37" s="231" t="s">
        <v>118</v>
      </c>
      <c r="S37" s="235">
        <f>SUM($M$30)*SUM(S1_EPB2010!$I$26:$I$27)</f>
        <v>6562452</v>
      </c>
      <c r="T37" s="230" t="s">
        <v>119</v>
      </c>
      <c r="U37" s="233" t="s">
        <v>166</v>
      </c>
      <c r="V37" s="231" t="s">
        <v>118</v>
      </c>
      <c r="W37" s="235">
        <f>SUM($M$30)*SUM('S2_1946-1970'!$I$37:$I$38)</f>
        <v>29916054</v>
      </c>
      <c r="X37" s="230" t="s">
        <v>119</v>
      </c>
    </row>
    <row r="38" spans="1:24" x14ac:dyDescent="0.25">
      <c r="A38" s="111" t="s">
        <v>32</v>
      </c>
      <c r="B38" s="112">
        <f>B6</f>
        <v>0</v>
      </c>
      <c r="C38" s="93"/>
      <c r="D38" s="116" t="e">
        <f>ABS((C38-B38)/C38*100)</f>
        <v>#DIV/0!</v>
      </c>
      <c r="I38" s="239"/>
      <c r="J38" s="239"/>
      <c r="K38" s="239"/>
      <c r="L38" s="239"/>
      <c r="M38" s="239"/>
      <c r="N38" s="239"/>
      <c r="Q38"/>
      <c r="R38" s="231"/>
      <c r="T38" s="230"/>
      <c r="U38"/>
      <c r="V38" s="231"/>
      <c r="X38" s="230"/>
    </row>
    <row r="39" spans="1:24" ht="15.75" thickBot="1" x14ac:dyDescent="0.3">
      <c r="A39" s="121" t="s">
        <v>33</v>
      </c>
      <c r="B39" s="122">
        <f>C6</f>
        <v>0</v>
      </c>
      <c r="C39" s="95"/>
      <c r="D39" s="123" t="e">
        <f>ABS((C39-B39)/C39*100)</f>
        <v>#DIV/0!</v>
      </c>
      <c r="H39" s="213"/>
      <c r="I39" s="213"/>
      <c r="J39" s="213"/>
      <c r="K39" s="213"/>
      <c r="L39" s="213"/>
      <c r="M39" s="213"/>
      <c r="Q39" s="233" t="s">
        <v>167</v>
      </c>
      <c r="R39" s="231" t="s">
        <v>118</v>
      </c>
      <c r="S39" s="237">
        <v>0.05</v>
      </c>
      <c r="T39" s="230" t="s">
        <v>119</v>
      </c>
      <c r="U39" s="233" t="s">
        <v>167</v>
      </c>
      <c r="V39" s="231" t="s">
        <v>118</v>
      </c>
      <c r="W39" s="237">
        <v>0.05</v>
      </c>
      <c r="X39" s="230" t="s">
        <v>119</v>
      </c>
    </row>
    <row r="40" spans="1:24" x14ac:dyDescent="0.25">
      <c r="C40" s="59" t="s">
        <v>68</v>
      </c>
      <c r="D40" s="124" t="s">
        <v>69</v>
      </c>
      <c r="Q40" s="233" t="s">
        <v>168</v>
      </c>
      <c r="R40" s="231" t="s">
        <v>118</v>
      </c>
      <c r="S40" s="237">
        <v>0.1</v>
      </c>
      <c r="T40" s="230" t="s">
        <v>119</v>
      </c>
      <c r="U40" s="233" t="s">
        <v>168</v>
      </c>
      <c r="V40" s="231" t="s">
        <v>118</v>
      </c>
      <c r="W40" s="237">
        <v>0.1</v>
      </c>
      <c r="X40" s="230" t="s">
        <v>119</v>
      </c>
    </row>
    <row r="41" spans="1:24" x14ac:dyDescent="0.25">
      <c r="Q41" s="233" t="s">
        <v>169</v>
      </c>
      <c r="R41" s="231" t="s">
        <v>118</v>
      </c>
      <c r="S41" s="237">
        <v>0.7</v>
      </c>
      <c r="T41" s="230" t="s">
        <v>119</v>
      </c>
      <c r="U41" s="233" t="s">
        <v>169</v>
      </c>
      <c r="V41" s="231" t="s">
        <v>118</v>
      </c>
      <c r="W41" s="237">
        <v>0.7</v>
      </c>
      <c r="X41" s="230" t="s">
        <v>119</v>
      </c>
    </row>
    <row r="42" spans="1:24" x14ac:dyDescent="0.25">
      <c r="A42" s="125"/>
      <c r="B42" s="104"/>
      <c r="D42" s="104"/>
      <c r="E42" s="126"/>
      <c r="Q42" s="233" t="s">
        <v>170</v>
      </c>
      <c r="R42" s="231" t="s">
        <v>118</v>
      </c>
      <c r="S42" s="237">
        <v>0.05</v>
      </c>
      <c r="T42" s="230" t="s">
        <v>119</v>
      </c>
      <c r="U42" s="233" t="s">
        <v>170</v>
      </c>
      <c r="V42" s="231" t="s">
        <v>118</v>
      </c>
      <c r="W42" s="237">
        <v>0.05</v>
      </c>
      <c r="X42" s="230" t="s">
        <v>119</v>
      </c>
    </row>
    <row r="43" spans="1:24" x14ac:dyDescent="0.25">
      <c r="A43" s="127"/>
      <c r="B43" s="104"/>
      <c r="E43" s="104"/>
      <c r="G43" s="104"/>
      <c r="Q43"/>
      <c r="R43" s="231"/>
      <c r="T43" s="230"/>
      <c r="U43"/>
      <c r="V43" s="231"/>
      <c r="X43" s="230"/>
    </row>
    <row r="44" spans="1:24" x14ac:dyDescent="0.25">
      <c r="B44" s="104"/>
      <c r="E44" s="104"/>
      <c r="G44" s="104"/>
      <c r="Q44" s="233" t="s">
        <v>171</v>
      </c>
      <c r="R44" s="231" t="s">
        <v>118</v>
      </c>
      <c r="S44" s="59">
        <f>SUM($M$21:$M$24)*(1/(1/6+SUM(S1_EPB2010!$H$7:$H$8)))</f>
        <v>159.05045045045043</v>
      </c>
      <c r="T44" s="230" t="s">
        <v>119</v>
      </c>
      <c r="U44" s="233" t="s">
        <v>171</v>
      </c>
      <c r="V44" s="231" t="s">
        <v>118</v>
      </c>
      <c r="W44" s="59">
        <f>SUM($M$21:$M$24)*(1/(1/6+SUM('S2_1946-1970'!$H$6:$H$7)))</f>
        <v>263.14444444444445</v>
      </c>
      <c r="X44" s="230" t="s">
        <v>119</v>
      </c>
    </row>
    <row r="45" spans="1:24" x14ac:dyDescent="0.25">
      <c r="A45" s="127"/>
      <c r="B45" s="104"/>
      <c r="Q45" s="233" t="s">
        <v>172</v>
      </c>
      <c r="R45" s="231" t="s">
        <v>118</v>
      </c>
      <c r="S45" s="59">
        <f>$M$30*(1/(1/3+SUM(S1_EPB2010!$H$26:$H$27)))</f>
        <v>159.28723404255319</v>
      </c>
      <c r="T45" s="230" t="s">
        <v>119</v>
      </c>
      <c r="U45" s="233" t="s">
        <v>172</v>
      </c>
      <c r="V45" s="231" t="s">
        <v>118</v>
      </c>
      <c r="W45" s="59">
        <f>$M30*(1/(1/3+SUM('S2_1946-1970'!$H$37:$H$38)))</f>
        <v>147.21862348178138</v>
      </c>
      <c r="X45" s="230" t="s">
        <v>119</v>
      </c>
    </row>
    <row r="46" spans="1:24" x14ac:dyDescent="0.25">
      <c r="Q46" s="233" t="s">
        <v>173</v>
      </c>
      <c r="R46" s="231" t="s">
        <v>118</v>
      </c>
      <c r="S46" s="59">
        <f>$M$32*1/(2*SUM(S1_EPB2010!$H$33:$H$35)/4+1/8)</f>
        <v>287.79925650557618</v>
      </c>
      <c r="T46" s="230" t="s">
        <v>119</v>
      </c>
      <c r="U46" s="233" t="s">
        <v>173</v>
      </c>
      <c r="V46" s="231" t="s">
        <v>118</v>
      </c>
      <c r="W46" s="59">
        <f>$M$32*1/(2*SUM('S2_1946-1970'!$H$29:$H$31)/4+1/8)</f>
        <v>264.22525597269623</v>
      </c>
      <c r="X46" s="230" t="s">
        <v>119</v>
      </c>
    </row>
    <row r="47" spans="1:24" x14ac:dyDescent="0.25">
      <c r="Q47" s="233" t="s">
        <v>174</v>
      </c>
      <c r="R47" s="231" t="s">
        <v>118</v>
      </c>
      <c r="S47" s="59">
        <f>$M$20*2/20*1.204*1012/3600+2*SUM($M$29)*S1_EPB2010!$H$44+S1_EPB2010!$H$54*SUM($S$2:$S$5)</f>
        <v>48.734869629173538</v>
      </c>
      <c r="T47" s="230" t="s">
        <v>119</v>
      </c>
      <c r="U47" s="233" t="s">
        <v>174</v>
      </c>
      <c r="V47" s="231" t="s">
        <v>118</v>
      </c>
      <c r="W47" s="59">
        <f>$M$20*10/20*1.204*1012/3600+(2*$M$29)*(1/(1/8+'S2_1946-1970'!H40))+'S2_1946-1970'!H50*SUM($S$2:$S$5)</f>
        <v>71.046484380114038</v>
      </c>
      <c r="X47" s="230" t="s">
        <v>119</v>
      </c>
    </row>
    <row r="48" spans="1:24" x14ac:dyDescent="0.25">
      <c r="Q48" s="233" t="s">
        <v>175</v>
      </c>
      <c r="R48" s="231" t="s">
        <v>118</v>
      </c>
      <c r="S48" s="230">
        <f>SUM($M$21:$M$24)*(1/(1/23+SUM(S1_EPB2010!$H$4:$H$6)))</f>
        <v>43.471808036604997</v>
      </c>
      <c r="T48" s="230" t="s">
        <v>119</v>
      </c>
      <c r="U48" s="233" t="s">
        <v>175</v>
      </c>
      <c r="V48" s="231" t="s">
        <v>118</v>
      </c>
      <c r="W48" s="230">
        <f>SUM($M21:$M24)*(1/(1/23+SUM('S2_1946-1970'!$H$4:$H$5)))</f>
        <v>290.74406191619971</v>
      </c>
      <c r="X48" s="230" t="s">
        <v>119</v>
      </c>
    </row>
    <row r="49" spans="17:24" x14ac:dyDescent="0.25">
      <c r="Q49" s="233" t="s">
        <v>176</v>
      </c>
      <c r="R49" s="231" t="s">
        <v>118</v>
      </c>
      <c r="S49" s="59">
        <f>$M$30*1/(SUM(S1_EPB2010!$H$28:$H$29))/2</f>
        <v>16.197327394209353</v>
      </c>
      <c r="T49" s="230" t="s">
        <v>119</v>
      </c>
      <c r="U49" s="233" t="s">
        <v>176</v>
      </c>
      <c r="V49" s="231" t="s">
        <v>118</v>
      </c>
      <c r="W49" s="59">
        <f>$M30*1/(SUM('S2_1946-1970'!$H$25))/2</f>
        <v>505.04166666666663</v>
      </c>
      <c r="X49" s="230" t="s">
        <v>119</v>
      </c>
    </row>
    <row r="50" spans="17:24" x14ac:dyDescent="0.25">
      <c r="Q50"/>
      <c r="R50" s="231"/>
      <c r="T50" s="230"/>
      <c r="U50"/>
      <c r="V50" s="231"/>
      <c r="X50" s="230"/>
    </row>
    <row r="51" spans="17:24" x14ac:dyDescent="0.25">
      <c r="Q51" s="178" t="s">
        <v>214</v>
      </c>
      <c r="R51" s="230" t="s">
        <v>118</v>
      </c>
      <c r="S51" s="59">
        <f>S8*S1_EPB2010!$C$55*0.33*0.8</f>
        <v>0.57802799999999999</v>
      </c>
      <c r="T51" s="230" t="s">
        <v>119</v>
      </c>
      <c r="U51" s="178" t="s">
        <v>214</v>
      </c>
      <c r="V51" s="230" t="s">
        <v>118</v>
      </c>
      <c r="W51" s="59">
        <f>W8*'S2_1946-1970'!$C$51*0.33*0.8</f>
        <v>0.57802799999999999</v>
      </c>
      <c r="X51" s="230" t="s">
        <v>119</v>
      </c>
    </row>
    <row r="52" spans="17:24" x14ac:dyDescent="0.25">
      <c r="Q52" s="178" t="s">
        <v>215</v>
      </c>
      <c r="R52" s="230" t="s">
        <v>118</v>
      </c>
      <c r="S52" s="59">
        <f>S2*S1_EPB2010!$C$55*0.33*0.8</f>
        <v>0.35877600000000004</v>
      </c>
      <c r="T52" s="230" t="s">
        <v>119</v>
      </c>
      <c r="U52" s="178" t="s">
        <v>215</v>
      </c>
      <c r="V52" s="230" t="s">
        <v>118</v>
      </c>
      <c r="W52" s="59">
        <f>W2*'S2_1946-1970'!$C$51*0.33*0.8</f>
        <v>0.35877600000000004</v>
      </c>
      <c r="X52" s="230" t="s">
        <v>119</v>
      </c>
    </row>
    <row r="53" spans="17:24" x14ac:dyDescent="0.25">
      <c r="Q53" s="178" t="s">
        <v>216</v>
      </c>
      <c r="R53" s="230" t="s">
        <v>118</v>
      </c>
      <c r="S53" s="59">
        <f>S4*S1_EPB2010!$C$55*0.33*0.8</f>
        <v>1.4032128000000001</v>
      </c>
      <c r="T53" s="230" t="s">
        <v>119</v>
      </c>
      <c r="U53" s="178" t="s">
        <v>216</v>
      </c>
      <c r="V53" s="230" t="s">
        <v>118</v>
      </c>
      <c r="W53" s="59">
        <f>W4*'S2_1946-1970'!$C$51*0.33*0.8</f>
        <v>1.4032128000000001</v>
      </c>
      <c r="X53" s="230" t="s">
        <v>119</v>
      </c>
    </row>
    <row r="54" spans="17:24" x14ac:dyDescent="0.25">
      <c r="Q54" s="178" t="s">
        <v>217</v>
      </c>
      <c r="R54" s="230" t="s">
        <v>118</v>
      </c>
      <c r="S54" s="59">
        <f>S5*S1_EPB2010!$C$55*0.33*0.8</f>
        <v>1.1241648</v>
      </c>
      <c r="T54" s="230" t="s">
        <v>119</v>
      </c>
      <c r="U54" s="178" t="s">
        <v>217</v>
      </c>
      <c r="V54" s="230" t="s">
        <v>118</v>
      </c>
      <c r="W54" s="59">
        <f>W5*'S2_1946-1970'!$C$51*0.33*0.8</f>
        <v>1.1241648</v>
      </c>
      <c r="X54" s="230" t="s">
        <v>119</v>
      </c>
    </row>
    <row r="55" spans="17:24" x14ac:dyDescent="0.25">
      <c r="Q55" s="178" t="s">
        <v>218</v>
      </c>
      <c r="R55" s="230" t="s">
        <v>118</v>
      </c>
      <c r="S55" s="59">
        <f>S51</f>
        <v>0.57802799999999999</v>
      </c>
      <c r="T55" s="230" t="s">
        <v>119</v>
      </c>
      <c r="U55" s="178" t="s">
        <v>218</v>
      </c>
      <c r="V55" s="230" t="s">
        <v>118</v>
      </c>
      <c r="W55" s="59">
        <f>W51</f>
        <v>0.57802799999999999</v>
      </c>
      <c r="X55" s="230" t="s">
        <v>119</v>
      </c>
    </row>
    <row r="56" spans="17:24" x14ac:dyDescent="0.25">
      <c r="Q56" s="178" t="s">
        <v>219</v>
      </c>
      <c r="R56" s="230" t="s">
        <v>118</v>
      </c>
      <c r="S56" s="59">
        <f t="shared" ref="S56:S58" si="5">S52</f>
        <v>0.35877600000000004</v>
      </c>
      <c r="T56" s="230" t="s">
        <v>119</v>
      </c>
      <c r="U56" s="178" t="s">
        <v>219</v>
      </c>
      <c r="V56" s="230" t="s">
        <v>118</v>
      </c>
      <c r="W56" s="59">
        <f t="shared" ref="W56:W58" si="6">W52</f>
        <v>0.35877600000000004</v>
      </c>
      <c r="X56" s="230" t="s">
        <v>119</v>
      </c>
    </row>
    <row r="57" spans="17:24" x14ac:dyDescent="0.25">
      <c r="Q57" s="178" t="s">
        <v>220</v>
      </c>
      <c r="R57" s="230" t="s">
        <v>118</v>
      </c>
      <c r="S57" s="59">
        <f t="shared" si="5"/>
        <v>1.4032128000000001</v>
      </c>
      <c r="T57" s="230" t="s">
        <v>119</v>
      </c>
      <c r="U57" s="178" t="s">
        <v>220</v>
      </c>
      <c r="V57" s="230" t="s">
        <v>118</v>
      </c>
      <c r="W57" s="59">
        <f t="shared" si="6"/>
        <v>1.4032128000000001</v>
      </c>
      <c r="X57" s="230" t="s">
        <v>119</v>
      </c>
    </row>
    <row r="58" spans="17:24" x14ac:dyDescent="0.25">
      <c r="Q58" s="178" t="s">
        <v>221</v>
      </c>
      <c r="R58" s="230" t="s">
        <v>118</v>
      </c>
      <c r="S58" s="59">
        <f t="shared" si="5"/>
        <v>1.1241648</v>
      </c>
      <c r="T58" s="230" t="s">
        <v>119</v>
      </c>
      <c r="U58" s="178" t="s">
        <v>221</v>
      </c>
      <c r="V58" s="230" t="s">
        <v>118</v>
      </c>
      <c r="W58" s="59">
        <f t="shared" si="6"/>
        <v>1.1241648</v>
      </c>
      <c r="X58" s="230" t="s">
        <v>119</v>
      </c>
    </row>
    <row r="59" spans="17:24" x14ac:dyDescent="0.25">
      <c r="Q59" s="178" t="s">
        <v>222</v>
      </c>
      <c r="R59" s="230" t="s">
        <v>118</v>
      </c>
      <c r="S59" s="59">
        <v>0</v>
      </c>
      <c r="T59" s="230" t="s">
        <v>119</v>
      </c>
      <c r="U59" s="178" t="s">
        <v>222</v>
      </c>
      <c r="V59" s="230" t="s">
        <v>118</v>
      </c>
      <c r="W59" s="59">
        <v>0</v>
      </c>
      <c r="X59" s="230" t="s">
        <v>119</v>
      </c>
    </row>
    <row r="60" spans="17:24" x14ac:dyDescent="0.25">
      <c r="Q60" s="178" t="s">
        <v>223</v>
      </c>
      <c r="R60" s="230" t="s">
        <v>118</v>
      </c>
      <c r="S60" s="59">
        <v>0</v>
      </c>
      <c r="T60" s="230" t="s">
        <v>119</v>
      </c>
      <c r="U60" s="178" t="s">
        <v>223</v>
      </c>
      <c r="V60" s="230" t="s">
        <v>118</v>
      </c>
      <c r="W60" s="59">
        <v>0</v>
      </c>
      <c r="X60" s="230" t="s">
        <v>119</v>
      </c>
    </row>
    <row r="61" spans="17:24" x14ac:dyDescent="0.25">
      <c r="Q61" s="178" t="s">
        <v>224</v>
      </c>
      <c r="R61" s="230" t="s">
        <v>118</v>
      </c>
      <c r="S61" s="59">
        <v>0</v>
      </c>
      <c r="T61" s="230" t="s">
        <v>119</v>
      </c>
      <c r="U61" s="178" t="s">
        <v>224</v>
      </c>
      <c r="V61" s="230" t="s">
        <v>118</v>
      </c>
      <c r="W61" s="59">
        <v>0</v>
      </c>
      <c r="X61" s="230" t="s">
        <v>119</v>
      </c>
    </row>
    <row r="62" spans="17:24" x14ac:dyDescent="0.25">
      <c r="Q62" s="178" t="s">
        <v>225</v>
      </c>
      <c r="R62" s="230" t="s">
        <v>118</v>
      </c>
      <c r="S62" s="59">
        <v>0</v>
      </c>
      <c r="T62" s="230" t="s">
        <v>119</v>
      </c>
      <c r="U62" s="178" t="s">
        <v>225</v>
      </c>
      <c r="V62" s="230" t="s">
        <v>118</v>
      </c>
      <c r="W62" s="59">
        <v>0</v>
      </c>
      <c r="X62" s="230" t="s">
        <v>119</v>
      </c>
    </row>
    <row r="63" spans="17:24" x14ac:dyDescent="0.25">
      <c r="Q63" s="178" t="s">
        <v>226</v>
      </c>
      <c r="R63" s="230" t="s">
        <v>118</v>
      </c>
      <c r="S63" s="59">
        <f>S55</f>
        <v>0.57802799999999999</v>
      </c>
      <c r="T63" s="230" t="s">
        <v>119</v>
      </c>
      <c r="U63" s="178" t="s">
        <v>226</v>
      </c>
      <c r="V63" s="230" t="s">
        <v>118</v>
      </c>
      <c r="W63" s="59">
        <f>W55</f>
        <v>0.57802799999999999</v>
      </c>
      <c r="X63" s="230" t="s">
        <v>119</v>
      </c>
    </row>
    <row r="64" spans="17:24" x14ac:dyDescent="0.25">
      <c r="Q64" s="178" t="s">
        <v>227</v>
      </c>
      <c r="R64" s="230" t="s">
        <v>118</v>
      </c>
      <c r="S64" s="59">
        <f>S56</f>
        <v>0.35877600000000004</v>
      </c>
      <c r="T64" s="230" t="s">
        <v>119</v>
      </c>
      <c r="U64" s="178" t="s">
        <v>227</v>
      </c>
      <c r="V64" s="230" t="s">
        <v>118</v>
      </c>
      <c r="W64" s="59">
        <f>W56</f>
        <v>0.35877600000000004</v>
      </c>
      <c r="X64" s="230" t="s">
        <v>119</v>
      </c>
    </row>
    <row r="65" spans="17:24" x14ac:dyDescent="0.25">
      <c r="Q65" s="178" t="s">
        <v>228</v>
      </c>
      <c r="R65" s="230" t="s">
        <v>118</v>
      </c>
      <c r="S65" s="59">
        <f>S57</f>
        <v>1.4032128000000001</v>
      </c>
      <c r="T65" s="230" t="s">
        <v>119</v>
      </c>
      <c r="U65" s="178" t="s">
        <v>228</v>
      </c>
      <c r="V65" s="230" t="s">
        <v>118</v>
      </c>
      <c r="W65" s="59">
        <f>W57</f>
        <v>1.4032128000000001</v>
      </c>
      <c r="X65" s="230" t="s">
        <v>119</v>
      </c>
    </row>
    <row r="66" spans="17:24" x14ac:dyDescent="0.25">
      <c r="Q66" s="178" t="s">
        <v>229</v>
      </c>
      <c r="R66" s="230" t="s">
        <v>118</v>
      </c>
      <c r="S66" s="59">
        <f>S58</f>
        <v>1.1241648</v>
      </c>
      <c r="T66" s="230" t="s">
        <v>119</v>
      </c>
      <c r="U66" s="178" t="s">
        <v>229</v>
      </c>
      <c r="V66" s="230" t="s">
        <v>118</v>
      </c>
      <c r="W66" s="59">
        <f>W58</f>
        <v>1.1241648</v>
      </c>
      <c r="X66" s="230" t="s">
        <v>119</v>
      </c>
    </row>
    <row r="67" spans="17:24" x14ac:dyDescent="0.25">
      <c r="Q67"/>
      <c r="R67" s="231"/>
      <c r="T67" s="230"/>
      <c r="U67"/>
      <c r="V67" s="231"/>
      <c r="X67" s="230"/>
    </row>
    <row r="68" spans="17:24" x14ac:dyDescent="0.25">
      <c r="Q68" s="233" t="s">
        <v>177</v>
      </c>
      <c r="R68" s="231" t="s">
        <v>118</v>
      </c>
      <c r="S68" s="236">
        <f>($M$7+$M$2)*1.204*1012*5</f>
        <v>1779786.9935999999</v>
      </c>
      <c r="T68" s="230" t="s">
        <v>119</v>
      </c>
      <c r="U68" s="233" t="s">
        <v>177</v>
      </c>
      <c r="V68" s="231" t="s">
        <v>118</v>
      </c>
      <c r="W68" s="236">
        <f>($M7+$M2)*1.204*1012*5</f>
        <v>1779786.9935999999</v>
      </c>
      <c r="X68" s="230" t="s">
        <v>119</v>
      </c>
    </row>
    <row r="69" spans="17:24" x14ac:dyDescent="0.25">
      <c r="Q69" s="233" t="s">
        <v>178</v>
      </c>
      <c r="R69" s="231" t="s">
        <v>118</v>
      </c>
      <c r="S69" s="236">
        <f>SUM($M$5:$M$6,$M$8:$M$11)*SUM(S1_EPB2010!$I$7:$I$8)+SUM($M$3:$M$4,$M$16:$M$17)*SUM(S1_EPB2010!$I$15:$I$16)</f>
        <v>17636327.200000003</v>
      </c>
      <c r="T69" s="230" t="s">
        <v>119</v>
      </c>
      <c r="U69" s="233" t="s">
        <v>178</v>
      </c>
      <c r="V69" s="231" t="s">
        <v>118</v>
      </c>
      <c r="W69" s="236">
        <f>SUM($M$5:M6,$M$8:M11)*SUM('S2_1946-1970'!$I$6:$I$7)+SUM($M$3:M4,$M$16:$M17)*SUM('S2_1946-1970'!$I$13)</f>
        <v>29091367.200000003</v>
      </c>
      <c r="X69" s="230" t="s">
        <v>119</v>
      </c>
    </row>
    <row r="70" spans="17:24" x14ac:dyDescent="0.25">
      <c r="Q70" s="233" t="s">
        <v>179</v>
      </c>
      <c r="R70" s="231" t="s">
        <v>118</v>
      </c>
      <c r="S70" s="236">
        <f>SUM($M$18)*SUM(S1_EPB2010!$I$33:$I$35)+SUM($M$19)*SUM(S1_EPB2010!$I$39:$I$42)</f>
        <v>47109546</v>
      </c>
      <c r="T70" s="230" t="s">
        <v>119</v>
      </c>
      <c r="U70" s="233" t="s">
        <v>179</v>
      </c>
      <c r="V70" s="231" t="s">
        <v>118</v>
      </c>
      <c r="W70" s="236">
        <f>SUM($M18)*SUM('S2_1946-1970'!$I$29:$I$31)+(M19)*SUM('S2_1946-1970'!$I$35:$I$38)</f>
        <v>51331734</v>
      </c>
      <c r="X70" s="230" t="s">
        <v>119</v>
      </c>
    </row>
    <row r="71" spans="17:24" x14ac:dyDescent="0.25">
      <c r="Q71" s="233" t="s">
        <v>180</v>
      </c>
      <c r="R71" s="231" t="s">
        <v>118</v>
      </c>
      <c r="S71" s="59">
        <v>0.1</v>
      </c>
      <c r="T71" s="230" t="s">
        <v>119</v>
      </c>
      <c r="U71" s="233" t="s">
        <v>180</v>
      </c>
      <c r="V71" s="231" t="s">
        <v>118</v>
      </c>
      <c r="W71" s="59">
        <v>0.1</v>
      </c>
      <c r="X71" s="230" t="s">
        <v>119</v>
      </c>
    </row>
    <row r="72" spans="17:24" x14ac:dyDescent="0.25">
      <c r="Q72" s="233" t="s">
        <v>181</v>
      </c>
      <c r="R72" s="231" t="s">
        <v>118</v>
      </c>
      <c r="S72" s="59">
        <v>0.1</v>
      </c>
      <c r="T72" s="230" t="s">
        <v>119</v>
      </c>
      <c r="U72" s="233" t="s">
        <v>181</v>
      </c>
      <c r="V72" s="231" t="s">
        <v>118</v>
      </c>
      <c r="W72" s="59">
        <v>0.1</v>
      </c>
      <c r="X72" s="230" t="s">
        <v>119</v>
      </c>
    </row>
    <row r="73" spans="17:24" x14ac:dyDescent="0.25">
      <c r="Q73" s="233" t="s">
        <v>182</v>
      </c>
      <c r="R73" s="231" t="s">
        <v>118</v>
      </c>
      <c r="S73" s="59">
        <v>0.7</v>
      </c>
      <c r="T73" s="230" t="s">
        <v>119</v>
      </c>
      <c r="U73" s="233" t="s">
        <v>182</v>
      </c>
      <c r="V73" s="231" t="s">
        <v>118</v>
      </c>
      <c r="W73" s="59">
        <v>0.7</v>
      </c>
      <c r="X73" s="230" t="s">
        <v>119</v>
      </c>
    </row>
    <row r="74" spans="17:24" x14ac:dyDescent="0.25">
      <c r="Q74"/>
      <c r="R74" s="231"/>
      <c r="T74" s="230"/>
      <c r="U74"/>
      <c r="V74" s="231"/>
      <c r="X74" s="230"/>
    </row>
    <row r="75" spans="17:24" x14ac:dyDescent="0.25">
      <c r="Q75" s="233" t="s">
        <v>183</v>
      </c>
      <c r="R75" s="231" t="s">
        <v>118</v>
      </c>
      <c r="S75" s="59">
        <f>SUM($M$8:$M$11)*1/(1/6+SUM(S1_EPB2010!$H$7:$H$8))+SUM($M$3:$M$4,$M$16:$M$17)*1/(1/10+SUM(S1_EPB2010!$H$15:$H$16))</f>
        <v>540.02598752598749</v>
      </c>
      <c r="T75" s="230" t="s">
        <v>119</v>
      </c>
      <c r="U75" s="233" t="s">
        <v>183</v>
      </c>
      <c r="V75" s="231" t="s">
        <v>118</v>
      </c>
      <c r="W75" s="59">
        <f>SUM($M$8:M11,M5:M6)*1/(1/6+SUM('S2_1946-1970'!$I$6:$I$7))+SUM($M$3:$M4,M16:M17)*1/(1/10+SUM('S2_1946-1970'!$H$13))</f>
        <v>822.00049876001071</v>
      </c>
      <c r="X75" s="230" t="s">
        <v>119</v>
      </c>
    </row>
    <row r="76" spans="17:24" x14ac:dyDescent="0.25">
      <c r="Q76" s="233" t="s">
        <v>184</v>
      </c>
      <c r="R76" s="231" t="s">
        <v>118</v>
      </c>
      <c r="S76" s="59">
        <f>$M$18*1/(1/8+SUM(S1_EPB2010!$H$33:$H$35)/4)+SUM($M$19)*1/(1/3+SUM(S1_EPB2010!$H$39:$H$42)/2)</f>
        <v>496.70196507003857</v>
      </c>
      <c r="T76" s="230" t="s">
        <v>119</v>
      </c>
      <c r="U76" s="233" t="s">
        <v>184</v>
      </c>
      <c r="V76" s="231" t="s">
        <v>118</v>
      </c>
      <c r="W76" s="59">
        <f>M18*1/(1/8+SUM('S2_1946-1970'!$H$29:$H$31)/4)+SUM($M$19)*1/(1/3+SUM('S2_1946-1970'!$H$35:$H$38)/2)</f>
        <v>459.94024051058108</v>
      </c>
      <c r="X76" s="230" t="s">
        <v>119</v>
      </c>
    </row>
    <row r="77" spans="17:24" x14ac:dyDescent="0.25">
      <c r="Q77" s="233" t="s">
        <v>185</v>
      </c>
      <c r="R77" s="231" t="s">
        <v>118</v>
      </c>
      <c r="S77" s="59">
        <f>($M$2+$M$7)*2/20*1.204*1012/3600+SUM($S$7:$S$10)*S1_EPB2010!$H$54</f>
        <v>26.633205519999997</v>
      </c>
      <c r="T77" s="230" t="s">
        <v>119</v>
      </c>
      <c r="U77" s="233" t="s">
        <v>185</v>
      </c>
      <c r="V77" s="231" t="s">
        <v>118</v>
      </c>
      <c r="W77" s="59">
        <f>($M$2+$M$7)*10/20*1.204*1012/3600+SUM($S$7:$S$10)*'S2_1946-1970'!$H$50</f>
        <v>66.184027600000007</v>
      </c>
      <c r="X77" s="230" t="s">
        <v>119</v>
      </c>
    </row>
    <row r="78" spans="17:24" x14ac:dyDescent="0.25">
      <c r="Q78" s="233" t="s">
        <v>186</v>
      </c>
      <c r="R78" s="231" t="s">
        <v>118</v>
      </c>
      <c r="S78" s="230">
        <f>SUM($M$8:$M$11)*1/(1/23+SUM(S1_EPB2010!$H$4:$H$6))+SUM($M$3:$M$4,$M$16:$M$17)*1/(1/23+SUM(S1_EPB2010!$H$12:$H$14))</f>
        <v>89.005091905312511</v>
      </c>
      <c r="T78" s="230" t="s">
        <v>119</v>
      </c>
      <c r="U78" s="233" t="s">
        <v>186</v>
      </c>
      <c r="V78" s="231" t="s">
        <v>118</v>
      </c>
      <c r="W78" s="230">
        <f>SUM($M$8:$M$11,M5:M6)*1/(1/23+SUM('S2_1946-1970'!$H$4:$H$5))+SUM($M$3:M4,M$16:M17)*1/(1/23+SUM('S2_1946-1970'!$H$11:$H$12))</f>
        <v>894.68583701517059</v>
      </c>
      <c r="X78" s="230" t="s">
        <v>119</v>
      </c>
    </row>
    <row r="79" spans="17:24" x14ac:dyDescent="0.25">
      <c r="Q79"/>
      <c r="R79" s="231"/>
      <c r="T79" s="230"/>
      <c r="U79"/>
      <c r="V79" s="231"/>
      <c r="X79" s="230"/>
    </row>
    <row r="80" spans="17:24" x14ac:dyDescent="0.25">
      <c r="Q80" s="233" t="s">
        <v>187</v>
      </c>
      <c r="R80" s="231" t="s">
        <v>118</v>
      </c>
      <c r="S80" s="59">
        <f>$M$33*SUM(S1_EPB2010!$I$39:$I$42)/2</f>
        <v>18239253</v>
      </c>
      <c r="T80" s="230" t="s">
        <v>119</v>
      </c>
      <c r="U80" s="233" t="s">
        <v>187</v>
      </c>
      <c r="V80" s="231" t="s">
        <v>118</v>
      </c>
      <c r="W80" s="59">
        <f>$M$33*SUM('S2_1946-1970'!$I$35:$I$38)/2</f>
        <v>18594327</v>
      </c>
      <c r="X80" s="230" t="s">
        <v>119</v>
      </c>
    </row>
    <row r="81" spans="17:24" x14ac:dyDescent="0.25">
      <c r="Q81" s="233" t="s">
        <v>188</v>
      </c>
      <c r="R81" s="231" t="s">
        <v>118</v>
      </c>
      <c r="S81" s="59">
        <f>$S$80</f>
        <v>18239253</v>
      </c>
      <c r="T81" s="230" t="s">
        <v>119</v>
      </c>
      <c r="U81" s="233" t="s">
        <v>188</v>
      </c>
      <c r="V81" s="231" t="s">
        <v>118</v>
      </c>
      <c r="W81" s="59">
        <f>W80</f>
        <v>18594327</v>
      </c>
      <c r="X81" s="230" t="s">
        <v>119</v>
      </c>
    </row>
    <row r="82" spans="17:24" x14ac:dyDescent="0.25">
      <c r="Q82" s="233" t="s">
        <v>189</v>
      </c>
      <c r="R82" s="231" t="s">
        <v>118</v>
      </c>
      <c r="S82" s="59">
        <v>0.1</v>
      </c>
      <c r="T82" s="230" t="s">
        <v>119</v>
      </c>
      <c r="U82" s="233" t="s">
        <v>189</v>
      </c>
      <c r="V82" s="231" t="s">
        <v>118</v>
      </c>
      <c r="W82" s="59">
        <v>0.1</v>
      </c>
      <c r="X82" s="230" t="s">
        <v>119</v>
      </c>
    </row>
    <row r="83" spans="17:24" x14ac:dyDescent="0.25">
      <c r="Q83" s="233" t="s">
        <v>190</v>
      </c>
      <c r="R83" s="231" t="s">
        <v>118</v>
      </c>
      <c r="S83" s="59">
        <v>0.1</v>
      </c>
      <c r="T83" s="230" t="s">
        <v>119</v>
      </c>
      <c r="U83" s="233" t="s">
        <v>190</v>
      </c>
      <c r="V83" s="231" t="s">
        <v>118</v>
      </c>
      <c r="W83" s="59">
        <v>0.1</v>
      </c>
      <c r="X83" s="230" t="s">
        <v>119</v>
      </c>
    </row>
    <row r="84" spans="17:24" x14ac:dyDescent="0.25">
      <c r="Q84" s="233" t="s">
        <v>191</v>
      </c>
      <c r="R84" s="231" t="s">
        <v>118</v>
      </c>
      <c r="S84" s="59">
        <f>1/S1_EPB2010!$H$37*4*$M$33</f>
        <v>151.70722689075629</v>
      </c>
      <c r="T84" s="230" t="s">
        <v>119</v>
      </c>
      <c r="U84" s="233" t="s">
        <v>191</v>
      </c>
      <c r="V84" s="231" t="s">
        <v>118</v>
      </c>
      <c r="W84" s="59">
        <f>1/'S2_1946-1970'!$H$33*4*$M$33</f>
        <v>188.82849673202614</v>
      </c>
      <c r="X84" s="230" t="s">
        <v>119</v>
      </c>
    </row>
    <row r="85" spans="17:24" x14ac:dyDescent="0.25">
      <c r="Q85" s="233" t="s">
        <v>192</v>
      </c>
      <c r="R85" s="231" t="s">
        <v>118</v>
      </c>
      <c r="S85" s="59">
        <f>$S$84*2</f>
        <v>303.41445378151258</v>
      </c>
      <c r="T85" s="230" t="s">
        <v>119</v>
      </c>
      <c r="U85" s="233" t="s">
        <v>192</v>
      </c>
      <c r="V85" s="231" t="s">
        <v>118</v>
      </c>
      <c r="W85" s="59">
        <f>$S$84*2</f>
        <v>303.41445378151258</v>
      </c>
      <c r="X85" s="230" t="s">
        <v>119</v>
      </c>
    </row>
    <row r="86" spans="17:24" x14ac:dyDescent="0.25">
      <c r="Q86" s="233" t="s">
        <v>193</v>
      </c>
      <c r="R86" s="231" t="s">
        <v>118</v>
      </c>
      <c r="S86" s="59">
        <f>$S$84</f>
        <v>151.70722689075629</v>
      </c>
      <c r="T86" s="230" t="s">
        <v>119</v>
      </c>
      <c r="U86" s="233" t="s">
        <v>193</v>
      </c>
      <c r="V86" s="231" t="s">
        <v>118</v>
      </c>
      <c r="W86" s="59">
        <f>$S$84</f>
        <v>151.70722689075629</v>
      </c>
      <c r="X86" s="230" t="s">
        <v>119</v>
      </c>
    </row>
  </sheetData>
  <mergeCells count="3">
    <mergeCell ref="I36:N38"/>
    <mergeCell ref="Q1:T1"/>
    <mergeCell ref="U1:X1"/>
  </mergeCells>
  <conditionalFormatting sqref="D32:D39">
    <cfRule type="iconSet" priority="2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6"/>
  <sheetViews>
    <sheetView topLeftCell="T28" zoomScale="90" zoomScaleNormal="90" workbookViewId="0">
      <selection activeCell="AE38" sqref="AE38"/>
    </sheetView>
  </sheetViews>
  <sheetFormatPr defaultRowHeight="15" x14ac:dyDescent="0.2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10.5703125" style="59" customWidth="1"/>
    <col min="7" max="8" width="9.140625" style="59"/>
    <col min="9" max="9" width="15.28515625" style="59" customWidth="1"/>
    <col min="10" max="10" width="15.42578125" style="59" customWidth="1"/>
    <col min="11" max="11" width="4.7109375" style="59" customWidth="1"/>
    <col min="12" max="12" width="9.140625" style="59"/>
    <col min="13" max="13" width="4.42578125" style="59" customWidth="1"/>
    <col min="14" max="16" width="9.140625" style="59"/>
    <col min="17" max="17" width="21.5703125" style="59" bestFit="1" customWidth="1"/>
    <col min="18" max="18" width="2" style="59" bestFit="1" customWidth="1"/>
    <col min="19" max="19" width="49.42578125" style="59" customWidth="1"/>
    <col min="20" max="20" width="9.140625" style="59" customWidth="1"/>
    <col min="21" max="21" width="21.5703125" style="59" bestFit="1" customWidth="1"/>
    <col min="22" max="22" width="2" style="59" bestFit="1" customWidth="1"/>
    <col min="23" max="23" width="49.42578125" style="59" customWidth="1"/>
    <col min="24" max="24" width="9.140625" style="59" customWidth="1"/>
    <col min="25" max="25" width="21.5703125" style="59" customWidth="1"/>
    <col min="26" max="26" width="2" style="59" customWidth="1"/>
    <col min="27" max="27" width="56.5703125" style="59" customWidth="1"/>
    <col min="28" max="28" width="9.140625" style="59"/>
    <col min="29" max="29" width="21.5703125" style="59" customWidth="1"/>
    <col min="30" max="30" width="2" style="59" customWidth="1"/>
    <col min="31" max="31" width="56.5703125" style="59" customWidth="1"/>
    <col min="32" max="16384" width="9.140625" style="59"/>
  </cols>
  <sheetData>
    <row r="1" spans="1:32" x14ac:dyDescent="0.25">
      <c r="B1" s="148" t="s">
        <v>87</v>
      </c>
      <c r="H1" s="179" t="s">
        <v>129</v>
      </c>
      <c r="I1" s="180" t="s">
        <v>131</v>
      </c>
      <c r="J1" s="185" t="s">
        <v>88</v>
      </c>
      <c r="K1" s="167" t="s">
        <v>118</v>
      </c>
      <c r="L1" s="167" t="str">
        <f>TEXT(G21,"??.??")&amp;"*Modelica.Constants.pi/180"</f>
        <v>32.47*Modelica.Constants.pi/180</v>
      </c>
      <c r="M1" s="168" t="s">
        <v>119</v>
      </c>
      <c r="O1" s="178"/>
      <c r="Q1" s="240" t="s">
        <v>232</v>
      </c>
      <c r="R1" s="240"/>
      <c r="S1" s="240"/>
      <c r="T1" s="240"/>
      <c r="U1" s="240" t="s">
        <v>234</v>
      </c>
      <c r="V1" s="240"/>
      <c r="W1" s="240"/>
      <c r="X1" s="240"/>
      <c r="Y1" s="240" t="s">
        <v>233</v>
      </c>
      <c r="Z1" s="240"/>
      <c r="AA1" s="240"/>
      <c r="AB1" s="240"/>
      <c r="AC1" s="240" t="s">
        <v>235</v>
      </c>
      <c r="AD1" s="240"/>
      <c r="AE1" s="240"/>
      <c r="AF1" s="240"/>
    </row>
    <row r="2" spans="1:32" ht="18" x14ac:dyDescent="0.35">
      <c r="A2" s="62"/>
      <c r="B2" s="62" t="s">
        <v>32</v>
      </c>
      <c r="C2" s="63" t="s">
        <v>33</v>
      </c>
      <c r="D2" s="64" t="s">
        <v>34</v>
      </c>
      <c r="E2" s="65">
        <v>2.8</v>
      </c>
      <c r="H2" s="181" t="s">
        <v>129</v>
      </c>
      <c r="I2" s="182" t="s">
        <v>132</v>
      </c>
      <c r="J2" s="186" t="s">
        <v>89</v>
      </c>
      <c r="K2" s="170" t="s">
        <v>118</v>
      </c>
      <c r="L2" s="129">
        <f>C5</f>
        <v>43.262999999999998</v>
      </c>
      <c r="M2" s="171" t="s">
        <v>119</v>
      </c>
      <c r="O2" s="165"/>
      <c r="Q2" s="231" t="s">
        <v>155</v>
      </c>
      <c r="R2" s="231" t="s">
        <v>118</v>
      </c>
      <c r="S2" s="234">
        <f>L26</f>
        <v>8.7100000000000009</v>
      </c>
      <c r="T2" s="230" t="s">
        <v>119</v>
      </c>
      <c r="U2" s="231" t="s">
        <v>155</v>
      </c>
      <c r="V2" s="231" t="s">
        <v>118</v>
      </c>
      <c r="W2" s="234">
        <f>S2</f>
        <v>8.7100000000000009</v>
      </c>
      <c r="X2" s="230" t="s">
        <v>119</v>
      </c>
      <c r="Y2" s="231" t="s">
        <v>155</v>
      </c>
      <c r="Z2" s="231" t="s">
        <v>118</v>
      </c>
      <c r="AA2" s="234">
        <f>S2</f>
        <v>8.7100000000000009</v>
      </c>
      <c r="AB2" s="230" t="s">
        <v>119</v>
      </c>
      <c r="AC2" s="231" t="s">
        <v>155</v>
      </c>
      <c r="AD2" s="231" t="s">
        <v>118</v>
      </c>
      <c r="AE2" s="234">
        <f>W2</f>
        <v>8.7100000000000009</v>
      </c>
      <c r="AF2" s="230" t="s">
        <v>119</v>
      </c>
    </row>
    <row r="3" spans="1:32" ht="18" x14ac:dyDescent="0.35">
      <c r="A3" s="66" t="s">
        <v>35</v>
      </c>
      <c r="B3" s="81">
        <f>(E5-0.35)*(E6-0.35)</f>
        <v>82.00500000000001</v>
      </c>
      <c r="C3" s="132">
        <f>B3*(E2-0.25)</f>
        <v>209.11275000000001</v>
      </c>
      <c r="D3" s="164" t="s">
        <v>78</v>
      </c>
      <c r="E3" s="65">
        <v>1.2</v>
      </c>
      <c r="F3" s="64" t="s">
        <v>77</v>
      </c>
      <c r="G3" s="65">
        <v>1.9</v>
      </c>
      <c r="H3" s="181" t="s">
        <v>129</v>
      </c>
      <c r="I3" s="69" t="s">
        <v>130</v>
      </c>
      <c r="J3" s="186" t="s">
        <v>120</v>
      </c>
      <c r="K3" s="170" t="s">
        <v>118</v>
      </c>
      <c r="L3" s="172">
        <f>D21</f>
        <v>28.488914510735576</v>
      </c>
      <c r="M3" s="171" t="s">
        <v>119</v>
      </c>
      <c r="Q3" s="231" t="s">
        <v>156</v>
      </c>
      <c r="R3" s="231" t="s">
        <v>118</v>
      </c>
      <c r="S3" s="59">
        <f>0</f>
        <v>0</v>
      </c>
      <c r="T3" s="230" t="s">
        <v>119</v>
      </c>
      <c r="U3" s="231" t="s">
        <v>156</v>
      </c>
      <c r="V3" s="231" t="s">
        <v>118</v>
      </c>
      <c r="W3" s="234">
        <f>S5</f>
        <v>6.6</v>
      </c>
      <c r="X3" s="230" t="s">
        <v>119</v>
      </c>
      <c r="Y3" s="231" t="s">
        <v>156</v>
      </c>
      <c r="Z3" s="231" t="s">
        <v>118</v>
      </c>
      <c r="AA3" s="234">
        <f>S3</f>
        <v>0</v>
      </c>
      <c r="AB3" s="230" t="s">
        <v>119</v>
      </c>
      <c r="AC3" s="231" t="s">
        <v>156</v>
      </c>
      <c r="AD3" s="231" t="s">
        <v>118</v>
      </c>
      <c r="AE3" s="234">
        <f>W3</f>
        <v>6.6</v>
      </c>
      <c r="AF3" s="230" t="s">
        <v>119</v>
      </c>
    </row>
    <row r="4" spans="1:32" ht="18" x14ac:dyDescent="0.35">
      <c r="A4" s="66" t="s">
        <v>37</v>
      </c>
      <c r="B4" s="71">
        <f>(E5-2)*(E6-0.35)</f>
        <v>69.300000000000011</v>
      </c>
      <c r="C4" s="211">
        <f>0.5*B4+B4*(E4+E3-0.3-0.5)/2-C5</f>
        <v>126.52200000000005</v>
      </c>
      <c r="D4" s="164" t="s">
        <v>76</v>
      </c>
      <c r="E4" s="65">
        <v>3.5</v>
      </c>
      <c r="F4" s="64" t="s">
        <v>81</v>
      </c>
      <c r="G4" s="65">
        <v>2.8</v>
      </c>
      <c r="H4" s="181" t="s">
        <v>129</v>
      </c>
      <c r="I4" s="69" t="s">
        <v>130</v>
      </c>
      <c r="J4" s="186" t="s">
        <v>121</v>
      </c>
      <c r="K4" s="170" t="s">
        <v>118</v>
      </c>
      <c r="L4" s="172">
        <f>D23</f>
        <v>28.488914510735576</v>
      </c>
      <c r="M4" s="171" t="s">
        <v>119</v>
      </c>
      <c r="Q4" s="231" t="s">
        <v>157</v>
      </c>
      <c r="R4" s="231" t="s">
        <v>118</v>
      </c>
      <c r="S4" s="234">
        <f>L24</f>
        <v>2.8600000000000003</v>
      </c>
      <c r="T4" s="230" t="s">
        <v>119</v>
      </c>
      <c r="U4" s="231" t="s">
        <v>157</v>
      </c>
      <c r="V4" s="231" t="s">
        <v>118</v>
      </c>
      <c r="W4" s="234">
        <f>S4</f>
        <v>2.8600000000000003</v>
      </c>
      <c r="X4" s="230" t="s">
        <v>119</v>
      </c>
      <c r="Y4" s="231" t="s">
        <v>157</v>
      </c>
      <c r="Z4" s="231" t="s">
        <v>118</v>
      </c>
      <c r="AA4" s="234">
        <f t="shared" ref="AA4:AA10" si="0">S4</f>
        <v>2.8600000000000003</v>
      </c>
      <c r="AB4" s="230" t="s">
        <v>119</v>
      </c>
      <c r="AC4" s="231" t="s">
        <v>157</v>
      </c>
      <c r="AD4" s="231" t="s">
        <v>118</v>
      </c>
      <c r="AE4" s="234">
        <f t="shared" ref="AE4:AE5" si="1">W4</f>
        <v>2.8600000000000003</v>
      </c>
      <c r="AF4" s="230" t="s">
        <v>119</v>
      </c>
    </row>
    <row r="5" spans="1:32" ht="15.75" thickBot="1" x14ac:dyDescent="0.3">
      <c r="A5" s="74" t="s">
        <v>74</v>
      </c>
      <c r="B5" s="71">
        <f>D27</f>
        <v>48.07</v>
      </c>
      <c r="C5" s="72">
        <f>B5*(G3-0.1)/2</f>
        <v>43.262999999999998</v>
      </c>
      <c r="D5" s="64" t="s">
        <v>79</v>
      </c>
      <c r="E5" s="65">
        <v>11</v>
      </c>
      <c r="H5" s="181" t="s">
        <v>129</v>
      </c>
      <c r="I5" s="69" t="s">
        <v>130</v>
      </c>
      <c r="J5" s="186" t="s">
        <v>91</v>
      </c>
      <c r="K5" s="170" t="s">
        <v>118</v>
      </c>
      <c r="L5" s="172">
        <f>D10</f>
        <v>5.6728571428571417</v>
      </c>
      <c r="M5" s="171" t="s">
        <v>119</v>
      </c>
      <c r="O5" s="165"/>
      <c r="Q5" s="231" t="s">
        <v>158</v>
      </c>
      <c r="R5" s="231" t="s">
        <v>118</v>
      </c>
      <c r="S5" s="234">
        <f>L25</f>
        <v>6.6</v>
      </c>
      <c r="T5" s="230" t="s">
        <v>119</v>
      </c>
      <c r="U5" s="231" t="s">
        <v>158</v>
      </c>
      <c r="V5" s="231" t="s">
        <v>118</v>
      </c>
      <c r="W5" s="234">
        <f>P25</f>
        <v>0</v>
      </c>
      <c r="X5" s="230" t="s">
        <v>119</v>
      </c>
      <c r="Y5" s="231" t="s">
        <v>158</v>
      </c>
      <c r="Z5" s="231" t="s">
        <v>118</v>
      </c>
      <c r="AA5" s="234">
        <f t="shared" si="0"/>
        <v>6.6</v>
      </c>
      <c r="AB5" s="230" t="s">
        <v>119</v>
      </c>
      <c r="AC5" s="231" t="s">
        <v>158</v>
      </c>
      <c r="AD5" s="231" t="s">
        <v>118</v>
      </c>
      <c r="AE5" s="234">
        <f t="shared" si="1"/>
        <v>0</v>
      </c>
      <c r="AF5" s="230" t="s">
        <v>119</v>
      </c>
    </row>
    <row r="6" spans="1:32" ht="15.75" thickBot="1" x14ac:dyDescent="0.3">
      <c r="A6" s="59" t="s">
        <v>38</v>
      </c>
      <c r="B6" s="77">
        <f>SUM(B3:B5)</f>
        <v>199.375</v>
      </c>
      <c r="C6" s="78">
        <f>SUM(C3:C5)</f>
        <v>378.89775000000003</v>
      </c>
      <c r="D6" s="64" t="s">
        <v>80</v>
      </c>
      <c r="E6" s="65">
        <v>8.0500000000000007</v>
      </c>
      <c r="H6" s="181" t="s">
        <v>129</v>
      </c>
      <c r="I6" s="69" t="s">
        <v>130</v>
      </c>
      <c r="J6" s="186" t="s">
        <v>122</v>
      </c>
      <c r="K6" s="170" t="s">
        <v>118</v>
      </c>
      <c r="L6" s="172">
        <f>D12</f>
        <v>5.6728571428571417</v>
      </c>
      <c r="M6" s="171" t="s">
        <v>119</v>
      </c>
      <c r="O6" s="165"/>
      <c r="Q6"/>
      <c r="R6" s="231"/>
      <c r="T6" s="230"/>
      <c r="U6"/>
      <c r="V6" s="231"/>
      <c r="X6" s="230"/>
      <c r="Y6"/>
      <c r="Z6" s="231"/>
      <c r="AA6" s="234"/>
      <c r="AB6" s="230"/>
      <c r="AC6"/>
      <c r="AD6" s="231"/>
      <c r="AE6" s="234"/>
      <c r="AF6" s="230"/>
    </row>
    <row r="7" spans="1:32" x14ac:dyDescent="0.25">
      <c r="H7" s="181" t="s">
        <v>129</v>
      </c>
      <c r="I7" s="182" t="s">
        <v>132</v>
      </c>
      <c r="J7" s="186" t="s">
        <v>93</v>
      </c>
      <c r="K7" s="170" t="s">
        <v>118</v>
      </c>
      <c r="L7" s="172">
        <f>C4</f>
        <v>126.52200000000005</v>
      </c>
      <c r="M7" s="171" t="s">
        <v>119</v>
      </c>
      <c r="O7" s="165"/>
      <c r="Q7" s="231" t="s">
        <v>159</v>
      </c>
      <c r="R7" s="231" t="s">
        <v>118</v>
      </c>
      <c r="S7" s="234">
        <f>L16</f>
        <v>1.6</v>
      </c>
      <c r="T7" s="230" t="s">
        <v>119</v>
      </c>
      <c r="U7" s="231" t="s">
        <v>159</v>
      </c>
      <c r="V7" s="231" t="s">
        <v>118</v>
      </c>
      <c r="W7" s="234">
        <f>S7</f>
        <v>1.6</v>
      </c>
      <c r="X7" s="230" t="s">
        <v>119</v>
      </c>
      <c r="Y7" s="231" t="s">
        <v>159</v>
      </c>
      <c r="Z7" s="231" t="s">
        <v>118</v>
      </c>
      <c r="AA7" s="234">
        <f t="shared" si="0"/>
        <v>1.6</v>
      </c>
      <c r="AB7" s="230" t="s">
        <v>119</v>
      </c>
      <c r="AC7" s="231" t="s">
        <v>159</v>
      </c>
      <c r="AD7" s="231" t="s">
        <v>118</v>
      </c>
      <c r="AE7" s="234">
        <f t="shared" ref="AE7:AE10" si="2">W7</f>
        <v>1.6</v>
      </c>
      <c r="AF7" s="230" t="s">
        <v>119</v>
      </c>
    </row>
    <row r="8" spans="1:32" x14ac:dyDescent="0.25">
      <c r="B8" s="79" t="s">
        <v>35</v>
      </c>
      <c r="C8" s="79" t="s">
        <v>37</v>
      </c>
      <c r="D8" s="79" t="s">
        <v>74</v>
      </c>
      <c r="E8" s="59" t="s">
        <v>38</v>
      </c>
      <c r="H8" s="181" t="s">
        <v>129</v>
      </c>
      <c r="I8" s="69" t="s">
        <v>130</v>
      </c>
      <c r="J8" s="186" t="s">
        <v>123</v>
      </c>
      <c r="K8" s="170" t="s">
        <v>118</v>
      </c>
      <c r="L8" s="172">
        <f>C21</f>
        <v>23.190664851145751</v>
      </c>
      <c r="M8" s="171" t="s">
        <v>119</v>
      </c>
      <c r="O8" s="165"/>
      <c r="Q8" s="231" t="s">
        <v>160</v>
      </c>
      <c r="R8" s="231" t="s">
        <v>118</v>
      </c>
      <c r="S8" s="59">
        <f>0</f>
        <v>0</v>
      </c>
      <c r="T8" s="230" t="s">
        <v>119</v>
      </c>
      <c r="U8" s="231" t="s">
        <v>160</v>
      </c>
      <c r="V8" s="231" t="s">
        <v>118</v>
      </c>
      <c r="W8" s="234">
        <f>S10</f>
        <v>5.76</v>
      </c>
      <c r="X8" s="230" t="s">
        <v>119</v>
      </c>
      <c r="Y8" s="231" t="s">
        <v>160</v>
      </c>
      <c r="Z8" s="231" t="s">
        <v>118</v>
      </c>
      <c r="AA8" s="234">
        <f t="shared" si="0"/>
        <v>0</v>
      </c>
      <c r="AB8" s="230" t="s">
        <v>119</v>
      </c>
      <c r="AC8" s="231" t="s">
        <v>160</v>
      </c>
      <c r="AD8" s="231" t="s">
        <v>118</v>
      </c>
      <c r="AE8" s="234">
        <f t="shared" si="2"/>
        <v>5.76</v>
      </c>
      <c r="AF8" s="230" t="s">
        <v>119</v>
      </c>
    </row>
    <row r="9" spans="1:32" x14ac:dyDescent="0.25">
      <c r="A9" s="80" t="s">
        <v>39</v>
      </c>
      <c r="B9" s="81">
        <f>E6*E2-B13-B17</f>
        <v>17.7</v>
      </c>
      <c r="C9" s="99">
        <f>E3*E6</f>
        <v>9.66</v>
      </c>
      <c r="D9" s="63">
        <v>0</v>
      </c>
      <c r="E9" s="69">
        <f t="shared" ref="E9:E24" si="3">SUM(B9:D9)</f>
        <v>27.36</v>
      </c>
      <c r="G9" s="65">
        <v>0</v>
      </c>
      <c r="H9" s="181" t="s">
        <v>129</v>
      </c>
      <c r="I9" s="69" t="s">
        <v>130</v>
      </c>
      <c r="J9" s="186" t="s">
        <v>124</v>
      </c>
      <c r="K9" s="170" t="s">
        <v>118</v>
      </c>
      <c r="L9" s="172">
        <f>C23</f>
        <v>22.39066485114575</v>
      </c>
      <c r="M9" s="171" t="s">
        <v>119</v>
      </c>
      <c r="O9" s="165"/>
      <c r="Q9" s="231" t="s">
        <v>161</v>
      </c>
      <c r="R9" s="231" t="s">
        <v>118</v>
      </c>
      <c r="S9" s="234">
        <f>L14</f>
        <v>0.8</v>
      </c>
      <c r="T9" s="230" t="s">
        <v>119</v>
      </c>
      <c r="U9" s="231" t="s">
        <v>161</v>
      </c>
      <c r="V9" s="231" t="s">
        <v>118</v>
      </c>
      <c r="W9" s="234">
        <f>S9</f>
        <v>0.8</v>
      </c>
      <c r="X9" s="230" t="s">
        <v>119</v>
      </c>
      <c r="Y9" s="231" t="s">
        <v>161</v>
      </c>
      <c r="Z9" s="231" t="s">
        <v>118</v>
      </c>
      <c r="AA9" s="234">
        <f t="shared" si="0"/>
        <v>0.8</v>
      </c>
      <c r="AB9" s="230" t="s">
        <v>119</v>
      </c>
      <c r="AC9" s="231" t="s">
        <v>161</v>
      </c>
      <c r="AD9" s="231" t="s">
        <v>118</v>
      </c>
      <c r="AE9" s="234">
        <f t="shared" si="2"/>
        <v>0.8</v>
      </c>
      <c r="AF9" s="230" t="s">
        <v>119</v>
      </c>
    </row>
    <row r="10" spans="1:32" x14ac:dyDescent="0.25">
      <c r="A10" s="80" t="s">
        <v>40</v>
      </c>
      <c r="B10" s="84">
        <f>E5*E2-B14</f>
        <v>24.199999999999996</v>
      </c>
      <c r="C10" s="83">
        <f>E3*E5+E5*E4/2-D10-C14</f>
        <v>21.017142857142865</v>
      </c>
      <c r="D10" s="87">
        <f>(E5*G3/E4)*G3/2</f>
        <v>5.6728571428571417</v>
      </c>
      <c r="E10" s="69">
        <f t="shared" si="3"/>
        <v>50.89</v>
      </c>
      <c r="G10" s="65">
        <v>90</v>
      </c>
      <c r="H10" s="181" t="s">
        <v>129</v>
      </c>
      <c r="I10" s="69" t="s">
        <v>130</v>
      </c>
      <c r="J10" s="186" t="s">
        <v>94</v>
      </c>
      <c r="K10" s="170" t="s">
        <v>118</v>
      </c>
      <c r="L10" s="172">
        <f t="shared" ref="L10:L16" si="4">C9</f>
        <v>9.66</v>
      </c>
      <c r="M10" s="171" t="s">
        <v>119</v>
      </c>
      <c r="O10" s="165"/>
      <c r="Q10" s="231" t="s">
        <v>162</v>
      </c>
      <c r="R10" s="231" t="s">
        <v>118</v>
      </c>
      <c r="S10" s="234">
        <f>L15</f>
        <v>5.76</v>
      </c>
      <c r="T10" s="230" t="s">
        <v>119</v>
      </c>
      <c r="U10" s="231" t="s">
        <v>162</v>
      </c>
      <c r="V10" s="231" t="s">
        <v>118</v>
      </c>
      <c r="W10" s="234">
        <f>P15</f>
        <v>0</v>
      </c>
      <c r="X10" s="230" t="s">
        <v>119</v>
      </c>
      <c r="Y10" s="231" t="s">
        <v>162</v>
      </c>
      <c r="Z10" s="231" t="s">
        <v>118</v>
      </c>
      <c r="AA10" s="234">
        <f t="shared" si="0"/>
        <v>5.76</v>
      </c>
      <c r="AB10" s="230" t="s">
        <v>119</v>
      </c>
      <c r="AC10" s="231" t="s">
        <v>162</v>
      </c>
      <c r="AD10" s="231" t="s">
        <v>118</v>
      </c>
      <c r="AE10" s="234">
        <f t="shared" si="2"/>
        <v>0</v>
      </c>
      <c r="AF10" s="230" t="s">
        <v>119</v>
      </c>
    </row>
    <row r="11" spans="1:32" x14ac:dyDescent="0.25">
      <c r="A11" s="80" t="s">
        <v>41</v>
      </c>
      <c r="B11" s="84">
        <f>E6*E2-B15</f>
        <v>13.829999999999998</v>
      </c>
      <c r="C11" s="83">
        <f>C9</f>
        <v>9.66</v>
      </c>
      <c r="D11" s="87">
        <v>0</v>
      </c>
      <c r="E11" s="69">
        <f t="shared" si="3"/>
        <v>23.49</v>
      </c>
      <c r="G11" s="65">
        <v>180</v>
      </c>
      <c r="H11" s="181" t="s">
        <v>129</v>
      </c>
      <c r="I11" s="69" t="s">
        <v>130</v>
      </c>
      <c r="J11" s="186" t="s">
        <v>95</v>
      </c>
      <c r="K11" s="170" t="s">
        <v>118</v>
      </c>
      <c r="L11" s="172">
        <f t="shared" si="4"/>
        <v>21.017142857142865</v>
      </c>
      <c r="M11" s="171" t="s">
        <v>119</v>
      </c>
      <c r="O11" s="165"/>
      <c r="Q11"/>
      <c r="R11" s="231"/>
      <c r="T11" s="230"/>
      <c r="U11"/>
      <c r="V11" s="231"/>
      <c r="X11" s="230"/>
      <c r="Y11"/>
      <c r="Z11" s="231"/>
      <c r="AB11" s="230"/>
      <c r="AC11"/>
      <c r="AD11" s="231"/>
      <c r="AF11" s="230"/>
    </row>
    <row r="12" spans="1:32" x14ac:dyDescent="0.25">
      <c r="A12" s="133" t="s">
        <v>72</v>
      </c>
      <c r="B12" s="134">
        <f>E6*E2</f>
        <v>22.54</v>
      </c>
      <c r="C12" s="135">
        <f>E3*E5+E5*E4/2-D12</f>
        <v>26.777142857142863</v>
      </c>
      <c r="D12" s="76">
        <f>D10</f>
        <v>5.6728571428571417</v>
      </c>
      <c r="E12" s="136">
        <f t="shared" si="3"/>
        <v>54.99</v>
      </c>
      <c r="F12" s="70"/>
      <c r="G12" s="137">
        <v>270</v>
      </c>
      <c r="H12" s="181" t="s">
        <v>129</v>
      </c>
      <c r="I12" s="69" t="s">
        <v>130</v>
      </c>
      <c r="J12" s="186" t="s">
        <v>96</v>
      </c>
      <c r="K12" s="170" t="s">
        <v>118</v>
      </c>
      <c r="L12" s="172">
        <f t="shared" si="4"/>
        <v>9.66</v>
      </c>
      <c r="M12" s="171" t="s">
        <v>119</v>
      </c>
      <c r="O12" s="165"/>
      <c r="Q12" s="232" t="s">
        <v>154</v>
      </c>
      <c r="R12" s="231"/>
      <c r="T12" s="230"/>
      <c r="U12" s="232" t="s">
        <v>154</v>
      </c>
      <c r="V12" s="231"/>
      <c r="X12" s="230"/>
      <c r="Y12" s="232" t="s">
        <v>154</v>
      </c>
      <c r="Z12" s="231"/>
      <c r="AB12" s="230"/>
      <c r="AC12" s="232" t="s">
        <v>154</v>
      </c>
      <c r="AD12" s="231"/>
      <c r="AF12" s="230"/>
    </row>
    <row r="13" spans="1:32" x14ac:dyDescent="0.25">
      <c r="A13" s="91" t="s">
        <v>43</v>
      </c>
      <c r="B13" s="62">
        <f>1.2*1.85+0.8*0.8</f>
        <v>2.8600000000000003</v>
      </c>
      <c r="C13" s="92">
        <f>1*0.8</f>
        <v>0.8</v>
      </c>
      <c r="D13" s="63"/>
      <c r="E13" s="92">
        <f t="shared" si="3"/>
        <v>3.66</v>
      </c>
      <c r="H13" s="181" t="s">
        <v>129</v>
      </c>
      <c r="I13" s="69" t="s">
        <v>130</v>
      </c>
      <c r="J13" s="186" t="s">
        <v>134</v>
      </c>
      <c r="K13" s="170" t="s">
        <v>118</v>
      </c>
      <c r="L13" s="172">
        <f t="shared" si="4"/>
        <v>26.777142857142863</v>
      </c>
      <c r="M13" s="171" t="s">
        <v>119</v>
      </c>
      <c r="O13" s="165"/>
      <c r="Q13" s="178" t="s">
        <v>194</v>
      </c>
      <c r="R13" s="230" t="s">
        <v>118</v>
      </c>
      <c r="S13" s="59">
        <f>S3*S1_EPB2010!$C$55*0.25*0.8</f>
        <v>0</v>
      </c>
      <c r="T13" s="230" t="s">
        <v>119</v>
      </c>
      <c r="U13" s="178" t="s">
        <v>194</v>
      </c>
      <c r="V13" s="230" t="s">
        <v>118</v>
      </c>
      <c r="W13" s="59">
        <f>W3*S1_EPB2010!$C$55*0.25*0.8</f>
        <v>0.99659999999999993</v>
      </c>
      <c r="X13" s="230" t="s">
        <v>119</v>
      </c>
      <c r="Y13" s="178" t="s">
        <v>194</v>
      </c>
      <c r="Z13" s="230" t="s">
        <v>118</v>
      </c>
      <c r="AA13" s="59">
        <f>AA3*'S2_1946-1970'!$C$51*0.25*0.8</f>
        <v>0</v>
      </c>
      <c r="AB13" s="230" t="s">
        <v>119</v>
      </c>
      <c r="AC13" s="178" t="s">
        <v>194</v>
      </c>
      <c r="AD13" s="230" t="s">
        <v>118</v>
      </c>
      <c r="AE13" s="59">
        <f>AE3*'S2_1946-1970'!$C$51*0.25*0.8</f>
        <v>0.99659999999999993</v>
      </c>
      <c r="AF13" s="230" t="s">
        <v>119</v>
      </c>
    </row>
    <row r="14" spans="1:32" x14ac:dyDescent="0.25">
      <c r="A14" s="80" t="s">
        <v>44</v>
      </c>
      <c r="B14" s="93">
        <f>1.2*(3.1+1.2+1.2)</f>
        <v>6.6</v>
      </c>
      <c r="C14" s="69">
        <f>2*1.2*2.4</f>
        <v>5.76</v>
      </c>
      <c r="D14" s="94"/>
      <c r="E14" s="69">
        <f t="shared" si="3"/>
        <v>12.36</v>
      </c>
      <c r="H14" s="181" t="s">
        <v>129</v>
      </c>
      <c r="I14" s="69" t="s">
        <v>130</v>
      </c>
      <c r="J14" s="186" t="s">
        <v>98</v>
      </c>
      <c r="K14" s="170" t="s">
        <v>118</v>
      </c>
      <c r="L14" s="172">
        <f t="shared" si="4"/>
        <v>0.8</v>
      </c>
      <c r="M14" s="171" t="s">
        <v>119</v>
      </c>
      <c r="O14" s="165"/>
      <c r="Q14" s="178" t="s">
        <v>195</v>
      </c>
      <c r="R14" s="230" t="s">
        <v>118</v>
      </c>
      <c r="S14" s="59">
        <f>S2*S1_EPB2010!$C$55*0.25*0.8</f>
        <v>1.3152100000000002</v>
      </c>
      <c r="T14" s="230" t="s">
        <v>119</v>
      </c>
      <c r="U14" s="178" t="s">
        <v>195</v>
      </c>
      <c r="V14" s="230" t="s">
        <v>118</v>
      </c>
      <c r="W14" s="59">
        <f>W2*S1_EPB2010!$C$55*0.25*0.8</f>
        <v>1.3152100000000002</v>
      </c>
      <c r="X14" s="230" t="s">
        <v>119</v>
      </c>
      <c r="Y14" s="178" t="s">
        <v>195</v>
      </c>
      <c r="Z14" s="230" t="s">
        <v>118</v>
      </c>
      <c r="AA14" s="59">
        <f>AA2*'S2_1946-1970'!$C$51*0.25*0.8</f>
        <v>1.3152100000000002</v>
      </c>
      <c r="AB14" s="230" t="s">
        <v>119</v>
      </c>
      <c r="AC14" s="178" t="s">
        <v>195</v>
      </c>
      <c r="AD14" s="230" t="s">
        <v>118</v>
      </c>
      <c r="AE14" s="59">
        <f>AE2*'S2_1946-1970'!$C$51*0.25*0.8</f>
        <v>1.3152100000000002</v>
      </c>
      <c r="AF14" s="230" t="s">
        <v>119</v>
      </c>
    </row>
    <row r="15" spans="1:32" x14ac:dyDescent="0.25">
      <c r="A15" s="80" t="s">
        <v>45</v>
      </c>
      <c r="B15" s="93">
        <f>1.2*2.4+2.65*2.2</f>
        <v>8.7100000000000009</v>
      </c>
      <c r="C15" s="69">
        <f>2*1*0.8</f>
        <v>1.6</v>
      </c>
      <c r="D15" s="94"/>
      <c r="E15" s="69">
        <f t="shared" si="3"/>
        <v>10.31</v>
      </c>
      <c r="H15" s="181" t="s">
        <v>129</v>
      </c>
      <c r="I15" s="69" t="s">
        <v>130</v>
      </c>
      <c r="J15" s="186" t="s">
        <v>125</v>
      </c>
      <c r="K15" s="170" t="s">
        <v>118</v>
      </c>
      <c r="L15" s="172">
        <f t="shared" si="4"/>
        <v>5.76</v>
      </c>
      <c r="M15" s="171" t="s">
        <v>119</v>
      </c>
      <c r="O15" s="165"/>
      <c r="Q15" s="178" t="s">
        <v>196</v>
      </c>
      <c r="R15" s="230" t="s">
        <v>118</v>
      </c>
      <c r="S15" s="59">
        <f>S4*S1_EPB2010!$C$55*0.25*0.8</f>
        <v>0.43186000000000013</v>
      </c>
      <c r="T15" s="230" t="s">
        <v>119</v>
      </c>
      <c r="U15" s="178" t="s">
        <v>196</v>
      </c>
      <c r="V15" s="230" t="s">
        <v>118</v>
      </c>
      <c r="W15" s="59">
        <f>W4*S1_EPB2010!$C$55*0.25*0.8</f>
        <v>0.43186000000000013</v>
      </c>
      <c r="X15" s="230" t="s">
        <v>119</v>
      </c>
      <c r="Y15" s="178" t="s">
        <v>196</v>
      </c>
      <c r="Z15" s="230" t="s">
        <v>118</v>
      </c>
      <c r="AA15" s="59">
        <f>AA4*'S2_1946-1970'!$C$51*0.25*0.8</f>
        <v>0.43186000000000013</v>
      </c>
      <c r="AB15" s="230" t="s">
        <v>119</v>
      </c>
      <c r="AC15" s="178" t="s">
        <v>196</v>
      </c>
      <c r="AD15" s="230" t="s">
        <v>118</v>
      </c>
      <c r="AE15" s="59">
        <f>AE4*'S2_1946-1970'!$C$51*0.25*0.8</f>
        <v>0.43186000000000013</v>
      </c>
      <c r="AF15" s="230" t="s">
        <v>119</v>
      </c>
    </row>
    <row r="16" spans="1:32" x14ac:dyDescent="0.25">
      <c r="A16" s="88" t="s">
        <v>46</v>
      </c>
      <c r="B16" s="95" t="s">
        <v>59</v>
      </c>
      <c r="C16" s="96" t="s">
        <v>59</v>
      </c>
      <c r="D16" s="97" t="s">
        <v>59</v>
      </c>
      <c r="E16" s="96">
        <f t="shared" si="3"/>
        <v>0</v>
      </c>
      <c r="H16" s="181" t="s">
        <v>129</v>
      </c>
      <c r="I16" s="69" t="s">
        <v>130</v>
      </c>
      <c r="J16" s="186" t="s">
        <v>99</v>
      </c>
      <c r="K16" s="170" t="s">
        <v>118</v>
      </c>
      <c r="L16" s="172">
        <f t="shared" si="4"/>
        <v>1.6</v>
      </c>
      <c r="M16" s="171" t="s">
        <v>119</v>
      </c>
      <c r="O16" s="165"/>
      <c r="Q16" s="178" t="s">
        <v>197</v>
      </c>
      <c r="R16" s="230" t="s">
        <v>118</v>
      </c>
      <c r="S16" s="59">
        <f>S5*S1_EPB2010!$C$55*0.25*0.8</f>
        <v>0.99659999999999993</v>
      </c>
      <c r="T16" s="230" t="s">
        <v>119</v>
      </c>
      <c r="U16" s="178" t="s">
        <v>197</v>
      </c>
      <c r="V16" s="230" t="s">
        <v>118</v>
      </c>
      <c r="W16" s="59">
        <f>W5*S1_EPB2010!$C$55*0.25*0.8</f>
        <v>0</v>
      </c>
      <c r="X16" s="230" t="s">
        <v>119</v>
      </c>
      <c r="Y16" s="178" t="s">
        <v>197</v>
      </c>
      <c r="Z16" s="230" t="s">
        <v>118</v>
      </c>
      <c r="AA16" s="59">
        <f>AA5*'S2_1946-1970'!$C$51*0.25*0.8</f>
        <v>0.99659999999999993</v>
      </c>
      <c r="AB16" s="230" t="s">
        <v>119</v>
      </c>
      <c r="AC16" s="178" t="s">
        <v>197</v>
      </c>
      <c r="AD16" s="230" t="s">
        <v>118</v>
      </c>
      <c r="AE16" s="59">
        <f>AE5*'S2_1946-1970'!$C$51*0.25*0.8</f>
        <v>0</v>
      </c>
      <c r="AF16" s="230" t="s">
        <v>119</v>
      </c>
    </row>
    <row r="17" spans="1:32" x14ac:dyDescent="0.25">
      <c r="A17" s="91" t="s">
        <v>47</v>
      </c>
      <c r="B17" s="62">
        <f>0.9*2.2</f>
        <v>1.9800000000000002</v>
      </c>
      <c r="C17" s="92"/>
      <c r="D17" s="63"/>
      <c r="E17" s="92">
        <f t="shared" si="3"/>
        <v>1.9800000000000002</v>
      </c>
      <c r="H17" s="181" t="s">
        <v>129</v>
      </c>
      <c r="I17" s="69" t="s">
        <v>130</v>
      </c>
      <c r="J17" s="186" t="s">
        <v>101</v>
      </c>
      <c r="K17" s="170" t="s">
        <v>118</v>
      </c>
      <c r="L17" s="172">
        <f>C28</f>
        <v>58.777499999999996</v>
      </c>
      <c r="M17" s="171" t="s">
        <v>119</v>
      </c>
      <c r="Q17" s="178" t="s">
        <v>198</v>
      </c>
      <c r="R17" s="230" t="s">
        <v>118</v>
      </c>
      <c r="S17" s="59">
        <f>S13</f>
        <v>0</v>
      </c>
      <c r="T17" s="230" t="s">
        <v>119</v>
      </c>
      <c r="U17" s="178" t="s">
        <v>198</v>
      </c>
      <c r="V17" s="230" t="s">
        <v>118</v>
      </c>
      <c r="W17" s="59">
        <f>W13</f>
        <v>0.99659999999999993</v>
      </c>
      <c r="X17" s="230" t="s">
        <v>119</v>
      </c>
      <c r="Y17" s="178" t="s">
        <v>198</v>
      </c>
      <c r="Z17" s="230" t="s">
        <v>118</v>
      </c>
      <c r="AA17" s="59">
        <f>AA13</f>
        <v>0</v>
      </c>
      <c r="AB17" s="230" t="s">
        <v>119</v>
      </c>
      <c r="AC17" s="178" t="s">
        <v>198</v>
      </c>
      <c r="AD17" s="230" t="s">
        <v>118</v>
      </c>
      <c r="AE17" s="59">
        <f>AE13</f>
        <v>0.99659999999999993</v>
      </c>
      <c r="AF17" s="230" t="s">
        <v>119</v>
      </c>
    </row>
    <row r="18" spans="1:32" x14ac:dyDescent="0.25">
      <c r="A18" s="80" t="s">
        <v>48</v>
      </c>
      <c r="B18" s="93"/>
      <c r="C18" s="69"/>
      <c r="D18" s="94"/>
      <c r="E18" s="69">
        <f t="shared" si="3"/>
        <v>0</v>
      </c>
      <c r="H18" s="181" t="s">
        <v>129</v>
      </c>
      <c r="I18" s="69" t="s">
        <v>130</v>
      </c>
      <c r="J18" s="186" t="s">
        <v>103</v>
      </c>
      <c r="K18" s="170" t="s">
        <v>118</v>
      </c>
      <c r="L18" s="172">
        <f>D27</f>
        <v>48.07</v>
      </c>
      <c r="M18" s="171" t="s">
        <v>119</v>
      </c>
      <c r="O18" s="165"/>
      <c r="Q18" s="178" t="s">
        <v>199</v>
      </c>
      <c r="R18" s="230" t="s">
        <v>118</v>
      </c>
      <c r="S18" s="59">
        <f t="shared" ref="S18:S20" si="5">S14</f>
        <v>1.3152100000000002</v>
      </c>
      <c r="T18" s="230" t="s">
        <v>119</v>
      </c>
      <c r="U18" s="178" t="s">
        <v>199</v>
      </c>
      <c r="V18" s="230" t="s">
        <v>118</v>
      </c>
      <c r="W18" s="59">
        <f t="shared" ref="W18:W20" si="6">W14</f>
        <v>1.3152100000000002</v>
      </c>
      <c r="X18" s="230" t="s">
        <v>119</v>
      </c>
      <c r="Y18" s="178" t="s">
        <v>199</v>
      </c>
      <c r="Z18" s="230" t="s">
        <v>118</v>
      </c>
      <c r="AA18" s="59">
        <f t="shared" ref="AA18:AA20" si="7">AA14</f>
        <v>1.3152100000000002</v>
      </c>
      <c r="AB18" s="230" t="s">
        <v>119</v>
      </c>
      <c r="AC18" s="178" t="s">
        <v>199</v>
      </c>
      <c r="AD18" s="230" t="s">
        <v>118</v>
      </c>
      <c r="AE18" s="59">
        <f t="shared" ref="AE18:AE20" si="8">AE14</f>
        <v>1.3152100000000002</v>
      </c>
      <c r="AF18" s="230" t="s">
        <v>119</v>
      </c>
    </row>
    <row r="19" spans="1:32" x14ac:dyDescent="0.25">
      <c r="A19" s="80" t="s">
        <v>49</v>
      </c>
      <c r="B19" s="93"/>
      <c r="C19" s="73"/>
      <c r="D19" s="94"/>
      <c r="E19" s="69">
        <f t="shared" si="3"/>
        <v>0</v>
      </c>
      <c r="H19" s="181" t="s">
        <v>129</v>
      </c>
      <c r="I19" s="182" t="s">
        <v>132</v>
      </c>
      <c r="J19" s="186" t="s">
        <v>104</v>
      </c>
      <c r="K19" s="170" t="s">
        <v>118</v>
      </c>
      <c r="L19" s="172">
        <f>C3</f>
        <v>209.11275000000001</v>
      </c>
      <c r="M19" s="171" t="s">
        <v>119</v>
      </c>
      <c r="O19" s="165"/>
      <c r="Q19" s="178" t="s">
        <v>200</v>
      </c>
      <c r="R19" s="230" t="s">
        <v>118</v>
      </c>
      <c r="S19" s="59">
        <f t="shared" si="5"/>
        <v>0.43186000000000013</v>
      </c>
      <c r="T19" s="230" t="s">
        <v>119</v>
      </c>
      <c r="U19" s="178" t="s">
        <v>200</v>
      </c>
      <c r="V19" s="230" t="s">
        <v>118</v>
      </c>
      <c r="W19" s="59">
        <f t="shared" si="6"/>
        <v>0.43186000000000013</v>
      </c>
      <c r="X19" s="230" t="s">
        <v>119</v>
      </c>
      <c r="Y19" s="178" t="s">
        <v>200</v>
      </c>
      <c r="Z19" s="230" t="s">
        <v>118</v>
      </c>
      <c r="AA19" s="59">
        <f t="shared" si="7"/>
        <v>0.43186000000000013</v>
      </c>
      <c r="AB19" s="230" t="s">
        <v>119</v>
      </c>
      <c r="AC19" s="178" t="s">
        <v>200</v>
      </c>
      <c r="AD19" s="230" t="s">
        <v>118</v>
      </c>
      <c r="AE19" s="59">
        <f t="shared" si="8"/>
        <v>0.43186000000000013</v>
      </c>
      <c r="AF19" s="230" t="s">
        <v>119</v>
      </c>
    </row>
    <row r="20" spans="1:32" x14ac:dyDescent="0.25">
      <c r="A20" s="88" t="s">
        <v>50</v>
      </c>
      <c r="B20" s="89"/>
      <c r="C20" s="96"/>
      <c r="D20" s="97"/>
      <c r="E20" s="96">
        <f t="shared" si="3"/>
        <v>0</v>
      </c>
      <c r="H20" s="181" t="s">
        <v>129</v>
      </c>
      <c r="I20" s="69" t="s">
        <v>130</v>
      </c>
      <c r="J20" s="186" t="s">
        <v>105</v>
      </c>
      <c r="K20" s="170" t="s">
        <v>118</v>
      </c>
      <c r="L20" s="172">
        <f t="shared" ref="L20:L26" si="9">B9</f>
        <v>17.7</v>
      </c>
      <c r="M20" s="171" t="s">
        <v>119</v>
      </c>
      <c r="O20" s="165"/>
      <c r="Q20" s="178" t="s">
        <v>201</v>
      </c>
      <c r="R20" s="230" t="s">
        <v>118</v>
      </c>
      <c r="S20" s="59">
        <f t="shared" si="5"/>
        <v>0.99659999999999993</v>
      </c>
      <c r="T20" s="230" t="s">
        <v>119</v>
      </c>
      <c r="U20" s="178" t="s">
        <v>201</v>
      </c>
      <c r="V20" s="230" t="s">
        <v>118</v>
      </c>
      <c r="W20" s="59">
        <f t="shared" si="6"/>
        <v>0</v>
      </c>
      <c r="X20" s="230" t="s">
        <v>119</v>
      </c>
      <c r="Y20" s="178" t="s">
        <v>201</v>
      </c>
      <c r="Z20" s="230" t="s">
        <v>118</v>
      </c>
      <c r="AA20" s="59">
        <f t="shared" si="7"/>
        <v>0.99659999999999993</v>
      </c>
      <c r="AB20" s="230" t="s">
        <v>119</v>
      </c>
      <c r="AC20" s="178" t="s">
        <v>201</v>
      </c>
      <c r="AD20" s="230" t="s">
        <v>118</v>
      </c>
      <c r="AE20" s="59">
        <f t="shared" si="8"/>
        <v>0</v>
      </c>
      <c r="AF20" s="230" t="s">
        <v>119</v>
      </c>
    </row>
    <row r="21" spans="1:32" x14ac:dyDescent="0.25">
      <c r="A21" s="91" t="s">
        <v>51</v>
      </c>
      <c r="B21" s="62"/>
      <c r="C21" s="144">
        <f>SQRT((E5/2)^2+E4^2)*E6-D21-C13</f>
        <v>23.190664851145751</v>
      </c>
      <c r="D21" s="145">
        <f>SQRT(G3^2+(E5*G3/2/E4)^2)*E6</f>
        <v>28.488914510735576</v>
      </c>
      <c r="E21" s="99">
        <f>SUM(B21:D21)</f>
        <v>51.679579361881324</v>
      </c>
      <c r="F21" s="64" t="s">
        <v>52</v>
      </c>
      <c r="G21" s="101">
        <f>DEGREES(ATAN($E$4/E5*2))</f>
        <v>32.471192290848492</v>
      </c>
      <c r="H21" s="181" t="s">
        <v>129</v>
      </c>
      <c r="I21" s="69" t="s">
        <v>130</v>
      </c>
      <c r="J21" s="186" t="s">
        <v>106</v>
      </c>
      <c r="K21" s="170" t="s">
        <v>118</v>
      </c>
      <c r="L21" s="172">
        <f t="shared" si="9"/>
        <v>24.199999999999996</v>
      </c>
      <c r="M21" s="171" t="s">
        <v>119</v>
      </c>
      <c r="O21" s="165"/>
      <c r="Q21" s="178" t="s">
        <v>202</v>
      </c>
      <c r="R21" s="230" t="s">
        <v>118</v>
      </c>
      <c r="S21" s="59">
        <v>0</v>
      </c>
      <c r="T21" s="230" t="s">
        <v>119</v>
      </c>
      <c r="U21" s="178" t="s">
        <v>202</v>
      </c>
      <c r="V21" s="230" t="s">
        <v>118</v>
      </c>
      <c r="W21" s="59">
        <v>0</v>
      </c>
      <c r="X21" s="230" t="s">
        <v>119</v>
      </c>
      <c r="Y21" s="178" t="s">
        <v>202</v>
      </c>
      <c r="Z21" s="230" t="s">
        <v>118</v>
      </c>
      <c r="AA21" s="59">
        <v>0</v>
      </c>
      <c r="AB21" s="230" t="s">
        <v>119</v>
      </c>
      <c r="AC21" s="178" t="s">
        <v>202</v>
      </c>
      <c r="AD21" s="230" t="s">
        <v>118</v>
      </c>
      <c r="AE21" s="59">
        <v>0</v>
      </c>
      <c r="AF21" s="230" t="s">
        <v>119</v>
      </c>
    </row>
    <row r="22" spans="1:32" x14ac:dyDescent="0.25">
      <c r="A22" s="80" t="s">
        <v>53</v>
      </c>
      <c r="B22" s="84"/>
      <c r="C22" s="129"/>
      <c r="D22" s="131" t="s">
        <v>59</v>
      </c>
      <c r="E22" s="83">
        <f t="shared" si="3"/>
        <v>0</v>
      </c>
      <c r="F22" s="64"/>
      <c r="G22" s="102"/>
      <c r="H22" s="181" t="s">
        <v>129</v>
      </c>
      <c r="I22" s="69" t="s">
        <v>130</v>
      </c>
      <c r="J22" s="186" t="s">
        <v>107</v>
      </c>
      <c r="K22" s="170" t="s">
        <v>118</v>
      </c>
      <c r="L22" s="172">
        <f t="shared" si="9"/>
        <v>13.829999999999998</v>
      </c>
      <c r="M22" s="171" t="s">
        <v>119</v>
      </c>
      <c r="O22" s="165"/>
      <c r="Q22" s="178" t="s">
        <v>203</v>
      </c>
      <c r="R22" s="230" t="s">
        <v>118</v>
      </c>
      <c r="S22" s="59">
        <v>0</v>
      </c>
      <c r="T22" s="230" t="s">
        <v>119</v>
      </c>
      <c r="U22" s="178" t="s">
        <v>203</v>
      </c>
      <c r="V22" s="230" t="s">
        <v>118</v>
      </c>
      <c r="W22" s="59">
        <v>0</v>
      </c>
      <c r="X22" s="230" t="s">
        <v>119</v>
      </c>
      <c r="Y22" s="178" t="s">
        <v>203</v>
      </c>
      <c r="Z22" s="230" t="s">
        <v>118</v>
      </c>
      <c r="AA22" s="59">
        <v>0</v>
      </c>
      <c r="AB22" s="230" t="s">
        <v>119</v>
      </c>
      <c r="AC22" s="178" t="s">
        <v>203</v>
      </c>
      <c r="AD22" s="230" t="s">
        <v>118</v>
      </c>
      <c r="AE22" s="59">
        <v>0</v>
      </c>
      <c r="AF22" s="230" t="s">
        <v>119</v>
      </c>
    </row>
    <row r="23" spans="1:32" x14ac:dyDescent="0.25">
      <c r="A23" s="80" t="s">
        <v>54</v>
      </c>
      <c r="B23" s="93"/>
      <c r="C23" s="129">
        <f>SQRT((E5/2)^2+E4^2)*E6-D23-C15</f>
        <v>22.39066485114575</v>
      </c>
      <c r="D23" s="131">
        <f>D21</f>
        <v>28.488914510735576</v>
      </c>
      <c r="E23" s="83">
        <f t="shared" si="3"/>
        <v>50.879579361881326</v>
      </c>
      <c r="F23" s="64" t="s">
        <v>52</v>
      </c>
      <c r="G23" s="101">
        <f>G21</f>
        <v>32.471192290848492</v>
      </c>
      <c r="H23" s="181" t="s">
        <v>129</v>
      </c>
      <c r="I23" s="69" t="s">
        <v>130</v>
      </c>
      <c r="J23" s="186" t="s">
        <v>126</v>
      </c>
      <c r="K23" s="170" t="s">
        <v>118</v>
      </c>
      <c r="L23" s="172">
        <f t="shared" si="9"/>
        <v>22.54</v>
      </c>
      <c r="M23" s="171" t="s">
        <v>119</v>
      </c>
      <c r="O23" s="165"/>
      <c r="Q23" s="178" t="s">
        <v>204</v>
      </c>
      <c r="R23" s="230" t="s">
        <v>118</v>
      </c>
      <c r="S23" s="59">
        <v>0</v>
      </c>
      <c r="T23" s="230" t="s">
        <v>119</v>
      </c>
      <c r="U23" s="178" t="s">
        <v>204</v>
      </c>
      <c r="V23" s="230" t="s">
        <v>118</v>
      </c>
      <c r="W23" s="59">
        <v>0</v>
      </c>
      <c r="X23" s="230" t="s">
        <v>119</v>
      </c>
      <c r="Y23" s="178" t="s">
        <v>204</v>
      </c>
      <c r="Z23" s="230" t="s">
        <v>118</v>
      </c>
      <c r="AA23" s="59">
        <v>0</v>
      </c>
      <c r="AB23" s="230" t="s">
        <v>119</v>
      </c>
      <c r="AC23" s="178" t="s">
        <v>204</v>
      </c>
      <c r="AD23" s="230" t="s">
        <v>118</v>
      </c>
      <c r="AE23" s="59">
        <v>0</v>
      </c>
      <c r="AF23" s="230" t="s">
        <v>119</v>
      </c>
    </row>
    <row r="24" spans="1:32" x14ac:dyDescent="0.25">
      <c r="A24" s="88" t="s">
        <v>55</v>
      </c>
      <c r="B24" s="95"/>
      <c r="C24" s="96"/>
      <c r="D24" s="97" t="s">
        <v>59</v>
      </c>
      <c r="E24" s="96">
        <f t="shared" si="3"/>
        <v>0</v>
      </c>
      <c r="H24" s="181" t="s">
        <v>129</v>
      </c>
      <c r="I24" s="69" t="s">
        <v>130</v>
      </c>
      <c r="J24" s="186" t="s">
        <v>109</v>
      </c>
      <c r="K24" s="170" t="s">
        <v>118</v>
      </c>
      <c r="L24" s="172">
        <f t="shared" si="9"/>
        <v>2.8600000000000003</v>
      </c>
      <c r="M24" s="171" t="s">
        <v>119</v>
      </c>
      <c r="O24" s="165"/>
      <c r="Q24" s="178" t="s">
        <v>205</v>
      </c>
      <c r="R24" s="230" t="s">
        <v>118</v>
      </c>
      <c r="S24" s="59">
        <v>0</v>
      </c>
      <c r="T24" s="230" t="s">
        <v>119</v>
      </c>
      <c r="U24" s="178" t="s">
        <v>205</v>
      </c>
      <c r="V24" s="230" t="s">
        <v>118</v>
      </c>
      <c r="W24" s="59">
        <v>0</v>
      </c>
      <c r="X24" s="230" t="s">
        <v>119</v>
      </c>
      <c r="Y24" s="178" t="s">
        <v>205</v>
      </c>
      <c r="Z24" s="230" t="s">
        <v>118</v>
      </c>
      <c r="AA24" s="59">
        <v>0</v>
      </c>
      <c r="AB24" s="230" t="s">
        <v>119</v>
      </c>
      <c r="AC24" s="178" t="s">
        <v>205</v>
      </c>
      <c r="AD24" s="230" t="s">
        <v>118</v>
      </c>
      <c r="AE24" s="59">
        <v>0</v>
      </c>
      <c r="AF24" s="230" t="s">
        <v>119</v>
      </c>
    </row>
    <row r="25" spans="1:32" x14ac:dyDescent="0.25">
      <c r="A25" s="103" t="s">
        <v>56</v>
      </c>
      <c r="B25" s="84">
        <f>E5*E6</f>
        <v>88.550000000000011</v>
      </c>
      <c r="C25" s="83"/>
      <c r="D25" s="87"/>
      <c r="E25" s="104">
        <f>SUM(B25:D25)</f>
        <v>88.550000000000011</v>
      </c>
      <c r="H25" s="181" t="s">
        <v>129</v>
      </c>
      <c r="I25" s="69" t="s">
        <v>130</v>
      </c>
      <c r="J25" s="186" t="s">
        <v>127</v>
      </c>
      <c r="K25" s="170" t="s">
        <v>118</v>
      </c>
      <c r="L25" s="172">
        <f t="shared" si="9"/>
        <v>6.6</v>
      </c>
      <c r="M25" s="171" t="s">
        <v>119</v>
      </c>
      <c r="O25" s="165"/>
      <c r="Q25" s="178" t="s">
        <v>206</v>
      </c>
      <c r="R25" s="230" t="s">
        <v>118</v>
      </c>
      <c r="S25" s="59">
        <f>S13</f>
        <v>0</v>
      </c>
      <c r="T25" s="230" t="s">
        <v>119</v>
      </c>
      <c r="U25" s="178" t="s">
        <v>206</v>
      </c>
      <c r="V25" s="230" t="s">
        <v>118</v>
      </c>
      <c r="W25" s="59">
        <f>W13</f>
        <v>0.99659999999999993</v>
      </c>
      <c r="X25" s="230" t="s">
        <v>119</v>
      </c>
      <c r="Y25" s="178" t="s">
        <v>206</v>
      </c>
      <c r="Z25" s="230" t="s">
        <v>118</v>
      </c>
      <c r="AA25" s="59">
        <f>AA13</f>
        <v>0</v>
      </c>
      <c r="AB25" s="230" t="s">
        <v>119</v>
      </c>
      <c r="AC25" s="178" t="s">
        <v>206</v>
      </c>
      <c r="AD25" s="230" t="s">
        <v>118</v>
      </c>
      <c r="AE25" s="59">
        <f>AE13</f>
        <v>0.99659999999999993</v>
      </c>
      <c r="AF25" s="230" t="s">
        <v>119</v>
      </c>
    </row>
    <row r="26" spans="1:32" x14ac:dyDescent="0.25">
      <c r="A26" s="105" t="s">
        <v>57</v>
      </c>
      <c r="B26" s="84">
        <f>2*E6+E5</f>
        <v>27.1</v>
      </c>
      <c r="C26" s="83"/>
      <c r="D26" s="87"/>
      <c r="E26" s="104">
        <f>SUM(B26:D26)</f>
        <v>27.1</v>
      </c>
      <c r="H26" s="181" t="s">
        <v>129</v>
      </c>
      <c r="I26" s="69" t="s">
        <v>130</v>
      </c>
      <c r="J26" s="186" t="s">
        <v>110</v>
      </c>
      <c r="K26" s="170" t="s">
        <v>118</v>
      </c>
      <c r="L26" s="172">
        <f t="shared" si="9"/>
        <v>8.7100000000000009</v>
      </c>
      <c r="M26" s="171" t="s">
        <v>119</v>
      </c>
      <c r="O26" s="165"/>
      <c r="Q26" s="178" t="s">
        <v>207</v>
      </c>
      <c r="R26" s="230" t="s">
        <v>118</v>
      </c>
      <c r="S26" s="59">
        <f t="shared" ref="S26:S32" si="10">S14</f>
        <v>1.3152100000000002</v>
      </c>
      <c r="T26" s="230" t="s">
        <v>119</v>
      </c>
      <c r="U26" s="178" t="s">
        <v>207</v>
      </c>
      <c r="V26" s="230" t="s">
        <v>118</v>
      </c>
      <c r="W26" s="59">
        <f t="shared" ref="W26:W32" si="11">W14</f>
        <v>1.3152100000000002</v>
      </c>
      <c r="X26" s="230" t="s">
        <v>119</v>
      </c>
      <c r="Y26" s="178" t="s">
        <v>207</v>
      </c>
      <c r="Z26" s="230" t="s">
        <v>118</v>
      </c>
      <c r="AA26" s="59">
        <f t="shared" ref="AA26:AA32" si="12">AA14</f>
        <v>1.3152100000000002</v>
      </c>
      <c r="AB26" s="230" t="s">
        <v>119</v>
      </c>
      <c r="AC26" s="178" t="s">
        <v>207</v>
      </c>
      <c r="AD26" s="230" t="s">
        <v>118</v>
      </c>
      <c r="AE26" s="59">
        <f t="shared" ref="AE26:AE32" si="13">AE14</f>
        <v>1.3152100000000002</v>
      </c>
      <c r="AF26" s="230" t="s">
        <v>119</v>
      </c>
    </row>
    <row r="27" spans="1:32" x14ac:dyDescent="0.25">
      <c r="A27" s="79" t="s">
        <v>58</v>
      </c>
      <c r="B27" s="84">
        <f>B25</f>
        <v>88.550000000000011</v>
      </c>
      <c r="C27" s="83"/>
      <c r="D27" s="87">
        <f>(E5*G3/E4)*E6</f>
        <v>48.07</v>
      </c>
      <c r="H27" s="181" t="s">
        <v>129</v>
      </c>
      <c r="I27" s="69" t="s">
        <v>130</v>
      </c>
      <c r="J27" s="186" t="s">
        <v>128</v>
      </c>
      <c r="K27" s="170" t="s">
        <v>118</v>
      </c>
      <c r="L27" s="172">
        <f>B17</f>
        <v>1.9800000000000002</v>
      </c>
      <c r="M27" s="171" t="s">
        <v>119</v>
      </c>
      <c r="O27" s="165"/>
      <c r="Q27" s="178" t="s">
        <v>208</v>
      </c>
      <c r="R27" s="230" t="s">
        <v>118</v>
      </c>
      <c r="S27" s="59">
        <f t="shared" si="10"/>
        <v>0.43186000000000013</v>
      </c>
      <c r="T27" s="230" t="s">
        <v>119</v>
      </c>
      <c r="U27" s="178" t="s">
        <v>208</v>
      </c>
      <c r="V27" s="230" t="s">
        <v>118</v>
      </c>
      <c r="W27" s="59">
        <f t="shared" si="11"/>
        <v>0.43186000000000013</v>
      </c>
      <c r="X27" s="230" t="s">
        <v>119</v>
      </c>
      <c r="Y27" s="178" t="s">
        <v>208</v>
      </c>
      <c r="Z27" s="230" t="s">
        <v>118</v>
      </c>
      <c r="AA27" s="59">
        <f t="shared" si="12"/>
        <v>0.43186000000000013</v>
      </c>
      <c r="AB27" s="230" t="s">
        <v>119</v>
      </c>
      <c r="AC27" s="178" t="s">
        <v>208</v>
      </c>
      <c r="AD27" s="230" t="s">
        <v>118</v>
      </c>
      <c r="AE27" s="59">
        <f t="shared" si="13"/>
        <v>0.43186000000000013</v>
      </c>
      <c r="AF27" s="230" t="s">
        <v>119</v>
      </c>
    </row>
    <row r="28" spans="1:32" x14ac:dyDescent="0.25">
      <c r="A28" s="79" t="s">
        <v>60</v>
      </c>
      <c r="B28" s="89">
        <f>(E2-0.25)*(3.3+2.1*2+4+11+1.2)-4*0.9*2.2-3.1*2.2</f>
        <v>45.694999999999993</v>
      </c>
      <c r="C28" s="90">
        <f>(G4-0.25)*(E5+E6+4)</f>
        <v>58.777499999999996</v>
      </c>
      <c r="D28" s="138">
        <v>0</v>
      </c>
      <c r="H28" s="181" t="s">
        <v>129</v>
      </c>
      <c r="I28" s="69" t="s">
        <v>130</v>
      </c>
      <c r="J28" s="186" t="s">
        <v>113</v>
      </c>
      <c r="K28" s="170" t="s">
        <v>118</v>
      </c>
      <c r="L28" s="172">
        <f>B25</f>
        <v>88.550000000000011</v>
      </c>
      <c r="M28" s="171" t="s">
        <v>119</v>
      </c>
      <c r="O28" s="165"/>
      <c r="Q28" s="178" t="s">
        <v>209</v>
      </c>
      <c r="R28" s="230" t="s">
        <v>118</v>
      </c>
      <c r="S28" s="59">
        <f t="shared" si="10"/>
        <v>0.99659999999999993</v>
      </c>
      <c r="T28" s="230" t="s">
        <v>119</v>
      </c>
      <c r="U28" s="178" t="s">
        <v>209</v>
      </c>
      <c r="V28" s="230" t="s">
        <v>118</v>
      </c>
      <c r="W28" s="59">
        <f t="shared" si="11"/>
        <v>0</v>
      </c>
      <c r="X28" s="230" t="s">
        <v>119</v>
      </c>
      <c r="Y28" s="178" t="s">
        <v>209</v>
      </c>
      <c r="Z28" s="230" t="s">
        <v>118</v>
      </c>
      <c r="AA28" s="59">
        <f t="shared" si="12"/>
        <v>0.99659999999999993</v>
      </c>
      <c r="AB28" s="230" t="s">
        <v>119</v>
      </c>
      <c r="AC28" s="178" t="s">
        <v>209</v>
      </c>
      <c r="AD28" s="230" t="s">
        <v>118</v>
      </c>
      <c r="AE28" s="59">
        <f t="shared" si="13"/>
        <v>0</v>
      </c>
      <c r="AF28" s="230" t="s">
        <v>119</v>
      </c>
    </row>
    <row r="29" spans="1:32" x14ac:dyDescent="0.25">
      <c r="H29" s="181" t="s">
        <v>129</v>
      </c>
      <c r="I29" s="182" t="s">
        <v>133</v>
      </c>
      <c r="J29" s="186" t="s">
        <v>114</v>
      </c>
      <c r="K29" s="170" t="s">
        <v>118</v>
      </c>
      <c r="L29" s="172">
        <f>B26</f>
        <v>27.1</v>
      </c>
      <c r="M29" s="171" t="s">
        <v>119</v>
      </c>
      <c r="O29" s="165"/>
      <c r="Q29" s="178" t="s">
        <v>210</v>
      </c>
      <c r="R29" s="230" t="s">
        <v>118</v>
      </c>
      <c r="S29" s="59">
        <f t="shared" si="10"/>
        <v>0</v>
      </c>
      <c r="T29" s="230" t="s">
        <v>119</v>
      </c>
      <c r="U29" s="178" t="s">
        <v>210</v>
      </c>
      <c r="V29" s="230" t="s">
        <v>118</v>
      </c>
      <c r="W29" s="59">
        <f t="shared" si="11"/>
        <v>0.99659999999999993</v>
      </c>
      <c r="X29" s="230" t="s">
        <v>119</v>
      </c>
      <c r="Y29" s="178" t="s">
        <v>210</v>
      </c>
      <c r="Z29" s="230" t="s">
        <v>118</v>
      </c>
      <c r="AA29" s="59">
        <f t="shared" si="12"/>
        <v>0</v>
      </c>
      <c r="AB29" s="230" t="s">
        <v>119</v>
      </c>
      <c r="AC29" s="178" t="s">
        <v>210</v>
      </c>
      <c r="AD29" s="230" t="s">
        <v>118</v>
      </c>
      <c r="AE29" s="59">
        <f t="shared" si="13"/>
        <v>0.99659999999999993</v>
      </c>
      <c r="AF29" s="230" t="s">
        <v>119</v>
      </c>
    </row>
    <row r="30" spans="1:32" x14ac:dyDescent="0.25">
      <c r="H30" s="181" t="s">
        <v>129</v>
      </c>
      <c r="I30" s="69" t="s">
        <v>130</v>
      </c>
      <c r="J30" s="186" t="s">
        <v>115</v>
      </c>
      <c r="K30" s="170" t="s">
        <v>118</v>
      </c>
      <c r="L30" s="172">
        <f>B28</f>
        <v>45.694999999999993</v>
      </c>
      <c r="M30" s="171" t="s">
        <v>119</v>
      </c>
      <c r="O30" s="165"/>
      <c r="Q30" s="178" t="s">
        <v>211</v>
      </c>
      <c r="R30" s="230" t="s">
        <v>118</v>
      </c>
      <c r="S30" s="59">
        <f t="shared" si="10"/>
        <v>1.3152100000000002</v>
      </c>
      <c r="T30" s="230" t="s">
        <v>119</v>
      </c>
      <c r="U30" s="178" t="s">
        <v>211</v>
      </c>
      <c r="V30" s="230" t="s">
        <v>118</v>
      </c>
      <c r="W30" s="59">
        <f t="shared" si="11"/>
        <v>1.3152100000000002</v>
      </c>
      <c r="X30" s="230" t="s">
        <v>119</v>
      </c>
      <c r="Y30" s="178" t="s">
        <v>211</v>
      </c>
      <c r="Z30" s="230" t="s">
        <v>118</v>
      </c>
      <c r="AA30" s="59">
        <f t="shared" si="12"/>
        <v>1.3152100000000002</v>
      </c>
      <c r="AB30" s="230" t="s">
        <v>119</v>
      </c>
      <c r="AC30" s="178" t="s">
        <v>211</v>
      </c>
      <c r="AD30" s="230" t="s">
        <v>118</v>
      </c>
      <c r="AE30" s="59">
        <f t="shared" si="13"/>
        <v>1.3152100000000002</v>
      </c>
      <c r="AF30" s="230" t="s">
        <v>119</v>
      </c>
    </row>
    <row r="31" spans="1:32" ht="15.75" thickBot="1" x14ac:dyDescent="0.3">
      <c r="H31" s="183" t="s">
        <v>129</v>
      </c>
      <c r="I31" s="184" t="s">
        <v>130</v>
      </c>
      <c r="J31" s="187" t="s">
        <v>116</v>
      </c>
      <c r="K31" s="175" t="s">
        <v>118</v>
      </c>
      <c r="L31" s="177">
        <f>B27</f>
        <v>88.550000000000011</v>
      </c>
      <c r="M31" s="176" t="s">
        <v>119</v>
      </c>
      <c r="O31" s="165"/>
      <c r="Q31" s="178" t="s">
        <v>212</v>
      </c>
      <c r="R31" s="230" t="s">
        <v>118</v>
      </c>
      <c r="S31" s="59">
        <f t="shared" si="10"/>
        <v>0.43186000000000013</v>
      </c>
      <c r="T31" s="230" t="s">
        <v>119</v>
      </c>
      <c r="U31" s="178" t="s">
        <v>212</v>
      </c>
      <c r="V31" s="230" t="s">
        <v>118</v>
      </c>
      <c r="W31" s="59">
        <f t="shared" si="11"/>
        <v>0.43186000000000013</v>
      </c>
      <c r="X31" s="230" t="s">
        <v>119</v>
      </c>
      <c r="Y31" s="178" t="s">
        <v>212</v>
      </c>
      <c r="Z31" s="230" t="s">
        <v>118</v>
      </c>
      <c r="AA31" s="59">
        <f t="shared" si="12"/>
        <v>0.43186000000000013</v>
      </c>
      <c r="AB31" s="230" t="s">
        <v>119</v>
      </c>
      <c r="AC31" s="178" t="s">
        <v>212</v>
      </c>
      <c r="AD31" s="230" t="s">
        <v>118</v>
      </c>
      <c r="AE31" s="59">
        <f t="shared" si="13"/>
        <v>0.43186000000000013</v>
      </c>
      <c r="AF31" s="230" t="s">
        <v>119</v>
      </c>
    </row>
    <row r="32" spans="1:32" ht="15.75" thickBot="1" x14ac:dyDescent="0.3">
      <c r="C32" s="109" t="s">
        <v>75</v>
      </c>
      <c r="D32" s="110" t="s">
        <v>61</v>
      </c>
      <c r="H32" s="178"/>
      <c r="Q32" s="178" t="s">
        <v>213</v>
      </c>
      <c r="R32" s="230" t="s">
        <v>118</v>
      </c>
      <c r="S32" s="59">
        <f t="shared" si="10"/>
        <v>0.99659999999999993</v>
      </c>
      <c r="T32" s="230" t="s">
        <v>119</v>
      </c>
      <c r="U32" s="178" t="s">
        <v>213</v>
      </c>
      <c r="V32" s="230" t="s">
        <v>118</v>
      </c>
      <c r="W32" s="59">
        <f t="shared" si="11"/>
        <v>0</v>
      </c>
      <c r="X32" s="230" t="s">
        <v>119</v>
      </c>
      <c r="Y32" s="178" t="s">
        <v>213</v>
      </c>
      <c r="Z32" s="230" t="s">
        <v>118</v>
      </c>
      <c r="AA32" s="59">
        <f t="shared" si="12"/>
        <v>0.99659999999999993</v>
      </c>
      <c r="AB32" s="230" t="s">
        <v>119</v>
      </c>
      <c r="AC32" s="178" t="s">
        <v>213</v>
      </c>
      <c r="AD32" s="230" t="s">
        <v>118</v>
      </c>
      <c r="AE32" s="59">
        <f t="shared" si="13"/>
        <v>0</v>
      </c>
      <c r="AF32" s="230" t="s">
        <v>119</v>
      </c>
    </row>
    <row r="33" spans="1:32" x14ac:dyDescent="0.25">
      <c r="A33" s="111" t="s">
        <v>62</v>
      </c>
      <c r="B33" s="112">
        <f>SUM(B9:D11,B17:D19)</f>
        <v>103.72</v>
      </c>
      <c r="C33" s="141" t="e">
        <f>SUM(#REF!)</f>
        <v>#REF!</v>
      </c>
      <c r="D33" s="113" t="e">
        <f>ABS((C33-B33)/C33*100)</f>
        <v>#REF!</v>
      </c>
      <c r="H33" s="178"/>
      <c r="Q33"/>
      <c r="R33" s="231"/>
      <c r="T33" s="230"/>
      <c r="U33"/>
      <c r="V33" s="231"/>
      <c r="X33" s="230"/>
      <c r="Y33"/>
      <c r="Z33" s="231"/>
      <c r="AB33" s="230"/>
      <c r="AC33"/>
      <c r="AD33" s="231"/>
      <c r="AF33" s="230"/>
    </row>
    <row r="34" spans="1:32" x14ac:dyDescent="0.25">
      <c r="A34" s="114" t="s">
        <v>70</v>
      </c>
      <c r="B34" s="117">
        <f>SUM(B12:D12)</f>
        <v>54.99</v>
      </c>
      <c r="C34" s="141" t="e">
        <f>SUM(#REF!)</f>
        <v>#REF!</v>
      </c>
      <c r="D34" s="116" t="e">
        <f>ABS((C34-B34)/C34*100)</f>
        <v>#REF!</v>
      </c>
      <c r="H34" s="178"/>
      <c r="Q34" s="233" t="s">
        <v>163</v>
      </c>
      <c r="R34" s="231" t="s">
        <v>118</v>
      </c>
      <c r="S34" s="236">
        <f>$L$19*1.204*1012*5</f>
        <v>1273965.06006</v>
      </c>
      <c r="T34" s="230" t="s">
        <v>119</v>
      </c>
      <c r="U34" s="233" t="s">
        <v>163</v>
      </c>
      <c r="V34" s="231" t="s">
        <v>118</v>
      </c>
      <c r="W34" s="236">
        <f>$L$19*1.204*1012*5</f>
        <v>1273965.06006</v>
      </c>
      <c r="X34" s="230" t="s">
        <v>119</v>
      </c>
      <c r="Y34" s="233" t="s">
        <v>163</v>
      </c>
      <c r="Z34" s="231" t="s">
        <v>118</v>
      </c>
      <c r="AA34" s="236">
        <f>$L$19*1.204*1012*5</f>
        <v>1273965.06006</v>
      </c>
      <c r="AB34" s="230" t="s">
        <v>119</v>
      </c>
      <c r="AC34" s="233" t="s">
        <v>163</v>
      </c>
      <c r="AD34" s="231" t="s">
        <v>118</v>
      </c>
      <c r="AE34" s="236">
        <f>$L$19*1.204*1012*5</f>
        <v>1273965.06006</v>
      </c>
      <c r="AF34" s="230" t="s">
        <v>119</v>
      </c>
    </row>
    <row r="35" spans="1:32" x14ac:dyDescent="0.25">
      <c r="A35" s="114" t="s">
        <v>63</v>
      </c>
      <c r="B35" s="117">
        <f>SUM(B21:D24)</f>
        <v>102.55915872376266</v>
      </c>
      <c r="C35" s="141" t="e">
        <f>SUM(#REF!)</f>
        <v>#REF!</v>
      </c>
      <c r="D35" s="116" t="e">
        <f>ABS((C35-B35)/C35*100)</f>
        <v>#REF!</v>
      </c>
      <c r="H35" s="178"/>
      <c r="Q35" s="233" t="s">
        <v>164</v>
      </c>
      <c r="R35" s="231" t="s">
        <v>118</v>
      </c>
      <c r="S35" s="236">
        <f>SUM($L$20:$L$22)*SUM(S1_EPB2010!$I$7:$I$8)</f>
        <v>6483628.1999999993</v>
      </c>
      <c r="T35" s="230" t="s">
        <v>119</v>
      </c>
      <c r="U35" s="233" t="s">
        <v>164</v>
      </c>
      <c r="V35" s="231" t="s">
        <v>118</v>
      </c>
      <c r="W35" s="236">
        <f>SUM($L$20:$L$22)*SUM(S1_EPB2010!$I$7:$I$8)</f>
        <v>6483628.1999999993</v>
      </c>
      <c r="X35" s="230" t="s">
        <v>119</v>
      </c>
      <c r="Y35" s="233" t="s">
        <v>164</v>
      </c>
      <c r="Z35" s="231" t="s">
        <v>118</v>
      </c>
      <c r="AA35" s="236">
        <f>SUM($L$20:$L$22)*SUM('S2_1946-1970'!$I$6:$I$7)</f>
        <v>13037476.199999997</v>
      </c>
      <c r="AB35" s="230" t="s">
        <v>119</v>
      </c>
      <c r="AC35" s="233" t="s">
        <v>164</v>
      </c>
      <c r="AD35" s="231" t="s">
        <v>118</v>
      </c>
      <c r="AE35" s="236">
        <f>SUM($L$20:$L$22)*SUM('S2_1946-1970'!$I$6:$I$7)</f>
        <v>13037476.199999997</v>
      </c>
      <c r="AF35" s="230" t="s">
        <v>119</v>
      </c>
    </row>
    <row r="36" spans="1:32" x14ac:dyDescent="0.25">
      <c r="A36" s="114" t="s">
        <v>64</v>
      </c>
      <c r="B36" s="117">
        <f>SUM(B25:D25)</f>
        <v>88.550000000000011</v>
      </c>
      <c r="C36" s="93" t="e">
        <f>SUM(#REF!)</f>
        <v>#REF!</v>
      </c>
      <c r="D36" s="116" t="e">
        <f>ABS((C36-B36)/C36*100)</f>
        <v>#REF!</v>
      </c>
      <c r="H36" s="178"/>
      <c r="Q36" s="233" t="s">
        <v>165</v>
      </c>
      <c r="R36" s="231" t="s">
        <v>118</v>
      </c>
      <c r="S36" s="236">
        <f>SUM($L$23+$L$30)*SUM(S1_EPB2010!$I$33:$I$35)</f>
        <v>12839097.599999998</v>
      </c>
      <c r="T36" s="230" t="s">
        <v>119</v>
      </c>
      <c r="U36" s="233" t="s">
        <v>165</v>
      </c>
      <c r="V36" s="231" t="s">
        <v>118</v>
      </c>
      <c r="W36" s="236">
        <f>SUM($L$23+$L$30)*SUM(S1_EPB2010!$I$33:$I$35)</f>
        <v>12839097.599999998</v>
      </c>
      <c r="X36" s="230" t="s">
        <v>119</v>
      </c>
      <c r="Y36" s="233" t="s">
        <v>165</v>
      </c>
      <c r="Z36" s="231" t="s">
        <v>118</v>
      </c>
      <c r="AA36" s="236">
        <f>SUM($L$23+$L$30)*SUM('S2_1946-1970'!$I$29:$I$31)</f>
        <v>17080585.199999996</v>
      </c>
      <c r="AB36" s="230" t="s">
        <v>119</v>
      </c>
      <c r="AC36" s="233" t="s">
        <v>165</v>
      </c>
      <c r="AD36" s="231" t="s">
        <v>118</v>
      </c>
      <c r="AE36" s="236">
        <f>SUM($L$23+$L$30)*SUM('S2_1946-1970'!$I$29:$I$31)</f>
        <v>17080585.199999996</v>
      </c>
      <c r="AF36" s="230" t="s">
        <v>119</v>
      </c>
    </row>
    <row r="37" spans="1:32" x14ac:dyDescent="0.25">
      <c r="A37" s="114" t="s">
        <v>65</v>
      </c>
      <c r="B37" s="117">
        <f>SUM(B28:D28)</f>
        <v>104.4725</v>
      </c>
      <c r="C37" s="118" t="e">
        <f>SUM(#REF!)</f>
        <v>#REF!</v>
      </c>
      <c r="D37" s="119" t="e">
        <f>ABS((C37-B37)/C37*100)</f>
        <v>#REF!</v>
      </c>
      <c r="E37" s="120"/>
      <c r="H37" s="178"/>
      <c r="Q37" s="233" t="s">
        <v>166</v>
      </c>
      <c r="R37" s="231" t="s">
        <v>118</v>
      </c>
      <c r="S37" s="235">
        <f>SUM($L$28)*SUM(S1_EPB2010!$I$26:$I$27)</f>
        <v>8150142.0000000009</v>
      </c>
      <c r="T37" s="230" t="s">
        <v>119</v>
      </c>
      <c r="U37" s="233" t="s">
        <v>166</v>
      </c>
      <c r="V37" s="231" t="s">
        <v>118</v>
      </c>
      <c r="W37" s="235">
        <f>SUM($L$28)*SUM(S1_EPB2010!$I$26:$I$27)</f>
        <v>8150142.0000000009</v>
      </c>
      <c r="X37" s="230" t="s">
        <v>119</v>
      </c>
      <c r="Y37" s="233" t="s">
        <v>166</v>
      </c>
      <c r="Z37" s="231" t="s">
        <v>118</v>
      </c>
      <c r="AA37" s="235">
        <f>SUM($L$28)*SUM('S2_1946-1970'!$I$23:$I$24)</f>
        <v>7312459.0000000009</v>
      </c>
      <c r="AB37" s="230" t="s">
        <v>119</v>
      </c>
      <c r="AC37" s="233" t="s">
        <v>166</v>
      </c>
      <c r="AD37" s="231" t="s">
        <v>118</v>
      </c>
      <c r="AE37" s="235">
        <f>SUM($L$28)*SUM('S2_1946-1970'!$I$23:$I$24)</f>
        <v>7312459.0000000009</v>
      </c>
      <c r="AF37" s="230" t="s">
        <v>119</v>
      </c>
    </row>
    <row r="38" spans="1:32" x14ac:dyDescent="0.25">
      <c r="A38" s="114" t="s">
        <v>66</v>
      </c>
      <c r="B38" s="117">
        <f>SUM(B27:D27)</f>
        <v>136.62</v>
      </c>
      <c r="C38" s="93"/>
      <c r="D38" s="116"/>
      <c r="H38" s="178"/>
      <c r="Q38"/>
      <c r="R38" s="231"/>
      <c r="T38" s="230"/>
      <c r="U38"/>
      <c r="V38" s="231"/>
      <c r="X38" s="230"/>
      <c r="Y38"/>
      <c r="Z38" s="231"/>
      <c r="AB38" s="230"/>
      <c r="AC38"/>
      <c r="AD38" s="231"/>
      <c r="AF38" s="230"/>
    </row>
    <row r="39" spans="1:32" ht="15.75" thickBot="1" x14ac:dyDescent="0.3">
      <c r="A39" s="121" t="s">
        <v>67</v>
      </c>
      <c r="B39" s="122">
        <f>SUM(B13:D16)</f>
        <v>26.330000000000002</v>
      </c>
      <c r="C39" s="93" t="e">
        <f>SUM(#REF!)</f>
        <v>#REF!</v>
      </c>
      <c r="D39" s="116" t="e">
        <f>ABS((C39-B39)/C39*100)</f>
        <v>#REF!</v>
      </c>
      <c r="Q39" s="233" t="s">
        <v>167</v>
      </c>
      <c r="R39" s="231" t="s">
        <v>118</v>
      </c>
      <c r="S39" s="237">
        <v>0.05</v>
      </c>
      <c r="T39" s="230" t="s">
        <v>119</v>
      </c>
      <c r="U39" s="233" t="s">
        <v>167</v>
      </c>
      <c r="V39" s="231" t="s">
        <v>118</v>
      </c>
      <c r="W39" s="237">
        <v>0.05</v>
      </c>
      <c r="X39" s="230" t="s">
        <v>119</v>
      </c>
      <c r="Y39" s="233" t="s">
        <v>167</v>
      </c>
      <c r="Z39" s="231" t="s">
        <v>118</v>
      </c>
      <c r="AA39" s="237">
        <v>0.05</v>
      </c>
      <c r="AB39" s="230" t="s">
        <v>119</v>
      </c>
      <c r="AC39" s="233" t="s">
        <v>167</v>
      </c>
      <c r="AD39" s="231" t="s">
        <v>118</v>
      </c>
      <c r="AE39" s="237">
        <v>0.05</v>
      </c>
      <c r="AF39" s="230" t="s">
        <v>119</v>
      </c>
    </row>
    <row r="40" spans="1:32" ht="15.75" thickBot="1" x14ac:dyDescent="0.3">
      <c r="C40" s="93"/>
      <c r="D40" s="116"/>
      <c r="Q40" s="233" t="s">
        <v>168</v>
      </c>
      <c r="R40" s="231" t="s">
        <v>118</v>
      </c>
      <c r="S40" s="237">
        <v>0.1</v>
      </c>
      <c r="T40" s="230" t="s">
        <v>119</v>
      </c>
      <c r="U40" s="233" t="s">
        <v>168</v>
      </c>
      <c r="V40" s="231" t="s">
        <v>118</v>
      </c>
      <c r="W40" s="237">
        <v>0.1</v>
      </c>
      <c r="X40" s="230" t="s">
        <v>119</v>
      </c>
      <c r="Y40" s="233" t="s">
        <v>168</v>
      </c>
      <c r="Z40" s="231" t="s">
        <v>118</v>
      </c>
      <c r="AA40" s="237">
        <v>0.1</v>
      </c>
      <c r="AB40" s="230" t="s">
        <v>119</v>
      </c>
      <c r="AC40" s="233" t="s">
        <v>168</v>
      </c>
      <c r="AD40" s="231" t="s">
        <v>118</v>
      </c>
      <c r="AE40" s="237">
        <v>0.1</v>
      </c>
      <c r="AF40" s="230" t="s">
        <v>119</v>
      </c>
    </row>
    <row r="41" spans="1:32" x14ac:dyDescent="0.25">
      <c r="A41" s="111" t="s">
        <v>32</v>
      </c>
      <c r="B41" s="112">
        <f>B6</f>
        <v>199.375</v>
      </c>
      <c r="C41" s="93" t="e">
        <f>SUM(#REF!)</f>
        <v>#REF!</v>
      </c>
      <c r="D41" s="116" t="e">
        <f>ABS((C41-B41)/C41*100)</f>
        <v>#REF!</v>
      </c>
      <c r="Q41" s="233" t="s">
        <v>169</v>
      </c>
      <c r="R41" s="231" t="s">
        <v>118</v>
      </c>
      <c r="S41" s="237">
        <v>0.7</v>
      </c>
      <c r="T41" s="230" t="s">
        <v>119</v>
      </c>
      <c r="U41" s="233" t="s">
        <v>169</v>
      </c>
      <c r="V41" s="231" t="s">
        <v>118</v>
      </c>
      <c r="W41" s="237">
        <v>0.7</v>
      </c>
      <c r="X41" s="230" t="s">
        <v>119</v>
      </c>
      <c r="Y41" s="233" t="s">
        <v>169</v>
      </c>
      <c r="Z41" s="231" t="s">
        <v>118</v>
      </c>
      <c r="AA41" s="237">
        <v>0.7</v>
      </c>
      <c r="AB41" s="230" t="s">
        <v>119</v>
      </c>
      <c r="AC41" s="233" t="s">
        <v>169</v>
      </c>
      <c r="AD41" s="231" t="s">
        <v>118</v>
      </c>
      <c r="AE41" s="237">
        <v>0.7</v>
      </c>
      <c r="AF41" s="230" t="s">
        <v>119</v>
      </c>
    </row>
    <row r="42" spans="1:32" ht="15.75" thickBot="1" x14ac:dyDescent="0.3">
      <c r="A42" s="121" t="s">
        <v>33</v>
      </c>
      <c r="B42" s="122">
        <f>C6</f>
        <v>378.89775000000003</v>
      </c>
      <c r="C42" s="95" t="e">
        <f>SUM(#REF!)</f>
        <v>#REF!</v>
      </c>
      <c r="D42" s="123" t="e">
        <f>ABS((C42-B42)/C42*100)</f>
        <v>#REF!</v>
      </c>
      <c r="Q42" s="233" t="s">
        <v>170</v>
      </c>
      <c r="R42" s="231" t="s">
        <v>118</v>
      </c>
      <c r="S42" s="237">
        <v>0.05</v>
      </c>
      <c r="T42" s="230" t="s">
        <v>119</v>
      </c>
      <c r="U42" s="233" t="s">
        <v>170</v>
      </c>
      <c r="V42" s="231" t="s">
        <v>118</v>
      </c>
      <c r="W42" s="237">
        <v>0.05</v>
      </c>
      <c r="X42" s="230" t="s">
        <v>119</v>
      </c>
      <c r="Y42" s="233" t="s">
        <v>170</v>
      </c>
      <c r="Z42" s="231" t="s">
        <v>118</v>
      </c>
      <c r="AA42" s="237">
        <v>0.05</v>
      </c>
      <c r="AB42" s="230" t="s">
        <v>119</v>
      </c>
      <c r="AC42" s="233" t="s">
        <v>170</v>
      </c>
      <c r="AD42" s="231" t="s">
        <v>118</v>
      </c>
      <c r="AE42" s="237">
        <v>0.05</v>
      </c>
      <c r="AF42" s="230" t="s">
        <v>119</v>
      </c>
    </row>
    <row r="43" spans="1:32" x14ac:dyDescent="0.25">
      <c r="C43" s="59" t="s">
        <v>68</v>
      </c>
      <c r="D43" s="124"/>
      <c r="Q43"/>
      <c r="R43" s="231"/>
      <c r="T43" s="230"/>
      <c r="U43"/>
      <c r="V43" s="231"/>
      <c r="X43" s="230"/>
      <c r="Y43"/>
      <c r="Z43" s="231"/>
      <c r="AB43" s="230"/>
      <c r="AC43"/>
      <c r="AD43" s="231"/>
      <c r="AF43" s="230"/>
    </row>
    <row r="44" spans="1:32" x14ac:dyDescent="0.25">
      <c r="A44" s="125"/>
      <c r="B44" s="104"/>
      <c r="D44" s="104"/>
      <c r="E44" s="130"/>
      <c r="Q44" s="233" t="s">
        <v>171</v>
      </c>
      <c r="R44" s="231" t="s">
        <v>118</v>
      </c>
      <c r="S44" s="59">
        <f>SUM($L$20:$L$22)*(1/(1/6+SUM(S1_EPB2010!$H$7:$H$8)))</f>
        <v>102.92477477477475</v>
      </c>
      <c r="T44" s="230" t="s">
        <v>119</v>
      </c>
      <c r="U44" s="233" t="s">
        <v>171</v>
      </c>
      <c r="V44" s="231" t="s">
        <v>118</v>
      </c>
      <c r="W44" s="59">
        <f>SUM($L$20:$L$22)*(1/(1/6+SUM(S1_EPB2010!$H$7:$H$8)))</f>
        <v>102.92477477477475</v>
      </c>
      <c r="X44" s="230" t="s">
        <v>119</v>
      </c>
      <c r="Y44" s="233" t="s">
        <v>171</v>
      </c>
      <c r="Z44" s="231" t="s">
        <v>118</v>
      </c>
      <c r="AA44" s="59">
        <f>SUM($L$20:$L$22)*(1/(1/6+SUM('S2_1946-1970'!$H$6:$H$7)))</f>
        <v>170.28611111111107</v>
      </c>
      <c r="AB44" s="230" t="s">
        <v>119</v>
      </c>
      <c r="AC44" s="233" t="s">
        <v>171</v>
      </c>
      <c r="AD44" s="231" t="s">
        <v>118</v>
      </c>
      <c r="AE44" s="59">
        <f>SUM($L$20:$L$22)*(1/(1/6+SUM('S2_1946-1970'!$H$6:$H$7)))</f>
        <v>170.28611111111107</v>
      </c>
      <c r="AF44" s="230" t="s">
        <v>119</v>
      </c>
    </row>
    <row r="45" spans="1:32" x14ac:dyDescent="0.25">
      <c r="A45" s="127"/>
      <c r="B45" s="104"/>
      <c r="E45" s="104"/>
      <c r="G45" s="104"/>
      <c r="H45" s="104"/>
      <c r="I45" s="104"/>
      <c r="Q45" s="233" t="s">
        <v>172</v>
      </c>
      <c r="R45" s="231" t="s">
        <v>118</v>
      </c>
      <c r="S45" s="59">
        <f>$L$28*(1/(1/3+SUM(S1_EPB2010!$H$26:$H$27)))</f>
        <v>197.82446808510642</v>
      </c>
      <c r="T45" s="230" t="s">
        <v>119</v>
      </c>
      <c r="U45" s="233" t="s">
        <v>172</v>
      </c>
      <c r="V45" s="231" t="s">
        <v>118</v>
      </c>
      <c r="W45" s="59">
        <f>$L$28*(1/(1/3+SUM(S1_EPB2010!$H$26:$H$27)))</f>
        <v>197.82446808510642</v>
      </c>
      <c r="X45" s="230" t="s">
        <v>119</v>
      </c>
      <c r="Y45" s="233" t="s">
        <v>172</v>
      </c>
      <c r="Z45" s="231" t="s">
        <v>118</v>
      </c>
      <c r="AA45" s="59">
        <f>$L$28*(1/(1/3+SUM('S2_1946-1970'!$H$37:$H$38)))</f>
        <v>182.83603238866399</v>
      </c>
      <c r="AB45" s="230" t="s">
        <v>119</v>
      </c>
      <c r="AC45" s="233" t="s">
        <v>172</v>
      </c>
      <c r="AD45" s="231" t="s">
        <v>118</v>
      </c>
      <c r="AE45" s="59">
        <f>$L$28*(1/(1/3+SUM('S2_1946-1970'!$H$37:$H$38)))</f>
        <v>182.83603238866399</v>
      </c>
      <c r="AF45" s="230" t="s">
        <v>119</v>
      </c>
    </row>
    <row r="46" spans="1:32" x14ac:dyDescent="0.25">
      <c r="B46" s="104"/>
      <c r="E46" s="104"/>
      <c r="G46" s="104"/>
      <c r="H46" s="104"/>
      <c r="I46" s="104"/>
      <c r="Q46" s="233" t="s">
        <v>173</v>
      </c>
      <c r="R46" s="231" t="s">
        <v>118</v>
      </c>
      <c r="S46" s="59">
        <f>($L$18)*1/(1/6+SUM(S1_EPB2010!$H$33:$H$35)/2)+$L$30*1/(2*SUM(S1_EPB2010!$H$33:$H$35)/4+1/8)</f>
        <v>420.06899352884477</v>
      </c>
      <c r="T46" s="230" t="s">
        <v>119</v>
      </c>
      <c r="U46" s="233" t="s">
        <v>173</v>
      </c>
      <c r="V46" s="231" t="s">
        <v>118</v>
      </c>
      <c r="W46" s="59">
        <f>($L$18)*1/(1/6+SUM(S1_EPB2010!$H$33:$H$35)/2)+$L$30*1/(2*SUM(S1_EPB2010!$H$33:$H$35)/4+1/8)</f>
        <v>420.06899352884477</v>
      </c>
      <c r="X46" s="230" t="s">
        <v>119</v>
      </c>
      <c r="Y46" s="233" t="s">
        <v>173</v>
      </c>
      <c r="Z46" s="231" t="s">
        <v>118</v>
      </c>
      <c r="AA46" s="59">
        <f>($L$18)*1/(1/6+SUM('S2_1946-1970'!$H$29:$H$31)/2)+$L$30*1/(2*SUM('S2_1946-1970'!$H$29:$H$31)/4+1/8)</f>
        <v>388.19591620571964</v>
      </c>
      <c r="AB46" s="230" t="s">
        <v>119</v>
      </c>
      <c r="AC46" s="233" t="s">
        <v>173</v>
      </c>
      <c r="AD46" s="231" t="s">
        <v>118</v>
      </c>
      <c r="AE46" s="59">
        <f>($L$18)*1/(1/6+SUM('S2_1946-1970'!$H$29:$H$31)/2)+$L$30*1/(2*SUM('S2_1946-1970'!$H$29:$H$31)/4+1/8)</f>
        <v>388.19591620571964</v>
      </c>
      <c r="AF46" s="230" t="s">
        <v>119</v>
      </c>
    </row>
    <row r="47" spans="1:32" x14ac:dyDescent="0.25">
      <c r="A47" s="127"/>
      <c r="B47" s="104"/>
      <c r="Q47" s="233" t="s">
        <v>174</v>
      </c>
      <c r="R47" s="231" t="s">
        <v>118</v>
      </c>
      <c r="S47" s="59">
        <f>$L$19*2/20*1.204*1012/3600+SUM($L$27)*S1_EPB2010!$H$44+S1_EPB2010!$H$54*SUM($S$2:$S$5)</f>
        <v>41.321923936378781</v>
      </c>
      <c r="T47" s="230" t="s">
        <v>119</v>
      </c>
      <c r="U47" s="233" t="s">
        <v>174</v>
      </c>
      <c r="V47" s="231" t="s">
        <v>118</v>
      </c>
      <c r="W47" s="59">
        <f>$L$19*2/20*1.204*1012/3600+SUM($L$27)*S1_EPB2010!$H$44+S1_EPB2010!$H$54*SUM($S$2:$S$5)</f>
        <v>41.321923936378781</v>
      </c>
      <c r="X47" s="230" t="s">
        <v>119</v>
      </c>
      <c r="Y47" s="233" t="s">
        <v>174</v>
      </c>
      <c r="Z47" s="231" t="s">
        <v>118</v>
      </c>
      <c r="AA47" s="59">
        <f>$L$19*2/20*1.204*1012/3600+($L$27)*(1/(1/8+'S2_1946-1970'!H40))+'S2_1946-1970'!H50*SUM(SD!$S$2:$S$5)</f>
        <v>35.990799942729382</v>
      </c>
      <c r="AB47" s="230" t="s">
        <v>119</v>
      </c>
      <c r="AC47" s="233" t="s">
        <v>174</v>
      </c>
      <c r="AD47" s="231" t="s">
        <v>118</v>
      </c>
      <c r="AE47" s="59">
        <f>$L$19*2/20*1.204*1012/3600+($L$27)*(1/(1/8+'S2_1946-1970'!L40))+'S2_1946-1970'!L50*SUM(SD!$S$2:$S$5)</f>
        <v>22.917583667000002</v>
      </c>
      <c r="AF47" s="230" t="s">
        <v>119</v>
      </c>
    </row>
    <row r="48" spans="1:32" x14ac:dyDescent="0.25">
      <c r="Q48" s="233" t="s">
        <v>175</v>
      </c>
      <c r="R48" s="231" t="s">
        <v>118</v>
      </c>
      <c r="S48" s="230">
        <f>SUM($L$20:$L$22)*(1/(1/23+SUM(S1_EPB2010!$H$4:$H$6)))</f>
        <v>28.13148933906173</v>
      </c>
      <c r="T48" s="230" t="s">
        <v>119</v>
      </c>
      <c r="U48" s="233" t="s">
        <v>175</v>
      </c>
      <c r="V48" s="231" t="s">
        <v>118</v>
      </c>
      <c r="W48" s="230">
        <f>SUM($L$20:$L$22)*(1/(1/23+SUM(S1_EPB2010!$H$4:$H$6)))</f>
        <v>28.13148933906173</v>
      </c>
      <c r="X48" s="230" t="s">
        <v>119</v>
      </c>
      <c r="Y48" s="233" t="s">
        <v>175</v>
      </c>
      <c r="Z48" s="231" t="s">
        <v>118</v>
      </c>
      <c r="AA48" s="230">
        <f>SUM($L$20:$L$22)*(1/(1/23+SUM('S2_1946-1970'!$H$4:$H$5)))</f>
        <v>188.14638377368561</v>
      </c>
      <c r="AB48" s="230" t="s">
        <v>119</v>
      </c>
      <c r="AC48" s="233" t="s">
        <v>175</v>
      </c>
      <c r="AD48" s="231" t="s">
        <v>118</v>
      </c>
      <c r="AE48" s="230">
        <f>SUM($L$20:$L$22)*(1/(1/23+SUM('S2_1946-1970'!$H$4:$H$5)))</f>
        <v>188.14638377368561</v>
      </c>
      <c r="AF48" s="230" t="s">
        <v>119</v>
      </c>
    </row>
    <row r="49" spans="17:32" x14ac:dyDescent="0.25">
      <c r="Q49" s="233" t="s">
        <v>176</v>
      </c>
      <c r="R49" s="231" t="s">
        <v>118</v>
      </c>
      <c r="S49" s="59">
        <f>$L$28*1/(SUM(S1_EPB2010!$H$28:$H$29))/2</f>
        <v>20.116035634743877</v>
      </c>
      <c r="T49" s="230" t="s">
        <v>119</v>
      </c>
      <c r="U49" s="233" t="s">
        <v>176</v>
      </c>
      <c r="V49" s="231" t="s">
        <v>118</v>
      </c>
      <c r="W49" s="59">
        <f>$L$28*1/(SUM(S1_EPB2010!$H$28:$H$29))/2</f>
        <v>20.116035634743877</v>
      </c>
      <c r="X49" s="230" t="s">
        <v>119</v>
      </c>
      <c r="Y49" s="233" t="s">
        <v>176</v>
      </c>
      <c r="Z49" s="231" t="s">
        <v>118</v>
      </c>
      <c r="AA49" s="59">
        <f>$L$28*1/(SUM('S2_1946-1970'!$H$25))/2</f>
        <v>627.22916666666674</v>
      </c>
      <c r="AB49" s="230" t="s">
        <v>119</v>
      </c>
      <c r="AC49" s="233" t="s">
        <v>176</v>
      </c>
      <c r="AD49" s="231" t="s">
        <v>118</v>
      </c>
      <c r="AE49" s="59">
        <f>$L$28*1/(SUM('S2_1946-1970'!$H$25))/2</f>
        <v>627.22916666666674</v>
      </c>
      <c r="AF49" s="230" t="s">
        <v>119</v>
      </c>
    </row>
    <row r="50" spans="17:32" x14ac:dyDescent="0.25">
      <c r="Q50"/>
      <c r="R50" s="231"/>
      <c r="T50" s="230"/>
      <c r="U50"/>
      <c r="V50" s="231"/>
      <c r="X50" s="230"/>
      <c r="Y50"/>
      <c r="Z50" s="231"/>
      <c r="AB50" s="230"/>
      <c r="AC50"/>
      <c r="AD50" s="231"/>
      <c r="AF50" s="230"/>
    </row>
    <row r="51" spans="17:32" x14ac:dyDescent="0.25">
      <c r="Q51" s="178" t="s">
        <v>214</v>
      </c>
      <c r="R51" s="230" t="s">
        <v>118</v>
      </c>
      <c r="S51" s="59">
        <f>S8*S1_EPB2010!$C$55*0.33*0.8</f>
        <v>0</v>
      </c>
      <c r="T51" s="230" t="s">
        <v>119</v>
      </c>
      <c r="U51" s="178" t="s">
        <v>214</v>
      </c>
      <c r="V51" s="230" t="s">
        <v>118</v>
      </c>
      <c r="W51" s="59">
        <f>W8*S1_EPB2010!$C$55*0.33*0.8</f>
        <v>1.1480832000000001</v>
      </c>
      <c r="X51" s="230" t="s">
        <v>119</v>
      </c>
      <c r="Y51" s="178" t="s">
        <v>214</v>
      </c>
      <c r="Z51" s="230" t="s">
        <v>118</v>
      </c>
      <c r="AA51" s="59">
        <f>AA8*'S2_1946-1970'!$C$51*0.33*0.8</f>
        <v>0</v>
      </c>
      <c r="AB51" s="230" t="s">
        <v>119</v>
      </c>
      <c r="AC51" s="178" t="s">
        <v>214</v>
      </c>
      <c r="AD51" s="230" t="s">
        <v>118</v>
      </c>
      <c r="AE51" s="59">
        <f>AE8*'S2_1946-1970'!$C$51*0.33*0.8</f>
        <v>1.1480832000000001</v>
      </c>
      <c r="AF51" s="230" t="s">
        <v>119</v>
      </c>
    </row>
    <row r="52" spans="17:32" x14ac:dyDescent="0.25">
      <c r="Q52" s="178" t="s">
        <v>215</v>
      </c>
      <c r="R52" s="230" t="s">
        <v>118</v>
      </c>
      <c r="S52" s="59">
        <f>S2*S1_EPB2010!$C$55*0.33*0.8</f>
        <v>1.7360772000000002</v>
      </c>
      <c r="T52" s="230" t="s">
        <v>119</v>
      </c>
      <c r="U52" s="178" t="s">
        <v>215</v>
      </c>
      <c r="V52" s="230" t="s">
        <v>118</v>
      </c>
      <c r="W52" s="59">
        <f>W2*S1_EPB2010!$C$55*0.33*0.8</f>
        <v>1.7360772000000002</v>
      </c>
      <c r="X52" s="230" t="s">
        <v>119</v>
      </c>
      <c r="Y52" s="178" t="s">
        <v>215</v>
      </c>
      <c r="Z52" s="230" t="s">
        <v>118</v>
      </c>
      <c r="AA52" s="59">
        <f>AA2*'S2_1946-1970'!$C$51*0.33*0.8</f>
        <v>1.7360772000000002</v>
      </c>
      <c r="AB52" s="230" t="s">
        <v>119</v>
      </c>
      <c r="AC52" s="178" t="s">
        <v>215</v>
      </c>
      <c r="AD52" s="230" t="s">
        <v>118</v>
      </c>
      <c r="AE52" s="59">
        <f>AE2*'S2_1946-1970'!$C$51*0.33*0.8</f>
        <v>1.7360772000000002</v>
      </c>
      <c r="AF52" s="230" t="s">
        <v>119</v>
      </c>
    </row>
    <row r="53" spans="17:32" x14ac:dyDescent="0.25">
      <c r="Q53" s="178" t="s">
        <v>216</v>
      </c>
      <c r="R53" s="230" t="s">
        <v>118</v>
      </c>
      <c r="S53" s="59">
        <f>S4*S1_EPB2010!$C$55*0.33*0.8</f>
        <v>0.57005520000000021</v>
      </c>
      <c r="T53" s="230" t="s">
        <v>119</v>
      </c>
      <c r="U53" s="178" t="s">
        <v>216</v>
      </c>
      <c r="V53" s="230" t="s">
        <v>118</v>
      </c>
      <c r="W53" s="59">
        <f>W4*S1_EPB2010!$C$55*0.33*0.8</f>
        <v>0.57005520000000021</v>
      </c>
      <c r="X53" s="230" t="s">
        <v>119</v>
      </c>
      <c r="Y53" s="178" t="s">
        <v>216</v>
      </c>
      <c r="Z53" s="230" t="s">
        <v>118</v>
      </c>
      <c r="AA53" s="59">
        <f>AA4*'S2_1946-1970'!$C$51*0.33*0.8</f>
        <v>0.57005520000000021</v>
      </c>
      <c r="AB53" s="230" t="s">
        <v>119</v>
      </c>
      <c r="AC53" s="178" t="s">
        <v>216</v>
      </c>
      <c r="AD53" s="230" t="s">
        <v>118</v>
      </c>
      <c r="AE53" s="59">
        <f>AE4*'S2_1946-1970'!$C$51*0.33*0.8</f>
        <v>0.57005520000000021</v>
      </c>
      <c r="AF53" s="230" t="s">
        <v>119</v>
      </c>
    </row>
    <row r="54" spans="17:32" x14ac:dyDescent="0.25">
      <c r="Q54" s="178" t="s">
        <v>217</v>
      </c>
      <c r="R54" s="230" t="s">
        <v>118</v>
      </c>
      <c r="S54" s="59">
        <f>S5*S1_EPB2010!$C$55*0.33*0.8</f>
        <v>1.315512</v>
      </c>
      <c r="T54" s="230" t="s">
        <v>119</v>
      </c>
      <c r="U54" s="178" t="s">
        <v>217</v>
      </c>
      <c r="V54" s="230" t="s">
        <v>118</v>
      </c>
      <c r="W54" s="59">
        <f>W5*S1_EPB2010!$C$55*0.33*0.8</f>
        <v>0</v>
      </c>
      <c r="X54" s="230" t="s">
        <v>119</v>
      </c>
      <c r="Y54" s="178" t="s">
        <v>217</v>
      </c>
      <c r="Z54" s="230" t="s">
        <v>118</v>
      </c>
      <c r="AA54" s="59">
        <f>AA5*'S2_1946-1970'!$C$51*0.33*0.8</f>
        <v>1.315512</v>
      </c>
      <c r="AB54" s="230" t="s">
        <v>119</v>
      </c>
      <c r="AC54" s="178" t="s">
        <v>217</v>
      </c>
      <c r="AD54" s="230" t="s">
        <v>118</v>
      </c>
      <c r="AE54" s="59">
        <f>AE5*'S2_1946-1970'!$C$51*0.33*0.8</f>
        <v>0</v>
      </c>
      <c r="AF54" s="230" t="s">
        <v>119</v>
      </c>
    </row>
    <row r="55" spans="17:32" x14ac:dyDescent="0.25">
      <c r="Q55" s="178" t="s">
        <v>218</v>
      </c>
      <c r="R55" s="230" t="s">
        <v>118</v>
      </c>
      <c r="S55" s="59">
        <f>S51</f>
        <v>0</v>
      </c>
      <c r="T55" s="230" t="s">
        <v>119</v>
      </c>
      <c r="U55" s="178" t="s">
        <v>218</v>
      </c>
      <c r="V55" s="230" t="s">
        <v>118</v>
      </c>
      <c r="W55" s="59">
        <f>W51</f>
        <v>1.1480832000000001</v>
      </c>
      <c r="X55" s="230" t="s">
        <v>119</v>
      </c>
      <c r="Y55" s="178" t="s">
        <v>218</v>
      </c>
      <c r="Z55" s="230" t="s">
        <v>118</v>
      </c>
      <c r="AA55" s="59">
        <f>AA51</f>
        <v>0</v>
      </c>
      <c r="AB55" s="230" t="s">
        <v>119</v>
      </c>
      <c r="AC55" s="178" t="s">
        <v>218</v>
      </c>
      <c r="AD55" s="230" t="s">
        <v>118</v>
      </c>
      <c r="AE55" s="59">
        <f>AE51</f>
        <v>1.1480832000000001</v>
      </c>
      <c r="AF55" s="230" t="s">
        <v>119</v>
      </c>
    </row>
    <row r="56" spans="17:32" x14ac:dyDescent="0.25">
      <c r="Q56" s="178" t="s">
        <v>219</v>
      </c>
      <c r="R56" s="230" t="s">
        <v>118</v>
      </c>
      <c r="S56" s="59">
        <f t="shared" ref="S56:S58" si="14">S52</f>
        <v>1.7360772000000002</v>
      </c>
      <c r="T56" s="230" t="s">
        <v>119</v>
      </c>
      <c r="U56" s="178" t="s">
        <v>219</v>
      </c>
      <c r="V56" s="230" t="s">
        <v>118</v>
      </c>
      <c r="W56" s="59">
        <f t="shared" ref="W56:W58" si="15">W52</f>
        <v>1.7360772000000002</v>
      </c>
      <c r="X56" s="230" t="s">
        <v>119</v>
      </c>
      <c r="Y56" s="178" t="s">
        <v>219</v>
      </c>
      <c r="Z56" s="230" t="s">
        <v>118</v>
      </c>
      <c r="AA56" s="59">
        <f t="shared" ref="AA56:AA58" si="16">AA52</f>
        <v>1.7360772000000002</v>
      </c>
      <c r="AB56" s="230" t="s">
        <v>119</v>
      </c>
      <c r="AC56" s="178" t="s">
        <v>219</v>
      </c>
      <c r="AD56" s="230" t="s">
        <v>118</v>
      </c>
      <c r="AE56" s="59">
        <f t="shared" ref="AE56:AE58" si="17">AE52</f>
        <v>1.7360772000000002</v>
      </c>
      <c r="AF56" s="230" t="s">
        <v>119</v>
      </c>
    </row>
    <row r="57" spans="17:32" x14ac:dyDescent="0.25">
      <c r="Q57" s="178" t="s">
        <v>220</v>
      </c>
      <c r="R57" s="230" t="s">
        <v>118</v>
      </c>
      <c r="S57" s="59">
        <f t="shared" si="14"/>
        <v>0.57005520000000021</v>
      </c>
      <c r="T57" s="230" t="s">
        <v>119</v>
      </c>
      <c r="U57" s="178" t="s">
        <v>220</v>
      </c>
      <c r="V57" s="230" t="s">
        <v>118</v>
      </c>
      <c r="W57" s="59">
        <f t="shared" si="15"/>
        <v>0.57005520000000021</v>
      </c>
      <c r="X57" s="230" t="s">
        <v>119</v>
      </c>
      <c r="Y57" s="178" t="s">
        <v>220</v>
      </c>
      <c r="Z57" s="230" t="s">
        <v>118</v>
      </c>
      <c r="AA57" s="59">
        <f t="shared" si="16"/>
        <v>0.57005520000000021</v>
      </c>
      <c r="AB57" s="230" t="s">
        <v>119</v>
      </c>
      <c r="AC57" s="178" t="s">
        <v>220</v>
      </c>
      <c r="AD57" s="230" t="s">
        <v>118</v>
      </c>
      <c r="AE57" s="59">
        <f t="shared" si="17"/>
        <v>0.57005520000000021</v>
      </c>
      <c r="AF57" s="230" t="s">
        <v>119</v>
      </c>
    </row>
    <row r="58" spans="17:32" x14ac:dyDescent="0.25">
      <c r="Q58" s="178" t="s">
        <v>221</v>
      </c>
      <c r="R58" s="230" t="s">
        <v>118</v>
      </c>
      <c r="S58" s="59">
        <f t="shared" si="14"/>
        <v>1.315512</v>
      </c>
      <c r="T58" s="230" t="s">
        <v>119</v>
      </c>
      <c r="U58" s="178" t="s">
        <v>221</v>
      </c>
      <c r="V58" s="230" t="s">
        <v>118</v>
      </c>
      <c r="W58" s="59">
        <f t="shared" si="15"/>
        <v>0</v>
      </c>
      <c r="X58" s="230" t="s">
        <v>119</v>
      </c>
      <c r="Y58" s="178" t="s">
        <v>221</v>
      </c>
      <c r="Z58" s="230" t="s">
        <v>118</v>
      </c>
      <c r="AA58" s="59">
        <f t="shared" si="16"/>
        <v>1.315512</v>
      </c>
      <c r="AB58" s="230" t="s">
        <v>119</v>
      </c>
      <c r="AC58" s="178" t="s">
        <v>221</v>
      </c>
      <c r="AD58" s="230" t="s">
        <v>118</v>
      </c>
      <c r="AE58" s="59">
        <f t="shared" si="17"/>
        <v>0</v>
      </c>
      <c r="AF58" s="230" t="s">
        <v>119</v>
      </c>
    </row>
    <row r="59" spans="17:32" x14ac:dyDescent="0.25">
      <c r="Q59" s="178" t="s">
        <v>222</v>
      </c>
      <c r="R59" s="230" t="s">
        <v>118</v>
      </c>
      <c r="S59" s="59">
        <v>0</v>
      </c>
      <c r="T59" s="230" t="s">
        <v>119</v>
      </c>
      <c r="U59" s="178" t="s">
        <v>222</v>
      </c>
      <c r="V59" s="230" t="s">
        <v>118</v>
      </c>
      <c r="W59" s="59">
        <v>0</v>
      </c>
      <c r="X59" s="230" t="s">
        <v>119</v>
      </c>
      <c r="Y59" s="178" t="s">
        <v>222</v>
      </c>
      <c r="Z59" s="230" t="s">
        <v>118</v>
      </c>
      <c r="AA59" s="59">
        <v>0</v>
      </c>
      <c r="AB59" s="230" t="s">
        <v>119</v>
      </c>
      <c r="AC59" s="178" t="s">
        <v>222</v>
      </c>
      <c r="AD59" s="230" t="s">
        <v>118</v>
      </c>
      <c r="AE59" s="59">
        <v>0</v>
      </c>
      <c r="AF59" s="230" t="s">
        <v>119</v>
      </c>
    </row>
    <row r="60" spans="17:32" x14ac:dyDescent="0.25">
      <c r="Q60" s="178" t="s">
        <v>223</v>
      </c>
      <c r="R60" s="230" t="s">
        <v>118</v>
      </c>
      <c r="S60" s="59">
        <v>0</v>
      </c>
      <c r="T60" s="230" t="s">
        <v>119</v>
      </c>
      <c r="U60" s="178" t="s">
        <v>223</v>
      </c>
      <c r="V60" s="230" t="s">
        <v>118</v>
      </c>
      <c r="W60" s="59">
        <v>0</v>
      </c>
      <c r="X60" s="230" t="s">
        <v>119</v>
      </c>
      <c r="Y60" s="178" t="s">
        <v>223</v>
      </c>
      <c r="Z60" s="230" t="s">
        <v>118</v>
      </c>
      <c r="AA60" s="59">
        <v>0</v>
      </c>
      <c r="AB60" s="230" t="s">
        <v>119</v>
      </c>
      <c r="AC60" s="178" t="s">
        <v>223</v>
      </c>
      <c r="AD60" s="230" t="s">
        <v>118</v>
      </c>
      <c r="AE60" s="59">
        <v>0</v>
      </c>
      <c r="AF60" s="230" t="s">
        <v>119</v>
      </c>
    </row>
    <row r="61" spans="17:32" x14ac:dyDescent="0.25">
      <c r="Q61" s="178" t="s">
        <v>224</v>
      </c>
      <c r="R61" s="230" t="s">
        <v>118</v>
      </c>
      <c r="S61" s="59">
        <v>0</v>
      </c>
      <c r="T61" s="230" t="s">
        <v>119</v>
      </c>
      <c r="U61" s="178" t="s">
        <v>224</v>
      </c>
      <c r="V61" s="230" t="s">
        <v>118</v>
      </c>
      <c r="W61" s="59">
        <v>0</v>
      </c>
      <c r="X61" s="230" t="s">
        <v>119</v>
      </c>
      <c r="Y61" s="178" t="s">
        <v>224</v>
      </c>
      <c r="Z61" s="230" t="s">
        <v>118</v>
      </c>
      <c r="AA61" s="59">
        <v>0</v>
      </c>
      <c r="AB61" s="230" t="s">
        <v>119</v>
      </c>
      <c r="AC61" s="178" t="s">
        <v>224</v>
      </c>
      <c r="AD61" s="230" t="s">
        <v>118</v>
      </c>
      <c r="AE61" s="59">
        <v>0</v>
      </c>
      <c r="AF61" s="230" t="s">
        <v>119</v>
      </c>
    </row>
    <row r="62" spans="17:32" x14ac:dyDescent="0.25">
      <c r="Q62" s="178" t="s">
        <v>225</v>
      </c>
      <c r="R62" s="230" t="s">
        <v>118</v>
      </c>
      <c r="S62" s="59">
        <v>0</v>
      </c>
      <c r="T62" s="230" t="s">
        <v>119</v>
      </c>
      <c r="U62" s="178" t="s">
        <v>225</v>
      </c>
      <c r="V62" s="230" t="s">
        <v>118</v>
      </c>
      <c r="W62" s="59">
        <v>0</v>
      </c>
      <c r="X62" s="230" t="s">
        <v>119</v>
      </c>
      <c r="Y62" s="178" t="s">
        <v>225</v>
      </c>
      <c r="Z62" s="230" t="s">
        <v>118</v>
      </c>
      <c r="AA62" s="59">
        <v>0</v>
      </c>
      <c r="AB62" s="230" t="s">
        <v>119</v>
      </c>
      <c r="AC62" s="178" t="s">
        <v>225</v>
      </c>
      <c r="AD62" s="230" t="s">
        <v>118</v>
      </c>
      <c r="AE62" s="59">
        <v>0</v>
      </c>
      <c r="AF62" s="230" t="s">
        <v>119</v>
      </c>
    </row>
    <row r="63" spans="17:32" x14ac:dyDescent="0.25">
      <c r="Q63" s="178" t="s">
        <v>226</v>
      </c>
      <c r="R63" s="230" t="s">
        <v>118</v>
      </c>
      <c r="S63" s="59">
        <f>S55</f>
        <v>0</v>
      </c>
      <c r="T63" s="230" t="s">
        <v>119</v>
      </c>
      <c r="U63" s="178" t="s">
        <v>226</v>
      </c>
      <c r="V63" s="230" t="s">
        <v>118</v>
      </c>
      <c r="W63" s="59">
        <f>W55</f>
        <v>1.1480832000000001</v>
      </c>
      <c r="X63" s="230" t="s">
        <v>119</v>
      </c>
      <c r="Y63" s="178" t="s">
        <v>226</v>
      </c>
      <c r="Z63" s="230" t="s">
        <v>118</v>
      </c>
      <c r="AA63" s="59">
        <f>AA55</f>
        <v>0</v>
      </c>
      <c r="AB63" s="230" t="s">
        <v>119</v>
      </c>
      <c r="AC63" s="178" t="s">
        <v>226</v>
      </c>
      <c r="AD63" s="230" t="s">
        <v>118</v>
      </c>
      <c r="AE63" s="59">
        <f>AE55</f>
        <v>1.1480832000000001</v>
      </c>
      <c r="AF63" s="230" t="s">
        <v>119</v>
      </c>
    </row>
    <row r="64" spans="17:32" x14ac:dyDescent="0.25">
      <c r="Q64" s="178" t="s">
        <v>227</v>
      </c>
      <c r="R64" s="230" t="s">
        <v>118</v>
      </c>
      <c r="S64" s="59">
        <f>S56</f>
        <v>1.7360772000000002</v>
      </c>
      <c r="T64" s="230" t="s">
        <v>119</v>
      </c>
      <c r="U64" s="178" t="s">
        <v>227</v>
      </c>
      <c r="V64" s="230" t="s">
        <v>118</v>
      </c>
      <c r="W64" s="59">
        <f>W56</f>
        <v>1.7360772000000002</v>
      </c>
      <c r="X64" s="230" t="s">
        <v>119</v>
      </c>
      <c r="Y64" s="178" t="s">
        <v>227</v>
      </c>
      <c r="Z64" s="230" t="s">
        <v>118</v>
      </c>
      <c r="AA64" s="59">
        <f>AA56</f>
        <v>1.7360772000000002</v>
      </c>
      <c r="AB64" s="230" t="s">
        <v>119</v>
      </c>
      <c r="AC64" s="178" t="s">
        <v>227</v>
      </c>
      <c r="AD64" s="230" t="s">
        <v>118</v>
      </c>
      <c r="AE64" s="59">
        <f>AE56</f>
        <v>1.7360772000000002</v>
      </c>
      <c r="AF64" s="230" t="s">
        <v>119</v>
      </c>
    </row>
    <row r="65" spans="17:32" x14ac:dyDescent="0.25">
      <c r="Q65" s="178" t="s">
        <v>228</v>
      </c>
      <c r="R65" s="230" t="s">
        <v>118</v>
      </c>
      <c r="S65" s="59">
        <f>S57</f>
        <v>0.57005520000000021</v>
      </c>
      <c r="T65" s="230" t="s">
        <v>119</v>
      </c>
      <c r="U65" s="178" t="s">
        <v>228</v>
      </c>
      <c r="V65" s="230" t="s">
        <v>118</v>
      </c>
      <c r="W65" s="59">
        <f>W57</f>
        <v>0.57005520000000021</v>
      </c>
      <c r="X65" s="230" t="s">
        <v>119</v>
      </c>
      <c r="Y65" s="178" t="s">
        <v>228</v>
      </c>
      <c r="Z65" s="230" t="s">
        <v>118</v>
      </c>
      <c r="AA65" s="59">
        <f>AA57</f>
        <v>0.57005520000000021</v>
      </c>
      <c r="AB65" s="230" t="s">
        <v>119</v>
      </c>
      <c r="AC65" s="178" t="s">
        <v>228</v>
      </c>
      <c r="AD65" s="230" t="s">
        <v>118</v>
      </c>
      <c r="AE65" s="59">
        <f>AE57</f>
        <v>0.57005520000000021</v>
      </c>
      <c r="AF65" s="230" t="s">
        <v>119</v>
      </c>
    </row>
    <row r="66" spans="17:32" x14ac:dyDescent="0.25">
      <c r="Q66" s="178" t="s">
        <v>229</v>
      </c>
      <c r="R66" s="230" t="s">
        <v>118</v>
      </c>
      <c r="S66" s="59">
        <f>S58</f>
        <v>1.315512</v>
      </c>
      <c r="T66" s="230" t="s">
        <v>119</v>
      </c>
      <c r="U66" s="178" t="s">
        <v>229</v>
      </c>
      <c r="V66" s="230" t="s">
        <v>118</v>
      </c>
      <c r="W66" s="59">
        <f>W58</f>
        <v>0</v>
      </c>
      <c r="X66" s="230" t="s">
        <v>119</v>
      </c>
      <c r="Y66" s="178" t="s">
        <v>229</v>
      </c>
      <c r="Z66" s="230" t="s">
        <v>118</v>
      </c>
      <c r="AA66" s="59">
        <f>AA58</f>
        <v>1.315512</v>
      </c>
      <c r="AB66" s="230" t="s">
        <v>119</v>
      </c>
      <c r="AC66" s="178" t="s">
        <v>229</v>
      </c>
      <c r="AD66" s="230" t="s">
        <v>118</v>
      </c>
      <c r="AE66" s="59">
        <f>AE58</f>
        <v>0</v>
      </c>
      <c r="AF66" s="230" t="s">
        <v>119</v>
      </c>
    </row>
    <row r="67" spans="17:32" x14ac:dyDescent="0.25">
      <c r="Q67"/>
      <c r="R67" s="231"/>
      <c r="T67" s="230"/>
      <c r="U67"/>
      <c r="V67" s="231"/>
      <c r="X67" s="230"/>
      <c r="Y67"/>
      <c r="Z67" s="231"/>
      <c r="AB67" s="230"/>
      <c r="AC67"/>
      <c r="AD67" s="231"/>
      <c r="AF67" s="230"/>
    </row>
    <row r="68" spans="17:32" x14ac:dyDescent="0.25">
      <c r="Q68" s="233" t="s">
        <v>177</v>
      </c>
      <c r="R68" s="231" t="s">
        <v>118</v>
      </c>
      <c r="S68" s="236">
        <f>($L$7+$L$2)*1.204*1012*5</f>
        <v>1034370.9684000002</v>
      </c>
      <c r="T68" s="230" t="s">
        <v>119</v>
      </c>
      <c r="U68" s="233" t="s">
        <v>177</v>
      </c>
      <c r="V68" s="231" t="s">
        <v>118</v>
      </c>
      <c r="W68" s="236">
        <f>($L$7+$L$2)*1.204*1012*5</f>
        <v>1034370.9684000002</v>
      </c>
      <c r="X68" s="230" t="s">
        <v>119</v>
      </c>
      <c r="Y68" s="233" t="s">
        <v>177</v>
      </c>
      <c r="Z68" s="231" t="s">
        <v>118</v>
      </c>
      <c r="AA68" s="236">
        <f>($L$7+$L$2)*1.204*1012*5</f>
        <v>1034370.9684000002</v>
      </c>
      <c r="AB68" s="230" t="s">
        <v>119</v>
      </c>
      <c r="AC68" s="233" t="s">
        <v>177</v>
      </c>
      <c r="AD68" s="231" t="s">
        <v>118</v>
      </c>
      <c r="AE68" s="236">
        <f>($L$7+$L$2)*1.204*1012*5</f>
        <v>1034370.9684000002</v>
      </c>
      <c r="AF68" s="230" t="s">
        <v>119</v>
      </c>
    </row>
    <row r="69" spans="17:32" x14ac:dyDescent="0.25">
      <c r="Q69" s="233" t="s">
        <v>178</v>
      </c>
      <c r="R69" s="231" t="s">
        <v>118</v>
      </c>
      <c r="S69" s="236">
        <f>SUM($L$10:$L$12,$L$5)*SUM(S1_EPB2010!$I$7:$I$8)+SUM($L$8:$L$9,$L$3:$L$4)*SUM(S1_EPB2010!$I$15:$I$16)</f>
        <v>9153645.8223026451</v>
      </c>
      <c r="T69" s="230" t="s">
        <v>119</v>
      </c>
      <c r="U69" s="233" t="s">
        <v>178</v>
      </c>
      <c r="V69" s="231" t="s">
        <v>118</v>
      </c>
      <c r="W69" s="236">
        <f>SUM($L$10:$L$12,$L$5)*SUM(S1_EPB2010!$I$7:$I$8)+SUM($L$8:$L$9,$L$3:$L$4)*SUM(S1_EPB2010!$I$15:$I$16)</f>
        <v>9153645.8223026451</v>
      </c>
      <c r="X69" s="230" t="s">
        <v>119</v>
      </c>
      <c r="Y69" s="233" t="s">
        <v>178</v>
      </c>
      <c r="Z69" s="231" t="s">
        <v>118</v>
      </c>
      <c r="AA69" s="236">
        <f>SUM($L$10:$L$12,$L$5)*SUM('S2_1946-1970'!$I$6:$I$7)+SUM($L$8:$L$9,$L$3:$L$4)*SUM('S2_1946-1970'!$I$12:$I$13)</f>
        <v>12443498.419895234</v>
      </c>
      <c r="AB69" s="230" t="s">
        <v>119</v>
      </c>
      <c r="AC69" s="233" t="s">
        <v>178</v>
      </c>
      <c r="AD69" s="231" t="s">
        <v>118</v>
      </c>
      <c r="AE69" s="236">
        <f>SUM($L$10:$L$12,$L$5)*SUM('S2_1946-1970'!$I$6:$I$7)+SUM($L$8:$L$9,$L$3:$L$4)*SUM('S2_1946-1970'!$I$12:$I$13)</f>
        <v>12443498.419895234</v>
      </c>
      <c r="AF69" s="230" t="s">
        <v>119</v>
      </c>
    </row>
    <row r="70" spans="17:32" x14ac:dyDescent="0.25">
      <c r="Q70" s="233" t="s">
        <v>179</v>
      </c>
      <c r="R70" s="231" t="s">
        <v>118</v>
      </c>
      <c r="S70" s="236">
        <f>($L$13+$L$6+$L$17)*SUM(S1_EPB2010!$I$33:$I$35)+SUM($L$18)*SUM(S1_EPB2010!$I$39:$I$42)</f>
        <v>41758939.799999997</v>
      </c>
      <c r="T70" s="230" t="s">
        <v>119</v>
      </c>
      <c r="U70" s="233" t="s">
        <v>179</v>
      </c>
      <c r="V70" s="231" t="s">
        <v>118</v>
      </c>
      <c r="W70" s="236">
        <f>($L$13+$L$6+$L$17)*SUM(S1_EPB2010!$I$33:$I$35)+SUM($L$18)*SUM(S1_EPB2010!$I$39:$I$42)</f>
        <v>41758939.799999997</v>
      </c>
      <c r="X70" s="230" t="s">
        <v>119</v>
      </c>
      <c r="Y70" s="233" t="s">
        <v>179</v>
      </c>
      <c r="Z70" s="231" t="s">
        <v>118</v>
      </c>
      <c r="AA70" s="236">
        <f>SUM($L$13+$L$6+$L$17)*SUM('S2_1946-1970'!$I$29:$I$31)+($L$18)*SUM('S2_1946-1970'!$I$35:$I$38)</f>
        <v>47908418.399999999</v>
      </c>
      <c r="AB70" s="230" t="s">
        <v>119</v>
      </c>
      <c r="AC70" s="233" t="s">
        <v>179</v>
      </c>
      <c r="AD70" s="231" t="s">
        <v>118</v>
      </c>
      <c r="AE70" s="236">
        <f>SUM($L$13+$L$6+$L$17)*SUM('S2_1946-1970'!$I$29:$I$31)+($L$18)*SUM('S2_1946-1970'!$I$35:$I$38)</f>
        <v>47908418.399999999</v>
      </c>
      <c r="AF70" s="230" t="s">
        <v>119</v>
      </c>
    </row>
    <row r="71" spans="17:32" x14ac:dyDescent="0.25">
      <c r="Q71" s="233" t="s">
        <v>180</v>
      </c>
      <c r="R71" s="231" t="s">
        <v>118</v>
      </c>
      <c r="S71" s="59">
        <v>0.1</v>
      </c>
      <c r="T71" s="230" t="s">
        <v>119</v>
      </c>
      <c r="U71" s="233" t="s">
        <v>180</v>
      </c>
      <c r="V71" s="231" t="s">
        <v>118</v>
      </c>
      <c r="W71" s="59">
        <v>0.1</v>
      </c>
      <c r="X71" s="230" t="s">
        <v>119</v>
      </c>
      <c r="Y71" s="233" t="s">
        <v>180</v>
      </c>
      <c r="Z71" s="231" t="s">
        <v>118</v>
      </c>
      <c r="AA71" s="59">
        <v>0.1</v>
      </c>
      <c r="AB71" s="230" t="s">
        <v>119</v>
      </c>
      <c r="AC71" s="233" t="s">
        <v>180</v>
      </c>
      <c r="AD71" s="231" t="s">
        <v>118</v>
      </c>
      <c r="AE71" s="59">
        <v>0.1</v>
      </c>
      <c r="AF71" s="230" t="s">
        <v>119</v>
      </c>
    </row>
    <row r="72" spans="17:32" x14ac:dyDescent="0.25">
      <c r="Q72" s="233" t="s">
        <v>181</v>
      </c>
      <c r="R72" s="231" t="s">
        <v>118</v>
      </c>
      <c r="S72" s="59">
        <v>0.1</v>
      </c>
      <c r="T72" s="230" t="s">
        <v>119</v>
      </c>
      <c r="U72" s="233" t="s">
        <v>181</v>
      </c>
      <c r="V72" s="231" t="s">
        <v>118</v>
      </c>
      <c r="W72" s="59">
        <v>0.1</v>
      </c>
      <c r="X72" s="230" t="s">
        <v>119</v>
      </c>
      <c r="Y72" s="233" t="s">
        <v>181</v>
      </c>
      <c r="Z72" s="231" t="s">
        <v>118</v>
      </c>
      <c r="AA72" s="59">
        <v>0.1</v>
      </c>
      <c r="AB72" s="230" t="s">
        <v>119</v>
      </c>
      <c r="AC72" s="233" t="s">
        <v>181</v>
      </c>
      <c r="AD72" s="231" t="s">
        <v>118</v>
      </c>
      <c r="AE72" s="59">
        <v>0.1</v>
      </c>
      <c r="AF72" s="230" t="s">
        <v>119</v>
      </c>
    </row>
    <row r="73" spans="17:32" x14ac:dyDescent="0.25">
      <c r="Q73" s="233" t="s">
        <v>182</v>
      </c>
      <c r="R73" s="231" t="s">
        <v>118</v>
      </c>
      <c r="S73" s="59">
        <v>0.7</v>
      </c>
      <c r="T73" s="230" t="s">
        <v>119</v>
      </c>
      <c r="U73" s="233" t="s">
        <v>182</v>
      </c>
      <c r="V73" s="231" t="s">
        <v>118</v>
      </c>
      <c r="W73" s="59">
        <v>0.7</v>
      </c>
      <c r="X73" s="230" t="s">
        <v>119</v>
      </c>
      <c r="Y73" s="233" t="s">
        <v>182</v>
      </c>
      <c r="Z73" s="231" t="s">
        <v>118</v>
      </c>
      <c r="AA73" s="59">
        <v>0.7</v>
      </c>
      <c r="AB73" s="230" t="s">
        <v>119</v>
      </c>
      <c r="AC73" s="233" t="s">
        <v>182</v>
      </c>
      <c r="AD73" s="231" t="s">
        <v>118</v>
      </c>
      <c r="AE73" s="59">
        <v>0.7</v>
      </c>
      <c r="AF73" s="230" t="s">
        <v>119</v>
      </c>
    </row>
    <row r="74" spans="17:32" x14ac:dyDescent="0.25">
      <c r="Q74"/>
      <c r="R74" s="231"/>
      <c r="T74" s="230"/>
      <c r="U74"/>
      <c r="V74" s="231"/>
      <c r="X74" s="230"/>
      <c r="Y74"/>
      <c r="Z74" s="231"/>
      <c r="AB74" s="230"/>
      <c r="AC74"/>
      <c r="AD74" s="231"/>
      <c r="AF74" s="230"/>
    </row>
    <row r="75" spans="17:32" x14ac:dyDescent="0.25">
      <c r="Q75" s="233" t="s">
        <v>183</v>
      </c>
      <c r="R75" s="231" t="s">
        <v>118</v>
      </c>
      <c r="S75" s="59">
        <f>SUM($L$10:$L$12,$L$5)*1/(1/6+SUM(S1_EPB2010!$H$7:$H$8))+SUM($L$8:$L$9,$L$3:$L$4)*1/(1/10+SUM(S1_EPB2010!$H$15:$H$16))</f>
        <v>410.401523219978</v>
      </c>
      <c r="T75" s="230" t="s">
        <v>119</v>
      </c>
      <c r="U75" s="233" t="s">
        <v>183</v>
      </c>
      <c r="V75" s="231" t="s">
        <v>118</v>
      </c>
      <c r="W75" s="59">
        <f>SUM($L$10:$L$12,$L$5)*1/(1/6+SUM(S1_EPB2010!$H$7:$H$8))+SUM($L$8:$L$9,$L$3:$L$4)*1/(1/10+SUM(S1_EPB2010!$H$15:$H$16))</f>
        <v>410.401523219978</v>
      </c>
      <c r="X75" s="230" t="s">
        <v>119</v>
      </c>
      <c r="Y75" s="233" t="s">
        <v>183</v>
      </c>
      <c r="Z75" s="231" t="s">
        <v>118</v>
      </c>
      <c r="AA75" s="59">
        <f>SUM($L$10:$L$12,$L$5)*1/(1/6+SUM('S2_1946-1970'!$I$6:$I$7))+SUM($L$8:$L$9,$L$3:$L$4)*1/(1/10+SUM('S2_1946-1970'!$H$11:$H$13))</f>
        <v>332.21009619471448</v>
      </c>
      <c r="AB75" s="230" t="s">
        <v>119</v>
      </c>
      <c r="AC75" s="233" t="s">
        <v>183</v>
      </c>
      <c r="AD75" s="231" t="s">
        <v>118</v>
      </c>
      <c r="AE75" s="59">
        <f>SUM($L$10:$L$12,$L$5)*1/(1/6+SUM('S2_1946-1970'!$I$6:$I$7))+SUM($L$8:$L$9,$L$3:$L$4)*1/(1/10+SUM('S2_1946-1970'!$H$11:$H$13))</f>
        <v>332.21009619471448</v>
      </c>
      <c r="AF75" s="230" t="s">
        <v>119</v>
      </c>
    </row>
    <row r="76" spans="17:32" x14ac:dyDescent="0.25">
      <c r="Q76" s="233" t="s">
        <v>184</v>
      </c>
      <c r="R76" s="231" t="s">
        <v>118</v>
      </c>
      <c r="S76" s="59">
        <f>$L$17*1/(1/8+SUM(S1_EPB2010!$H$33:$H$35)/4)+SUM($L$13,$L$18)*1/(1/6+SUM(S1_EPB2010!$H$33:$H$35)/2)+SUM($L$6)*1/(1/3+SUM(S1_EPB2010!$H$39:$H$42)/2)</f>
        <v>674.64774857174871</v>
      </c>
      <c r="T76" s="230" t="s">
        <v>119</v>
      </c>
      <c r="U76" s="233" t="s">
        <v>184</v>
      </c>
      <c r="V76" s="231" t="s">
        <v>118</v>
      </c>
      <c r="W76" s="59">
        <f>$L$17*1/(1/8+SUM(S1_EPB2010!$H$33:$H$35)/4)+SUM($L$13,$L$18)*1/(1/6+SUM(S1_EPB2010!$H$33:$H$35)/2)+SUM($L$6)*1/(1/3+SUM(S1_EPB2010!$H$39:$H$42)/2)</f>
        <v>674.64774857174871</v>
      </c>
      <c r="X76" s="230" t="s">
        <v>119</v>
      </c>
      <c r="Y76" s="233" t="s">
        <v>184</v>
      </c>
      <c r="Z76" s="231" t="s">
        <v>118</v>
      </c>
      <c r="AA76" s="59">
        <f>$L$17*1/(1/8+SUM('S2_1946-1970'!$H$29:$H$31)/4)+SUM($L$13,$L$18)*1/(1/6+SUM('S2_1946-1970'!$H$29:$H$31)/2)+SUM($L$6)*1/(1/3+SUM('S2_1946-1970'!$H$35:$H$38)/2)</f>
        <v>633.39018553210087</v>
      </c>
      <c r="AB76" s="230" t="s">
        <v>119</v>
      </c>
      <c r="AC76" s="233" t="s">
        <v>184</v>
      </c>
      <c r="AD76" s="231" t="s">
        <v>118</v>
      </c>
      <c r="AE76" s="59">
        <f>$L$17*1/(1/8+SUM('S2_1946-1970'!$H$29:$H$31)/4)+SUM($L$13,$L$18)*1/(1/6+SUM('S2_1946-1970'!$H$29:$H$31)/2)+SUM($L$6)*1/(1/3+SUM('S2_1946-1970'!$H$35:$H$38)/2)</f>
        <v>633.39018553210087</v>
      </c>
      <c r="AF76" s="230" t="s">
        <v>119</v>
      </c>
    </row>
    <row r="77" spans="17:32" x14ac:dyDescent="0.25">
      <c r="Q77" s="233" t="s">
        <v>185</v>
      </c>
      <c r="R77" s="231" t="s">
        <v>118</v>
      </c>
      <c r="S77" s="59">
        <f>($L$2+$L$7)*2/20*1.204*1012/3600+SUM($S$7:$S$10)*S1_EPB2010!$H$54</f>
        <v>18.516905380000001</v>
      </c>
      <c r="T77" s="230" t="s">
        <v>119</v>
      </c>
      <c r="U77" s="233" t="s">
        <v>185</v>
      </c>
      <c r="V77" s="231" t="s">
        <v>118</v>
      </c>
      <c r="W77" s="59">
        <f>($L$2+$L$7)*2/20*1.204*1012/3600+SUM($S$7:$S$10)*S1_EPB2010!$H$54</f>
        <v>18.516905380000001</v>
      </c>
      <c r="X77" s="230" t="s">
        <v>119</v>
      </c>
      <c r="Y77" s="233" t="s">
        <v>185</v>
      </c>
      <c r="Z77" s="231" t="s">
        <v>118</v>
      </c>
      <c r="AA77" s="59">
        <f>($L$2+$L$7)*2/20*1.204*1012/3600+SUM($S$8:$S$9,$L$3:$L$4)*'S2_1946-1970'!$H$50</f>
        <v>96.168807798602344</v>
      </c>
      <c r="AB77" s="230" t="s">
        <v>119</v>
      </c>
      <c r="AC77" s="233" t="s">
        <v>185</v>
      </c>
      <c r="AD77" s="231" t="s">
        <v>118</v>
      </c>
      <c r="AE77" s="59">
        <f>($L$2+$L$7)*2/20*1.204*1012/3600+SUM($S$8:$S$9,$L$3:$L$4)*'S2_1946-1970'!$H$50</f>
        <v>96.168807798602344</v>
      </c>
      <c r="AF77" s="230" t="s">
        <v>119</v>
      </c>
    </row>
    <row r="78" spans="17:32" x14ac:dyDescent="0.25">
      <c r="Q78" s="233" t="s">
        <v>186</v>
      </c>
      <c r="R78" s="231" t="s">
        <v>118</v>
      </c>
      <c r="S78" s="230">
        <f>SUM($L$10:$L$12,$L$5)*1/(1/23+SUM(S1_EPB2010!$H$4:$H$6))+SUM($L$8:$L$9,$L$3:$L$4)*1/(1/23+SUM(S1_EPB2010!$H$12:$H$14))</f>
        <v>57.340254454429555</v>
      </c>
      <c r="T78" s="230" t="s">
        <v>119</v>
      </c>
      <c r="U78" s="233" t="s">
        <v>186</v>
      </c>
      <c r="V78" s="231" t="s">
        <v>118</v>
      </c>
      <c r="W78" s="230">
        <f>SUM($L$10:$L$12,$L$5)*1/(1/23+SUM(S1_EPB2010!$H$4:$H$6))+SUM($L$8:$L$9,$L$3:$L$4)*1/(1/23+SUM(S1_EPB2010!$H$12:$H$14))</f>
        <v>57.340254454429555</v>
      </c>
      <c r="X78" s="230" t="s">
        <v>119</v>
      </c>
      <c r="Y78" s="233" t="s">
        <v>186</v>
      </c>
      <c r="Z78" s="231" t="s">
        <v>118</v>
      </c>
      <c r="AA78" s="230">
        <f>SUM($L$10:$L$12,$L$5)*1/(1/23+SUM('S2_1946-1970'!$H$4:$H$5))+SUM($L$8:$L$9,$L$3:$L$4)*1/(1/23+SUM('S2_1946-1970'!$H$11:$H$12))</f>
        <v>623.93139986171366</v>
      </c>
      <c r="AB78" s="230" t="s">
        <v>119</v>
      </c>
      <c r="AC78" s="233" t="s">
        <v>186</v>
      </c>
      <c r="AD78" s="231" t="s">
        <v>118</v>
      </c>
      <c r="AE78" s="230">
        <f>SUM($L$10:$L$12,$L$5)*1/(1/23+SUM('S2_1946-1970'!$H$4:$H$5))+SUM($L$8:$L$9,$L$3:$L$4)*1/(1/23+SUM('S2_1946-1970'!$H$11:$H$12))</f>
        <v>623.93139986171366</v>
      </c>
      <c r="AF78" s="230" t="s">
        <v>119</v>
      </c>
    </row>
    <row r="79" spans="17:32" x14ac:dyDescent="0.25">
      <c r="Q79"/>
      <c r="R79" s="231"/>
      <c r="T79" s="230"/>
      <c r="U79"/>
      <c r="V79" s="231"/>
      <c r="X79" s="230"/>
      <c r="Y79"/>
      <c r="Z79" s="231"/>
      <c r="AB79" s="230"/>
      <c r="AC79"/>
      <c r="AD79" s="231"/>
      <c r="AF79" s="230"/>
    </row>
    <row r="80" spans="17:32" x14ac:dyDescent="0.25">
      <c r="Q80" s="233" t="s">
        <v>187</v>
      </c>
      <c r="R80" s="231" t="s">
        <v>118</v>
      </c>
      <c r="S80" s="59">
        <f>$L$31*SUM(S1_EPB2010!$I$39:$I$42)/2</f>
        <v>22651975.500000004</v>
      </c>
      <c r="T80" s="230" t="s">
        <v>119</v>
      </c>
      <c r="U80" s="233" t="s">
        <v>187</v>
      </c>
      <c r="V80" s="231" t="s">
        <v>118</v>
      </c>
      <c r="W80" s="59">
        <f>$L$31*SUM(S1_EPB2010!$I$39:$I$42)/2</f>
        <v>22651975.500000004</v>
      </c>
      <c r="X80" s="230" t="s">
        <v>119</v>
      </c>
      <c r="Y80" s="233" t="s">
        <v>187</v>
      </c>
      <c r="Z80" s="231" t="s">
        <v>118</v>
      </c>
      <c r="AA80" s="59">
        <f>$L$31*SUM('S2_1946-1970'!$I$35:$I$38)/2</f>
        <v>23092954.500000004</v>
      </c>
      <c r="AB80" s="230" t="s">
        <v>119</v>
      </c>
      <c r="AC80" s="233" t="s">
        <v>187</v>
      </c>
      <c r="AD80" s="231" t="s">
        <v>118</v>
      </c>
      <c r="AE80" s="59">
        <f>$L$31*SUM('S2_1946-1970'!$I$35:$I$38)/2</f>
        <v>23092954.500000004</v>
      </c>
      <c r="AF80" s="230" t="s">
        <v>119</v>
      </c>
    </row>
    <row r="81" spans="17:32" x14ac:dyDescent="0.25">
      <c r="Q81" s="233" t="s">
        <v>188</v>
      </c>
      <c r="R81" s="231" t="s">
        <v>118</v>
      </c>
      <c r="S81" s="59">
        <f>$S$80</f>
        <v>22651975.500000004</v>
      </c>
      <c r="T81" s="230" t="s">
        <v>119</v>
      </c>
      <c r="U81" s="233" t="s">
        <v>188</v>
      </c>
      <c r="V81" s="231" t="s">
        <v>118</v>
      </c>
      <c r="W81" s="59">
        <f>$S$80</f>
        <v>22651975.500000004</v>
      </c>
      <c r="X81" s="230" t="s">
        <v>119</v>
      </c>
      <c r="Y81" s="233" t="s">
        <v>188</v>
      </c>
      <c r="Z81" s="231" t="s">
        <v>118</v>
      </c>
      <c r="AA81" s="59">
        <f>AA80</f>
        <v>23092954.500000004</v>
      </c>
      <c r="AB81" s="230" t="s">
        <v>119</v>
      </c>
      <c r="AC81" s="233" t="s">
        <v>188</v>
      </c>
      <c r="AD81" s="231" t="s">
        <v>118</v>
      </c>
      <c r="AE81" s="59">
        <f>AE80</f>
        <v>23092954.500000004</v>
      </c>
      <c r="AF81" s="230" t="s">
        <v>119</v>
      </c>
    </row>
    <row r="82" spans="17:32" x14ac:dyDescent="0.25">
      <c r="Q82" s="233" t="s">
        <v>189</v>
      </c>
      <c r="R82" s="231" t="s">
        <v>118</v>
      </c>
      <c r="S82" s="59">
        <v>0.1</v>
      </c>
      <c r="T82" s="230" t="s">
        <v>119</v>
      </c>
      <c r="U82" s="233" t="s">
        <v>189</v>
      </c>
      <c r="V82" s="231" t="s">
        <v>118</v>
      </c>
      <c r="W82" s="59">
        <v>0.1</v>
      </c>
      <c r="X82" s="230" t="s">
        <v>119</v>
      </c>
      <c r="Y82" s="233" t="s">
        <v>189</v>
      </c>
      <c r="Z82" s="231" t="s">
        <v>118</v>
      </c>
      <c r="AA82" s="59">
        <v>0.1</v>
      </c>
      <c r="AB82" s="230" t="s">
        <v>119</v>
      </c>
      <c r="AC82" s="233" t="s">
        <v>189</v>
      </c>
      <c r="AD82" s="231" t="s">
        <v>118</v>
      </c>
      <c r="AE82" s="59">
        <v>0.1</v>
      </c>
      <c r="AF82" s="230" t="s">
        <v>119</v>
      </c>
    </row>
    <row r="83" spans="17:32" x14ac:dyDescent="0.25">
      <c r="Q83" s="233" t="s">
        <v>190</v>
      </c>
      <c r="R83" s="231" t="s">
        <v>118</v>
      </c>
      <c r="S83" s="59">
        <v>0.1</v>
      </c>
      <c r="T83" s="230" t="s">
        <v>119</v>
      </c>
      <c r="U83" s="233" t="s">
        <v>190</v>
      </c>
      <c r="V83" s="231" t="s">
        <v>118</v>
      </c>
      <c r="W83" s="59">
        <v>0.1</v>
      </c>
      <c r="X83" s="230" t="s">
        <v>119</v>
      </c>
      <c r="Y83" s="233" t="s">
        <v>190</v>
      </c>
      <c r="Z83" s="231" t="s">
        <v>118</v>
      </c>
      <c r="AA83" s="59">
        <v>0.1</v>
      </c>
      <c r="AB83" s="230" t="s">
        <v>119</v>
      </c>
      <c r="AC83" s="233" t="s">
        <v>190</v>
      </c>
      <c r="AD83" s="231" t="s">
        <v>118</v>
      </c>
      <c r="AE83" s="59">
        <v>0.1</v>
      </c>
      <c r="AF83" s="230" t="s">
        <v>119</v>
      </c>
    </row>
    <row r="84" spans="17:32" x14ac:dyDescent="0.25">
      <c r="Q84" s="233" t="s">
        <v>191</v>
      </c>
      <c r="R84" s="231" t="s">
        <v>118</v>
      </c>
      <c r="S84" s="59">
        <f>1/S1_EPB2010!$H$37*4*$L$31</f>
        <v>188.41058823529414</v>
      </c>
      <c r="T84" s="230" t="s">
        <v>119</v>
      </c>
      <c r="U84" s="233" t="s">
        <v>191</v>
      </c>
      <c r="V84" s="231" t="s">
        <v>118</v>
      </c>
      <c r="W84" s="59">
        <f>1/S1_EPB2010!$H$37*4*$L$31</f>
        <v>188.41058823529414</v>
      </c>
      <c r="X84" s="230" t="s">
        <v>119</v>
      </c>
      <c r="Y84" s="233" t="s">
        <v>191</v>
      </c>
      <c r="Z84" s="231" t="s">
        <v>118</v>
      </c>
      <c r="AA84" s="59">
        <f>1/'S2_1946-1970'!$H$33*4*$L$31</f>
        <v>234.51281045751637</v>
      </c>
      <c r="AB84" s="230" t="s">
        <v>119</v>
      </c>
      <c r="AC84" s="233" t="s">
        <v>191</v>
      </c>
      <c r="AD84" s="231" t="s">
        <v>118</v>
      </c>
      <c r="AE84" s="59">
        <f>1/'S2_1946-1970'!$H$33*4*$L$31</f>
        <v>234.51281045751637</v>
      </c>
      <c r="AF84" s="230" t="s">
        <v>119</v>
      </c>
    </row>
    <row r="85" spans="17:32" x14ac:dyDescent="0.25">
      <c r="Q85" s="233" t="s">
        <v>192</v>
      </c>
      <c r="R85" s="231" t="s">
        <v>118</v>
      </c>
      <c r="S85" s="59">
        <f>$S$84*2</f>
        <v>376.82117647058828</v>
      </c>
      <c r="T85" s="230" t="s">
        <v>119</v>
      </c>
      <c r="U85" s="233" t="s">
        <v>192</v>
      </c>
      <c r="V85" s="231" t="s">
        <v>118</v>
      </c>
      <c r="W85" s="59">
        <f>$S$84*2</f>
        <v>376.82117647058828</v>
      </c>
      <c r="X85" s="230" t="s">
        <v>119</v>
      </c>
      <c r="Y85" s="233" t="s">
        <v>192</v>
      </c>
      <c r="Z85" s="231" t="s">
        <v>118</v>
      </c>
      <c r="AA85" s="59">
        <f>$S$84*2</f>
        <v>376.82117647058828</v>
      </c>
      <c r="AB85" s="230" t="s">
        <v>119</v>
      </c>
      <c r="AC85" s="233" t="s">
        <v>192</v>
      </c>
      <c r="AD85" s="231" t="s">
        <v>118</v>
      </c>
      <c r="AE85" s="59">
        <f>$S$84*2</f>
        <v>376.82117647058828</v>
      </c>
      <c r="AF85" s="230" t="s">
        <v>119</v>
      </c>
    </row>
    <row r="86" spans="17:32" x14ac:dyDescent="0.25">
      <c r="Q86" s="233" t="s">
        <v>193</v>
      </c>
      <c r="R86" s="231" t="s">
        <v>118</v>
      </c>
      <c r="S86" s="59">
        <f>$S$84</f>
        <v>188.41058823529414</v>
      </c>
      <c r="T86" s="230" t="s">
        <v>119</v>
      </c>
      <c r="U86" s="233" t="s">
        <v>193</v>
      </c>
      <c r="V86" s="231" t="s">
        <v>118</v>
      </c>
      <c r="W86" s="59">
        <f>$S$84</f>
        <v>188.41058823529414</v>
      </c>
      <c r="X86" s="230" t="s">
        <v>119</v>
      </c>
      <c r="Y86" s="233" t="s">
        <v>193</v>
      </c>
      <c r="Z86" s="231" t="s">
        <v>118</v>
      </c>
      <c r="AA86" s="59">
        <f>$S$84</f>
        <v>188.41058823529414</v>
      </c>
      <c r="AB86" s="230" t="s">
        <v>119</v>
      </c>
      <c r="AC86" s="233" t="s">
        <v>193</v>
      </c>
      <c r="AD86" s="231" t="s">
        <v>118</v>
      </c>
      <c r="AE86" s="59">
        <f>$S$84</f>
        <v>188.41058823529414</v>
      </c>
      <c r="AF86" s="230" t="s">
        <v>119</v>
      </c>
    </row>
  </sheetData>
  <mergeCells count="4">
    <mergeCell ref="Q1:T1"/>
    <mergeCell ref="Y1:AB1"/>
    <mergeCell ref="U1:X1"/>
    <mergeCell ref="AC1:AF1"/>
  </mergeCells>
  <conditionalFormatting sqref="D33:D42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6"/>
  <sheetViews>
    <sheetView topLeftCell="H1" zoomScale="90" zoomScaleNormal="90" workbookViewId="0">
      <selection activeCell="W37" sqref="W37"/>
    </sheetView>
  </sheetViews>
  <sheetFormatPr defaultRowHeight="15" x14ac:dyDescent="0.25"/>
  <cols>
    <col min="1" max="1" width="19.28515625" style="59" customWidth="1"/>
    <col min="2" max="2" width="10.140625" style="59" customWidth="1"/>
    <col min="3" max="4" width="11.7109375" style="59" customWidth="1"/>
    <col min="5" max="5" width="12" style="59" customWidth="1"/>
    <col min="6" max="6" width="10.5703125" style="59" customWidth="1"/>
    <col min="7" max="8" width="7.7109375" style="59" customWidth="1"/>
    <col min="9" max="9" width="26.28515625" style="59" bestFit="1" customWidth="1"/>
    <col min="10" max="10" width="14.5703125" style="59" customWidth="1"/>
    <col min="11" max="11" width="4.85546875" style="59" customWidth="1"/>
    <col min="12" max="12" width="11.7109375" style="59" customWidth="1"/>
    <col min="13" max="16" width="9.140625" style="59"/>
    <col min="17" max="17" width="21.5703125" style="59" bestFit="1" customWidth="1"/>
    <col min="18" max="18" width="2" style="59" bestFit="1" customWidth="1"/>
    <col min="19" max="19" width="51.85546875" style="59" customWidth="1"/>
    <col min="20" max="20" width="9.140625" style="59" customWidth="1"/>
    <col min="21" max="21" width="21.5703125" style="59" customWidth="1"/>
    <col min="22" max="22" width="2" style="59" customWidth="1"/>
    <col min="23" max="23" width="56.5703125" style="59" customWidth="1"/>
    <col min="24" max="16384" width="9.140625" style="59"/>
  </cols>
  <sheetData>
    <row r="1" spans="1:24" x14ac:dyDescent="0.25">
      <c r="B1" s="148" t="s">
        <v>87</v>
      </c>
      <c r="H1" s="179" t="s">
        <v>129</v>
      </c>
      <c r="I1" s="180" t="s">
        <v>131</v>
      </c>
      <c r="J1" s="166" t="s">
        <v>88</v>
      </c>
      <c r="K1" s="167" t="s">
        <v>118</v>
      </c>
      <c r="L1" s="167" t="str">
        <f>TEXT(G23,"??.??")&amp;"*Modelica.Constants.pi/180"</f>
        <v>32.92*Modelica.Constants.pi/180</v>
      </c>
      <c r="M1" s="168" t="s">
        <v>119</v>
      </c>
      <c r="Q1" s="240" t="s">
        <v>230</v>
      </c>
      <c r="R1" s="240"/>
      <c r="S1" s="240"/>
      <c r="T1" s="240"/>
      <c r="U1" s="240" t="s">
        <v>231</v>
      </c>
      <c r="V1" s="240"/>
      <c r="W1" s="240"/>
      <c r="X1" s="240"/>
    </row>
    <row r="2" spans="1:24" ht="18" x14ac:dyDescent="0.35">
      <c r="A2" s="62"/>
      <c r="B2" s="62" t="s">
        <v>32</v>
      </c>
      <c r="C2" s="63" t="s">
        <v>33</v>
      </c>
      <c r="D2" s="64" t="s">
        <v>34</v>
      </c>
      <c r="E2" s="65">
        <v>2.8</v>
      </c>
      <c r="F2" s="61"/>
      <c r="H2" s="181" t="s">
        <v>129</v>
      </c>
      <c r="I2" s="182" t="s">
        <v>132</v>
      </c>
      <c r="J2" s="169" t="s">
        <v>89</v>
      </c>
      <c r="K2" s="170" t="s">
        <v>118</v>
      </c>
      <c r="L2" s="83">
        <f>C5</f>
        <v>22.613571428571433</v>
      </c>
      <c r="M2" s="171" t="s">
        <v>119</v>
      </c>
      <c r="Q2" s="231" t="s">
        <v>155</v>
      </c>
      <c r="R2" s="231" t="s">
        <v>118</v>
      </c>
      <c r="S2" s="234">
        <f>L23</f>
        <v>6</v>
      </c>
      <c r="T2" s="230" t="s">
        <v>119</v>
      </c>
      <c r="U2" s="231" t="s">
        <v>155</v>
      </c>
      <c r="V2" s="231" t="s">
        <v>118</v>
      </c>
      <c r="W2" s="234">
        <f>S2</f>
        <v>6</v>
      </c>
      <c r="X2" s="230" t="s">
        <v>119</v>
      </c>
    </row>
    <row r="3" spans="1:24" ht="18" x14ac:dyDescent="0.35">
      <c r="A3" s="66" t="s">
        <v>35</v>
      </c>
      <c r="B3" s="81">
        <f>(E8-0.15)*(F6-0.35)+(F9-0.25)*F7</f>
        <v>54.324999999999996</v>
      </c>
      <c r="C3" s="132">
        <f>B3*(E2-0.25)</f>
        <v>138.52874999999997</v>
      </c>
      <c r="D3" s="64" t="s">
        <v>36</v>
      </c>
      <c r="E3" s="65">
        <v>2.8</v>
      </c>
      <c r="F3" s="61"/>
      <c r="H3" s="181" t="s">
        <v>129</v>
      </c>
      <c r="I3" s="69" t="s">
        <v>130</v>
      </c>
      <c r="J3" s="169" t="s">
        <v>90</v>
      </c>
      <c r="K3" s="170" t="s">
        <v>118</v>
      </c>
      <c r="L3" s="172">
        <f>D23</f>
        <v>17.95925280251074</v>
      </c>
      <c r="M3" s="171" t="s">
        <v>119</v>
      </c>
      <c r="Q3" s="231" t="s">
        <v>156</v>
      </c>
      <c r="R3" s="231" t="s">
        <v>118</v>
      </c>
      <c r="S3" s="59">
        <f>0</f>
        <v>0</v>
      </c>
      <c r="T3" s="230" t="s">
        <v>119</v>
      </c>
      <c r="U3" s="231" t="s">
        <v>156</v>
      </c>
      <c r="V3" s="231" t="s">
        <v>118</v>
      </c>
      <c r="W3" s="234">
        <f>S3</f>
        <v>0</v>
      </c>
      <c r="X3" s="230" t="s">
        <v>119</v>
      </c>
    </row>
    <row r="4" spans="1:24" ht="18.75" x14ac:dyDescent="0.35">
      <c r="A4" s="66" t="s">
        <v>37</v>
      </c>
      <c r="B4" s="84">
        <f>(E8-0.15)*(F6-0.35)*2</f>
        <v>98.77</v>
      </c>
      <c r="C4" s="87">
        <f>(E8-0.15)*(F6-0.35)*(E3-0.25+F4-0.15+(E4+E5-F4+0.15-0.3)/2)-C5</f>
        <v>240.36155357142854</v>
      </c>
      <c r="D4" s="146" t="s">
        <v>83</v>
      </c>
      <c r="E4" s="137">
        <v>2.8</v>
      </c>
      <c r="F4" s="60">
        <v>1.6</v>
      </c>
      <c r="H4" s="181" t="s">
        <v>129</v>
      </c>
      <c r="I4" s="69" t="s">
        <v>130</v>
      </c>
      <c r="J4" s="169" t="s">
        <v>91</v>
      </c>
      <c r="K4" s="170" t="s">
        <v>118</v>
      </c>
      <c r="L4" s="173">
        <f>D12</f>
        <v>3.9542857142857155</v>
      </c>
      <c r="M4" s="171" t="s">
        <v>119</v>
      </c>
      <c r="Q4" s="231" t="s">
        <v>157</v>
      </c>
      <c r="R4" s="231" t="s">
        <v>118</v>
      </c>
      <c r="S4" s="234">
        <f>L22</f>
        <v>2.88</v>
      </c>
      <c r="T4" s="230" t="s">
        <v>119</v>
      </c>
      <c r="U4" s="231" t="s">
        <v>157</v>
      </c>
      <c r="V4" s="231" t="s">
        <v>118</v>
      </c>
      <c r="W4" s="234">
        <f>S4</f>
        <v>2.88</v>
      </c>
      <c r="X4" s="230" t="s">
        <v>119</v>
      </c>
    </row>
    <row r="5" spans="1:24" ht="19.5" thickBot="1" x14ac:dyDescent="0.4">
      <c r="A5" s="74" t="s">
        <v>74</v>
      </c>
      <c r="B5" s="75">
        <f>D29</f>
        <v>30.151428571428575</v>
      </c>
      <c r="C5" s="76">
        <f>B5*(E5-0.1)/2</f>
        <v>22.613571428571433</v>
      </c>
      <c r="D5" s="146" t="s">
        <v>84</v>
      </c>
      <c r="E5" s="137">
        <v>1.6</v>
      </c>
      <c r="F5" s="60">
        <v>2.8</v>
      </c>
      <c r="H5" s="181" t="s">
        <v>129</v>
      </c>
      <c r="I5" s="69" t="s">
        <v>130</v>
      </c>
      <c r="J5" s="169" t="s">
        <v>92</v>
      </c>
      <c r="K5" s="170" t="s">
        <v>118</v>
      </c>
      <c r="L5" s="173">
        <f>D14</f>
        <v>3.9542857142857155</v>
      </c>
      <c r="M5" s="171" t="s">
        <v>119</v>
      </c>
      <c r="Q5" s="231" t="s">
        <v>158</v>
      </c>
      <c r="R5" s="231" t="s">
        <v>118</v>
      </c>
      <c r="S5" s="234">
        <v>0</v>
      </c>
      <c r="T5" s="230" t="s">
        <v>119</v>
      </c>
      <c r="U5" s="231" t="s">
        <v>158</v>
      </c>
      <c r="V5" s="231" t="s">
        <v>118</v>
      </c>
      <c r="W5" s="234">
        <f>S5</f>
        <v>0</v>
      </c>
      <c r="X5" s="230" t="s">
        <v>119</v>
      </c>
    </row>
    <row r="6" spans="1:24" ht="15.75" thickBot="1" x14ac:dyDescent="0.3">
      <c r="A6" s="59" t="s">
        <v>38</v>
      </c>
      <c r="B6" s="77">
        <f>SUM(B3:B5)</f>
        <v>183.24642857142857</v>
      </c>
      <c r="C6" s="78">
        <f>SUM(C3:C5)</f>
        <v>401.50387499999994</v>
      </c>
      <c r="D6" s="147" t="s">
        <v>85</v>
      </c>
      <c r="E6" s="59">
        <v>11.25</v>
      </c>
      <c r="F6" s="59">
        <v>8.65</v>
      </c>
      <c r="H6" s="181" t="s">
        <v>129</v>
      </c>
      <c r="I6" s="182" t="s">
        <v>132</v>
      </c>
      <c r="J6" s="169" t="s">
        <v>93</v>
      </c>
      <c r="K6" s="170" t="s">
        <v>118</v>
      </c>
      <c r="L6" s="173">
        <f>C4</f>
        <v>240.36155357142854</v>
      </c>
      <c r="M6" s="171" t="s">
        <v>119</v>
      </c>
      <c r="Q6"/>
      <c r="R6" s="231"/>
      <c r="T6" s="230"/>
      <c r="U6"/>
      <c r="V6" s="231"/>
      <c r="W6" s="234"/>
      <c r="X6" s="230"/>
    </row>
    <row r="7" spans="1:24" x14ac:dyDescent="0.25">
      <c r="B7" s="83"/>
      <c r="C7" s="83"/>
      <c r="F7" s="59">
        <v>2.6</v>
      </c>
      <c r="H7" s="181" t="s">
        <v>129</v>
      </c>
      <c r="I7" s="69" t="s">
        <v>130</v>
      </c>
      <c r="J7" s="169" t="s">
        <v>94</v>
      </c>
      <c r="K7" s="170" t="s">
        <v>118</v>
      </c>
      <c r="L7" s="173">
        <f>C11</f>
        <v>22.88</v>
      </c>
      <c r="M7" s="171" t="s">
        <v>119</v>
      </c>
      <c r="Q7" s="231" t="s">
        <v>159</v>
      </c>
      <c r="R7" s="231" t="s">
        <v>118</v>
      </c>
      <c r="S7" s="234">
        <f>L12</f>
        <v>6.96</v>
      </c>
      <c r="T7" s="230" t="s">
        <v>119</v>
      </c>
      <c r="U7" s="231" t="s">
        <v>159</v>
      </c>
      <c r="V7" s="231" t="s">
        <v>118</v>
      </c>
      <c r="W7" s="234">
        <f>S7</f>
        <v>6.96</v>
      </c>
      <c r="X7" s="230" t="s">
        <v>119</v>
      </c>
    </row>
    <row r="8" spans="1:24" x14ac:dyDescent="0.25">
      <c r="B8" s="83"/>
      <c r="C8" s="83"/>
      <c r="D8" s="147" t="s">
        <v>86</v>
      </c>
      <c r="E8" s="59">
        <v>6.1</v>
      </c>
      <c r="F8" s="59">
        <v>3.95</v>
      </c>
      <c r="H8" s="181" t="s">
        <v>129</v>
      </c>
      <c r="I8" s="69" t="s">
        <v>130</v>
      </c>
      <c r="J8" s="169" t="s">
        <v>95</v>
      </c>
      <c r="K8" s="170" t="s">
        <v>118</v>
      </c>
      <c r="L8" s="173">
        <f>C12</f>
        <v>46.215714285714284</v>
      </c>
      <c r="M8" s="171" t="s">
        <v>119</v>
      </c>
      <c r="Q8" s="231" t="s">
        <v>160</v>
      </c>
      <c r="R8" s="231" t="s">
        <v>118</v>
      </c>
      <c r="S8" s="59">
        <f>0</f>
        <v>0</v>
      </c>
      <c r="T8" s="230" t="s">
        <v>119</v>
      </c>
      <c r="U8" s="231" t="s">
        <v>160</v>
      </c>
      <c r="V8" s="231" t="s">
        <v>118</v>
      </c>
      <c r="W8" s="234">
        <f>S8</f>
        <v>0</v>
      </c>
      <c r="X8" s="230" t="s">
        <v>119</v>
      </c>
    </row>
    <row r="9" spans="1:24" x14ac:dyDescent="0.25">
      <c r="F9" s="59">
        <v>2.15</v>
      </c>
      <c r="H9" s="181" t="s">
        <v>129</v>
      </c>
      <c r="I9" s="69" t="s">
        <v>130</v>
      </c>
      <c r="J9" s="169" t="s">
        <v>96</v>
      </c>
      <c r="K9" s="170" t="s">
        <v>118</v>
      </c>
      <c r="L9" s="173">
        <f>C13</f>
        <v>22.88</v>
      </c>
      <c r="M9" s="171" t="s">
        <v>119</v>
      </c>
      <c r="Q9" s="231" t="s">
        <v>161</v>
      </c>
      <c r="R9" s="231" t="s">
        <v>118</v>
      </c>
      <c r="S9" s="234">
        <f>L12</f>
        <v>6.96</v>
      </c>
      <c r="T9" s="230" t="s">
        <v>119</v>
      </c>
      <c r="U9" s="231" t="s">
        <v>161</v>
      </c>
      <c r="V9" s="231" t="s">
        <v>118</v>
      </c>
      <c r="W9" s="234">
        <f>S9</f>
        <v>6.96</v>
      </c>
      <c r="X9" s="230" t="s">
        <v>119</v>
      </c>
    </row>
    <row r="10" spans="1:24" x14ac:dyDescent="0.25">
      <c r="B10" s="79" t="s">
        <v>35</v>
      </c>
      <c r="C10" s="79" t="s">
        <v>37</v>
      </c>
      <c r="D10" s="79" t="s">
        <v>74</v>
      </c>
      <c r="E10" s="59" t="s">
        <v>38</v>
      </c>
      <c r="H10" s="181" t="s">
        <v>129</v>
      </c>
      <c r="I10" s="69" t="s">
        <v>130</v>
      </c>
      <c r="J10" s="169" t="s">
        <v>97</v>
      </c>
      <c r="K10" s="170" t="s">
        <v>118</v>
      </c>
      <c r="L10" s="173">
        <f>C14</f>
        <v>46.215714285714284</v>
      </c>
      <c r="M10" s="171" t="s">
        <v>119</v>
      </c>
      <c r="Q10" s="231" t="s">
        <v>162</v>
      </c>
      <c r="R10" s="231" t="s">
        <v>118</v>
      </c>
      <c r="S10" s="234">
        <v>0</v>
      </c>
      <c r="T10" s="230" t="s">
        <v>119</v>
      </c>
      <c r="U10" s="231" t="s">
        <v>162</v>
      </c>
      <c r="V10" s="231" t="s">
        <v>118</v>
      </c>
      <c r="W10" s="234">
        <f>S10</f>
        <v>0</v>
      </c>
      <c r="X10" s="230" t="s">
        <v>119</v>
      </c>
    </row>
    <row r="11" spans="1:24" x14ac:dyDescent="0.25">
      <c r="A11" s="80" t="s">
        <v>39</v>
      </c>
      <c r="B11" s="149">
        <f>E8*E2-B15-B19</f>
        <v>12.219999999999999</v>
      </c>
      <c r="C11" s="144">
        <f>E8*(E3+F4)-1.2*(2.4+0.9)</f>
        <v>22.88</v>
      </c>
      <c r="D11" s="145">
        <v>0</v>
      </c>
      <c r="E11" s="83">
        <f t="shared" ref="E11:E26" si="0">SUM(B11:D11)</f>
        <v>35.099999999999994</v>
      </c>
      <c r="G11" s="65">
        <v>0</v>
      </c>
      <c r="H11" s="181" t="s">
        <v>129</v>
      </c>
      <c r="I11" s="69" t="s">
        <v>130</v>
      </c>
      <c r="J11" s="169" t="s">
        <v>98</v>
      </c>
      <c r="K11" s="170" t="s">
        <v>118</v>
      </c>
      <c r="L11" s="172">
        <f>C15</f>
        <v>6.96</v>
      </c>
      <c r="M11" s="171" t="s">
        <v>119</v>
      </c>
      <c r="Q11"/>
      <c r="R11" s="231"/>
      <c r="T11" s="230"/>
      <c r="U11"/>
      <c r="V11" s="231"/>
      <c r="X11" s="230"/>
    </row>
    <row r="12" spans="1:24" x14ac:dyDescent="0.25">
      <c r="A12" s="140" t="s">
        <v>71</v>
      </c>
      <c r="B12" s="150">
        <f>E6*E2</f>
        <v>31.499999999999996</v>
      </c>
      <c r="C12" s="151">
        <f>F6*E3+F6*F4+F6*F5/2-D12</f>
        <v>46.215714285714284</v>
      </c>
      <c r="D12" s="152">
        <f>(E5*F6/E4)*E5/2</f>
        <v>3.9542857142857155</v>
      </c>
      <c r="E12" s="128">
        <f t="shared" si="0"/>
        <v>81.67</v>
      </c>
      <c r="F12" s="70"/>
      <c r="G12" s="137">
        <v>90</v>
      </c>
      <c r="H12" s="181" t="s">
        <v>129</v>
      </c>
      <c r="I12" s="69" t="s">
        <v>130</v>
      </c>
      <c r="J12" s="169" t="s">
        <v>99</v>
      </c>
      <c r="K12" s="170" t="s">
        <v>118</v>
      </c>
      <c r="L12" s="172">
        <f>C17</f>
        <v>6.96</v>
      </c>
      <c r="M12" s="171" t="s">
        <v>119</v>
      </c>
      <c r="Q12" s="232" t="s">
        <v>154</v>
      </c>
      <c r="R12" s="231"/>
      <c r="T12" s="230"/>
      <c r="U12" s="232" t="s">
        <v>154</v>
      </c>
      <c r="V12" s="231"/>
      <c r="X12" s="230"/>
    </row>
    <row r="13" spans="1:24" x14ac:dyDescent="0.25">
      <c r="A13" s="80" t="s">
        <v>41</v>
      </c>
      <c r="B13" s="153">
        <f>E8*E2-B21</f>
        <v>15.819999999999999</v>
      </c>
      <c r="C13" s="129">
        <f>C11</f>
        <v>22.88</v>
      </c>
      <c r="D13" s="131">
        <v>0</v>
      </c>
      <c r="E13" s="83">
        <f t="shared" si="0"/>
        <v>38.699999999999996</v>
      </c>
      <c r="G13" s="65">
        <v>180</v>
      </c>
      <c r="H13" s="181" t="s">
        <v>129</v>
      </c>
      <c r="I13" s="69" t="s">
        <v>130</v>
      </c>
      <c r="J13" s="169" t="s">
        <v>100</v>
      </c>
      <c r="K13" s="170" t="s">
        <v>118</v>
      </c>
      <c r="L13" s="172">
        <f>C23</f>
        <v>10.46943960188305</v>
      </c>
      <c r="M13" s="171" t="s">
        <v>119</v>
      </c>
      <c r="Q13" s="178" t="s">
        <v>194</v>
      </c>
      <c r="R13" s="230" t="s">
        <v>118</v>
      </c>
      <c r="S13" s="59">
        <f>S3*S1_EPB2010!$C$55*0.25*0.8</f>
        <v>0</v>
      </c>
      <c r="T13" s="230" t="s">
        <v>119</v>
      </c>
      <c r="U13" s="178" t="s">
        <v>194</v>
      </c>
      <c r="V13" s="230" t="s">
        <v>118</v>
      </c>
      <c r="W13" s="59">
        <f>W3*'S2_1946-1970'!$C$51*0.25*0.8</f>
        <v>0</v>
      </c>
      <c r="X13" s="230" t="s">
        <v>119</v>
      </c>
    </row>
    <row r="14" spans="1:24" x14ac:dyDescent="0.25">
      <c r="A14" s="133" t="s">
        <v>72</v>
      </c>
      <c r="B14" s="154">
        <f>F6*E2</f>
        <v>24.22</v>
      </c>
      <c r="C14" s="155">
        <f>C12</f>
        <v>46.215714285714284</v>
      </c>
      <c r="D14" s="152">
        <f>D12</f>
        <v>3.9542857142857155</v>
      </c>
      <c r="E14" s="135">
        <f t="shared" si="0"/>
        <v>74.39</v>
      </c>
      <c r="F14" s="70"/>
      <c r="G14" s="137">
        <v>270</v>
      </c>
      <c r="H14" s="181" t="s">
        <v>129</v>
      </c>
      <c r="I14" s="69" t="s">
        <v>130</v>
      </c>
      <c r="J14" s="169" t="s">
        <v>101</v>
      </c>
      <c r="K14" s="170" t="s">
        <v>118</v>
      </c>
      <c r="L14" s="172">
        <f>C31</f>
        <v>63.344999999999992</v>
      </c>
      <c r="M14" s="171" t="s">
        <v>119</v>
      </c>
      <c r="Q14" s="178" t="s">
        <v>195</v>
      </c>
      <c r="R14" s="230" t="s">
        <v>118</v>
      </c>
      <c r="S14" s="59">
        <f>S2*S1_EPB2010!$C$55*0.25*0.8</f>
        <v>0.90600000000000014</v>
      </c>
      <c r="T14" s="230" t="s">
        <v>119</v>
      </c>
      <c r="U14" s="178" t="s">
        <v>195</v>
      </c>
      <c r="V14" s="230" t="s">
        <v>118</v>
      </c>
      <c r="W14" s="59">
        <f>W2*'S2_1946-1970'!$C$51*0.25*0.8</f>
        <v>0.90600000000000014</v>
      </c>
      <c r="X14" s="230" t="s">
        <v>119</v>
      </c>
    </row>
    <row r="15" spans="1:24" x14ac:dyDescent="0.25">
      <c r="A15" s="91" t="s">
        <v>43</v>
      </c>
      <c r="B15" s="149">
        <f>2.4*1.2</f>
        <v>2.88</v>
      </c>
      <c r="C15" s="144">
        <f>0.9*1.2+2.4*1.2+3*1*1</f>
        <v>6.96</v>
      </c>
      <c r="D15" s="156" t="s">
        <v>59</v>
      </c>
      <c r="E15" s="92">
        <f t="shared" si="0"/>
        <v>9.84</v>
      </c>
      <c r="H15" s="181" t="s">
        <v>129</v>
      </c>
      <c r="I15" s="69" t="s">
        <v>130</v>
      </c>
      <c r="J15" s="169" t="s">
        <v>102</v>
      </c>
      <c r="K15" s="170" t="s">
        <v>118</v>
      </c>
      <c r="L15" s="172">
        <f>C30</f>
        <v>52.765000000000001</v>
      </c>
      <c r="M15" s="171" t="s">
        <v>119</v>
      </c>
      <c r="Q15" s="178" t="s">
        <v>196</v>
      </c>
      <c r="R15" s="230" t="s">
        <v>118</v>
      </c>
      <c r="S15" s="59">
        <f>S4*S1_EPB2010!$C$55*0.25*0.8</f>
        <v>0.43487999999999999</v>
      </c>
      <c r="T15" s="230" t="s">
        <v>119</v>
      </c>
      <c r="U15" s="178" t="s">
        <v>196</v>
      </c>
      <c r="V15" s="230" t="s">
        <v>118</v>
      </c>
      <c r="W15" s="59">
        <f>W4*'S2_1946-1970'!$C$51*0.25*0.8</f>
        <v>0.43487999999999999</v>
      </c>
      <c r="X15" s="230" t="s">
        <v>119</v>
      </c>
    </row>
    <row r="16" spans="1:24" x14ac:dyDescent="0.25">
      <c r="A16" s="80" t="s">
        <v>44</v>
      </c>
      <c r="B16" s="157" t="s">
        <v>59</v>
      </c>
      <c r="C16" s="158" t="s">
        <v>59</v>
      </c>
      <c r="D16" s="159" t="s">
        <v>59</v>
      </c>
      <c r="E16" s="69">
        <f t="shared" si="0"/>
        <v>0</v>
      </c>
      <c r="H16" s="181" t="s">
        <v>129</v>
      </c>
      <c r="I16" s="69" t="s">
        <v>130</v>
      </c>
      <c r="J16" s="169" t="s">
        <v>103</v>
      </c>
      <c r="K16" s="170" t="s">
        <v>118</v>
      </c>
      <c r="L16" s="172">
        <f>D29</f>
        <v>30.151428571428575</v>
      </c>
      <c r="M16" s="171" t="s">
        <v>119</v>
      </c>
      <c r="Q16" s="178" t="s">
        <v>197</v>
      </c>
      <c r="R16" s="230" t="s">
        <v>118</v>
      </c>
      <c r="S16" s="59">
        <f>S5*S1_EPB2010!$C$55*0.25*0.8</f>
        <v>0</v>
      </c>
      <c r="T16" s="230" t="s">
        <v>119</v>
      </c>
      <c r="U16" s="178" t="s">
        <v>197</v>
      </c>
      <c r="V16" s="230" t="s">
        <v>118</v>
      </c>
      <c r="W16" s="59">
        <f>W5*'S2_1946-1970'!$C$51*0.25*0.8</f>
        <v>0</v>
      </c>
      <c r="X16" s="230" t="s">
        <v>119</v>
      </c>
    </row>
    <row r="17" spans="1:24" x14ac:dyDescent="0.25">
      <c r="A17" s="80" t="s">
        <v>45</v>
      </c>
      <c r="B17" s="153">
        <f>0.9*0.8+2.4*2.2</f>
        <v>6</v>
      </c>
      <c r="C17" s="158">
        <f>1.2*2.4+1.2*0.9+3*1*1</f>
        <v>6.96</v>
      </c>
      <c r="D17" s="159" t="s">
        <v>59</v>
      </c>
      <c r="E17" s="69">
        <f t="shared" si="0"/>
        <v>12.96</v>
      </c>
      <c r="H17" s="181" t="s">
        <v>129</v>
      </c>
      <c r="I17" s="182" t="s">
        <v>132</v>
      </c>
      <c r="J17" s="169" t="s">
        <v>104</v>
      </c>
      <c r="K17" s="170" t="s">
        <v>118</v>
      </c>
      <c r="L17" s="173">
        <f>C3</f>
        <v>138.52874999999997</v>
      </c>
      <c r="M17" s="171" t="s">
        <v>119</v>
      </c>
      <c r="Q17" s="178" t="s">
        <v>198</v>
      </c>
      <c r="R17" s="230" t="s">
        <v>118</v>
      </c>
      <c r="S17" s="59">
        <f>S13</f>
        <v>0</v>
      </c>
      <c r="T17" s="230" t="s">
        <v>119</v>
      </c>
      <c r="U17" s="178" t="s">
        <v>198</v>
      </c>
      <c r="V17" s="230" t="s">
        <v>118</v>
      </c>
      <c r="W17" s="59">
        <f>W13</f>
        <v>0</v>
      </c>
      <c r="X17" s="230" t="s">
        <v>119</v>
      </c>
    </row>
    <row r="18" spans="1:24" x14ac:dyDescent="0.25">
      <c r="A18" s="88" t="s">
        <v>46</v>
      </c>
      <c r="B18" s="160" t="s">
        <v>59</v>
      </c>
      <c r="C18" s="161" t="s">
        <v>59</v>
      </c>
      <c r="D18" s="162" t="s">
        <v>59</v>
      </c>
      <c r="E18" s="96">
        <f t="shared" si="0"/>
        <v>0</v>
      </c>
      <c r="H18" s="181" t="s">
        <v>129</v>
      </c>
      <c r="I18" s="69" t="s">
        <v>130</v>
      </c>
      <c r="J18" s="169" t="s">
        <v>105</v>
      </c>
      <c r="K18" s="170" t="s">
        <v>118</v>
      </c>
      <c r="L18" s="172">
        <f>B11</f>
        <v>12.219999999999999</v>
      </c>
      <c r="M18" s="171" t="s">
        <v>119</v>
      </c>
      <c r="Q18" s="178" t="s">
        <v>199</v>
      </c>
      <c r="R18" s="230" t="s">
        <v>118</v>
      </c>
      <c r="S18" s="59">
        <f t="shared" ref="S18:S20" si="1">S14</f>
        <v>0.90600000000000014</v>
      </c>
      <c r="T18" s="230" t="s">
        <v>119</v>
      </c>
      <c r="U18" s="178" t="s">
        <v>199</v>
      </c>
      <c r="V18" s="230" t="s">
        <v>118</v>
      </c>
      <c r="W18" s="59">
        <f t="shared" ref="W18:W20" si="2">W14</f>
        <v>0.90600000000000014</v>
      </c>
      <c r="X18" s="230" t="s">
        <v>119</v>
      </c>
    </row>
    <row r="19" spans="1:24" x14ac:dyDescent="0.25">
      <c r="A19" s="91" t="s">
        <v>47</v>
      </c>
      <c r="B19" s="149">
        <f>0.9*2.2</f>
        <v>1.9800000000000002</v>
      </c>
      <c r="C19" s="144"/>
      <c r="D19" s="145"/>
      <c r="E19" s="92">
        <f t="shared" si="0"/>
        <v>1.9800000000000002</v>
      </c>
      <c r="H19" s="181" t="s">
        <v>129</v>
      </c>
      <c r="I19" s="69" t="s">
        <v>130</v>
      </c>
      <c r="J19" s="169" t="s">
        <v>106</v>
      </c>
      <c r="K19" s="170" t="s">
        <v>118</v>
      </c>
      <c r="L19" s="172">
        <f>B12</f>
        <v>31.499999999999996</v>
      </c>
      <c r="M19" s="171" t="s">
        <v>119</v>
      </c>
      <c r="Q19" s="178" t="s">
        <v>200</v>
      </c>
      <c r="R19" s="230" t="s">
        <v>118</v>
      </c>
      <c r="S19" s="59">
        <f t="shared" si="1"/>
        <v>0.43487999999999999</v>
      </c>
      <c r="T19" s="230" t="s">
        <v>119</v>
      </c>
      <c r="U19" s="178" t="s">
        <v>200</v>
      </c>
      <c r="V19" s="230" t="s">
        <v>118</v>
      </c>
      <c r="W19" s="59">
        <f t="shared" si="2"/>
        <v>0.43487999999999999</v>
      </c>
      <c r="X19" s="230" t="s">
        <v>119</v>
      </c>
    </row>
    <row r="20" spans="1:24" x14ac:dyDescent="0.25">
      <c r="A20" s="80" t="s">
        <v>48</v>
      </c>
      <c r="B20" s="153"/>
      <c r="C20" s="129"/>
      <c r="D20" s="131"/>
      <c r="E20" s="69">
        <f t="shared" si="0"/>
        <v>0</v>
      </c>
      <c r="H20" s="181" t="s">
        <v>129</v>
      </c>
      <c r="I20" s="69" t="s">
        <v>130</v>
      </c>
      <c r="J20" s="169" t="s">
        <v>107</v>
      </c>
      <c r="K20" s="170" t="s">
        <v>118</v>
      </c>
      <c r="L20" s="172">
        <f>B13</f>
        <v>15.819999999999999</v>
      </c>
      <c r="M20" s="171" t="s">
        <v>119</v>
      </c>
      <c r="Q20" s="178" t="s">
        <v>201</v>
      </c>
      <c r="R20" s="230" t="s">
        <v>118</v>
      </c>
      <c r="S20" s="59">
        <f t="shared" si="1"/>
        <v>0</v>
      </c>
      <c r="T20" s="230" t="s">
        <v>119</v>
      </c>
      <c r="U20" s="178" t="s">
        <v>201</v>
      </c>
      <c r="V20" s="230" t="s">
        <v>118</v>
      </c>
      <c r="W20" s="59">
        <f t="shared" si="2"/>
        <v>0</v>
      </c>
      <c r="X20" s="230" t="s">
        <v>119</v>
      </c>
    </row>
    <row r="21" spans="1:24" x14ac:dyDescent="0.25">
      <c r="A21" s="80" t="s">
        <v>49</v>
      </c>
      <c r="B21" s="153">
        <f>0.9*2.2-0.9*0.8</f>
        <v>1.2600000000000002</v>
      </c>
      <c r="C21" s="163"/>
      <c r="D21" s="131"/>
      <c r="E21" s="69">
        <f t="shared" si="0"/>
        <v>1.2600000000000002</v>
      </c>
      <c r="H21" s="181" t="s">
        <v>129</v>
      </c>
      <c r="I21" s="69" t="s">
        <v>130</v>
      </c>
      <c r="J21" s="169" t="s">
        <v>108</v>
      </c>
      <c r="K21" s="170" t="s">
        <v>118</v>
      </c>
      <c r="L21" s="172">
        <f>B14</f>
        <v>24.22</v>
      </c>
      <c r="M21" s="171" t="s">
        <v>119</v>
      </c>
      <c r="Q21" s="178" t="s">
        <v>202</v>
      </c>
      <c r="R21" s="230" t="s">
        <v>118</v>
      </c>
      <c r="S21" s="59">
        <v>0</v>
      </c>
      <c r="T21" s="230" t="s">
        <v>119</v>
      </c>
      <c r="U21" s="178" t="s">
        <v>202</v>
      </c>
      <c r="V21" s="230" t="s">
        <v>118</v>
      </c>
      <c r="W21" s="59">
        <v>0</v>
      </c>
      <c r="X21" s="230" t="s">
        <v>119</v>
      </c>
    </row>
    <row r="22" spans="1:24" x14ac:dyDescent="0.25">
      <c r="A22" s="88" t="s">
        <v>50</v>
      </c>
      <c r="B22" s="160"/>
      <c r="C22" s="161"/>
      <c r="D22" s="162"/>
      <c r="E22" s="96">
        <f t="shared" si="0"/>
        <v>0</v>
      </c>
      <c r="H22" s="181" t="s">
        <v>129</v>
      </c>
      <c r="I22" s="69" t="s">
        <v>130</v>
      </c>
      <c r="J22" s="169" t="s">
        <v>109</v>
      </c>
      <c r="K22" s="170" t="s">
        <v>118</v>
      </c>
      <c r="L22" s="172">
        <f>B15</f>
        <v>2.88</v>
      </c>
      <c r="M22" s="171" t="s">
        <v>119</v>
      </c>
      <c r="Q22" s="178" t="s">
        <v>203</v>
      </c>
      <c r="R22" s="230" t="s">
        <v>118</v>
      </c>
      <c r="S22" s="59">
        <v>0</v>
      </c>
      <c r="T22" s="230" t="s">
        <v>119</v>
      </c>
      <c r="U22" s="178" t="s">
        <v>203</v>
      </c>
      <c r="V22" s="230" t="s">
        <v>118</v>
      </c>
      <c r="W22" s="59">
        <v>0</v>
      </c>
      <c r="X22" s="230" t="s">
        <v>119</v>
      </c>
    </row>
    <row r="23" spans="1:24" x14ac:dyDescent="0.25">
      <c r="A23" s="91" t="s">
        <v>51</v>
      </c>
      <c r="B23" s="149"/>
      <c r="C23" s="144">
        <f>(SQRT((F6/2)^2+F5^2))*E8-D23-3*1*1</f>
        <v>10.46943960188305</v>
      </c>
      <c r="D23" s="156">
        <f>SQRT(E5^2+(E5*F6/2/E4)^2)*E8</f>
        <v>17.95925280251074</v>
      </c>
      <c r="E23" s="99">
        <f>SUM(B23:D23)</f>
        <v>28.428692404393789</v>
      </c>
      <c r="F23" s="64" t="s">
        <v>52</v>
      </c>
      <c r="G23" s="101">
        <f>DEGREES(ATAN($F$5/(F6/2)))</f>
        <v>32.918973040029911</v>
      </c>
      <c r="H23" s="181" t="s">
        <v>129</v>
      </c>
      <c r="I23" s="69" t="s">
        <v>130</v>
      </c>
      <c r="J23" s="169" t="s">
        <v>110</v>
      </c>
      <c r="K23" s="170" t="s">
        <v>118</v>
      </c>
      <c r="L23" s="172">
        <f>B17</f>
        <v>6</v>
      </c>
      <c r="M23" s="171" t="s">
        <v>119</v>
      </c>
      <c r="Q23" s="178" t="s">
        <v>204</v>
      </c>
      <c r="R23" s="230" t="s">
        <v>118</v>
      </c>
      <c r="S23" s="59">
        <v>0</v>
      </c>
      <c r="T23" s="230" t="s">
        <v>119</v>
      </c>
      <c r="U23" s="178" t="s">
        <v>204</v>
      </c>
      <c r="V23" s="230" t="s">
        <v>118</v>
      </c>
      <c r="W23" s="59">
        <v>0</v>
      </c>
      <c r="X23" s="230" t="s">
        <v>119</v>
      </c>
    </row>
    <row r="24" spans="1:24" x14ac:dyDescent="0.25">
      <c r="A24" s="80" t="s">
        <v>53</v>
      </c>
      <c r="B24" s="150">
        <f>F7*F9</f>
        <v>5.59</v>
      </c>
      <c r="C24" s="129"/>
      <c r="D24" s="131"/>
      <c r="E24" s="86">
        <f t="shared" si="0"/>
        <v>5.59</v>
      </c>
      <c r="F24" s="142" t="s">
        <v>52</v>
      </c>
      <c r="G24" s="143">
        <v>0</v>
      </c>
      <c r="H24" s="181" t="s">
        <v>129</v>
      </c>
      <c r="I24" s="69" t="s">
        <v>130</v>
      </c>
      <c r="J24" s="169" t="s">
        <v>111</v>
      </c>
      <c r="K24" s="170" t="s">
        <v>118</v>
      </c>
      <c r="L24" s="172">
        <f>B19</f>
        <v>1.9800000000000002</v>
      </c>
      <c r="M24" s="171" t="s">
        <v>119</v>
      </c>
      <c r="Q24" s="178" t="s">
        <v>205</v>
      </c>
      <c r="R24" s="230" t="s">
        <v>118</v>
      </c>
      <c r="S24" s="59">
        <v>0</v>
      </c>
      <c r="T24" s="230" t="s">
        <v>119</v>
      </c>
      <c r="U24" s="178" t="s">
        <v>205</v>
      </c>
      <c r="V24" s="230" t="s">
        <v>118</v>
      </c>
      <c r="W24" s="59">
        <v>0</v>
      </c>
      <c r="X24" s="230" t="s">
        <v>119</v>
      </c>
    </row>
    <row r="25" spans="1:24" x14ac:dyDescent="0.25">
      <c r="A25" s="80" t="s">
        <v>54</v>
      </c>
      <c r="B25" s="153"/>
      <c r="C25" s="129">
        <f>C23</f>
        <v>10.46943960188305</v>
      </c>
      <c r="D25" s="131">
        <f>D23</f>
        <v>17.95925280251074</v>
      </c>
      <c r="E25" s="83">
        <f t="shared" si="0"/>
        <v>28.428692404393789</v>
      </c>
      <c r="F25" s="64" t="s">
        <v>52</v>
      </c>
      <c r="G25" s="101">
        <f>G23</f>
        <v>32.918973040029911</v>
      </c>
      <c r="H25" s="181" t="s">
        <v>129</v>
      </c>
      <c r="I25" s="69" t="s">
        <v>130</v>
      </c>
      <c r="J25" s="169" t="s">
        <v>112</v>
      </c>
      <c r="K25" s="170" t="s">
        <v>118</v>
      </c>
      <c r="L25" s="172">
        <f>B21</f>
        <v>1.2600000000000002</v>
      </c>
      <c r="M25" s="171" t="s">
        <v>119</v>
      </c>
      <c r="Q25" s="178" t="s">
        <v>206</v>
      </c>
      <c r="R25" s="230" t="s">
        <v>118</v>
      </c>
      <c r="S25" s="59">
        <f>S13</f>
        <v>0</v>
      </c>
      <c r="T25" s="230" t="s">
        <v>119</v>
      </c>
      <c r="U25" s="178" t="s">
        <v>206</v>
      </c>
      <c r="V25" s="230" t="s">
        <v>118</v>
      </c>
      <c r="W25" s="59">
        <f>W13</f>
        <v>0</v>
      </c>
      <c r="X25" s="230" t="s">
        <v>119</v>
      </c>
    </row>
    <row r="26" spans="1:24" x14ac:dyDescent="0.25">
      <c r="A26" s="88" t="s">
        <v>55</v>
      </c>
      <c r="B26" s="160"/>
      <c r="C26" s="161"/>
      <c r="D26" s="162"/>
      <c r="E26" s="96">
        <f t="shared" si="0"/>
        <v>0</v>
      </c>
      <c r="H26" s="181" t="s">
        <v>129</v>
      </c>
      <c r="I26" s="69" t="s">
        <v>130</v>
      </c>
      <c r="J26" s="169" t="s">
        <v>113</v>
      </c>
      <c r="K26" s="170" t="s">
        <v>118</v>
      </c>
      <c r="L26" s="172">
        <f>B27</f>
        <v>58.355000000000004</v>
      </c>
      <c r="M26" s="171" t="s">
        <v>119</v>
      </c>
      <c r="Q26" s="178" t="s">
        <v>207</v>
      </c>
      <c r="R26" s="230" t="s">
        <v>118</v>
      </c>
      <c r="S26" s="59">
        <f t="shared" ref="S26:S32" si="3">S14</f>
        <v>0.90600000000000014</v>
      </c>
      <c r="T26" s="230" t="s">
        <v>119</v>
      </c>
      <c r="U26" s="178" t="s">
        <v>207</v>
      </c>
      <c r="V26" s="230" t="s">
        <v>118</v>
      </c>
      <c r="W26" s="59">
        <f t="shared" ref="W26:W32" si="4">W14</f>
        <v>0.90600000000000014</v>
      </c>
      <c r="X26" s="230" t="s">
        <v>119</v>
      </c>
    </row>
    <row r="27" spans="1:24" x14ac:dyDescent="0.25">
      <c r="A27" s="103" t="s">
        <v>56</v>
      </c>
      <c r="B27" s="153">
        <f>E8*F6+F7*F9</f>
        <v>58.355000000000004</v>
      </c>
      <c r="C27" s="158" t="s">
        <v>59</v>
      </c>
      <c r="D27" s="159" t="s">
        <v>59</v>
      </c>
      <c r="E27" s="104">
        <f>SUM(B27:D27)</f>
        <v>58.355000000000004</v>
      </c>
      <c r="H27" s="181" t="s">
        <v>129</v>
      </c>
      <c r="I27" s="182" t="s">
        <v>133</v>
      </c>
      <c r="J27" s="169" t="s">
        <v>114</v>
      </c>
      <c r="K27" s="170" t="s">
        <v>118</v>
      </c>
      <c r="L27" s="172">
        <f>B28</f>
        <v>14.799999999999999</v>
      </c>
      <c r="M27" s="171" t="s">
        <v>119</v>
      </c>
      <c r="Q27" s="178" t="s">
        <v>208</v>
      </c>
      <c r="R27" s="230" t="s">
        <v>118</v>
      </c>
      <c r="S27" s="59">
        <f t="shared" si="3"/>
        <v>0.43487999999999999</v>
      </c>
      <c r="T27" s="230" t="s">
        <v>119</v>
      </c>
      <c r="U27" s="178" t="s">
        <v>208</v>
      </c>
      <c r="V27" s="230" t="s">
        <v>118</v>
      </c>
      <c r="W27" s="59">
        <f t="shared" si="4"/>
        <v>0.43487999999999999</v>
      </c>
      <c r="X27" s="230" t="s">
        <v>119</v>
      </c>
    </row>
    <row r="28" spans="1:24" x14ac:dyDescent="0.25">
      <c r="A28" s="105" t="s">
        <v>57</v>
      </c>
      <c r="B28" s="153">
        <f>E8*2+F7</f>
        <v>14.799999999999999</v>
      </c>
      <c r="C28" s="129"/>
      <c r="D28" s="131"/>
      <c r="E28" s="104">
        <f>SUM(B28:D28)</f>
        <v>14.799999999999999</v>
      </c>
      <c r="H28" s="181" t="s">
        <v>129</v>
      </c>
      <c r="I28" s="69" t="s">
        <v>130</v>
      </c>
      <c r="J28" s="169" t="s">
        <v>115</v>
      </c>
      <c r="K28" s="170" t="s">
        <v>118</v>
      </c>
      <c r="L28" s="172">
        <f>B31</f>
        <v>23.07</v>
      </c>
      <c r="M28" s="171" t="s">
        <v>119</v>
      </c>
      <c r="Q28" s="178" t="s">
        <v>209</v>
      </c>
      <c r="R28" s="230" t="s">
        <v>118</v>
      </c>
      <c r="S28" s="59">
        <f t="shared" si="3"/>
        <v>0</v>
      </c>
      <c r="T28" s="230" t="s">
        <v>119</v>
      </c>
      <c r="U28" s="178" t="s">
        <v>209</v>
      </c>
      <c r="V28" s="230" t="s">
        <v>118</v>
      </c>
      <c r="W28" s="59">
        <f t="shared" si="4"/>
        <v>0</v>
      </c>
      <c r="X28" s="230" t="s">
        <v>119</v>
      </c>
    </row>
    <row r="29" spans="1:24" x14ac:dyDescent="0.25">
      <c r="A29" s="79" t="s">
        <v>58</v>
      </c>
      <c r="B29" s="157">
        <f>E8*F6</f>
        <v>52.765000000000001</v>
      </c>
      <c r="C29" s="129"/>
      <c r="D29" s="131">
        <f>(E5*F6/E4)*E8</f>
        <v>30.151428571428575</v>
      </c>
      <c r="H29" s="181" t="s">
        <v>129</v>
      </c>
      <c r="I29" s="69" t="s">
        <v>130</v>
      </c>
      <c r="J29" s="169" t="s">
        <v>117</v>
      </c>
      <c r="K29" s="170" t="s">
        <v>118</v>
      </c>
      <c r="L29" s="172">
        <f>B24</f>
        <v>5.59</v>
      </c>
      <c r="M29" s="171" t="s">
        <v>119</v>
      </c>
      <c r="Q29" s="178" t="s">
        <v>210</v>
      </c>
      <c r="R29" s="230" t="s">
        <v>118</v>
      </c>
      <c r="S29" s="59">
        <f t="shared" si="3"/>
        <v>0</v>
      </c>
      <c r="T29" s="230" t="s">
        <v>119</v>
      </c>
      <c r="U29" s="178" t="s">
        <v>210</v>
      </c>
      <c r="V29" s="230" t="s">
        <v>118</v>
      </c>
      <c r="W29" s="59">
        <f t="shared" si="4"/>
        <v>0</v>
      </c>
      <c r="X29" s="230" t="s">
        <v>119</v>
      </c>
    </row>
    <row r="30" spans="1:24" ht="15.75" thickBot="1" x14ac:dyDescent="0.3">
      <c r="A30" s="79" t="s">
        <v>82</v>
      </c>
      <c r="B30" s="157"/>
      <c r="C30" s="129">
        <f>B29</f>
        <v>52.765000000000001</v>
      </c>
      <c r="D30" s="131"/>
      <c r="H30" s="183" t="s">
        <v>129</v>
      </c>
      <c r="I30" s="184" t="s">
        <v>130</v>
      </c>
      <c r="J30" s="174" t="s">
        <v>116</v>
      </c>
      <c r="K30" s="175" t="s">
        <v>118</v>
      </c>
      <c r="L30" s="177">
        <f>B29</f>
        <v>52.765000000000001</v>
      </c>
      <c r="M30" s="176" t="s">
        <v>119</v>
      </c>
      <c r="Q30" s="178" t="s">
        <v>211</v>
      </c>
      <c r="R30" s="230" t="s">
        <v>118</v>
      </c>
      <c r="S30" s="59">
        <f t="shared" si="3"/>
        <v>0.90600000000000014</v>
      </c>
      <c r="T30" s="230" t="s">
        <v>119</v>
      </c>
      <c r="U30" s="178" t="s">
        <v>211</v>
      </c>
      <c r="V30" s="230" t="s">
        <v>118</v>
      </c>
      <c r="W30" s="59">
        <f t="shared" si="4"/>
        <v>0.90600000000000014</v>
      </c>
      <c r="X30" s="230" t="s">
        <v>119</v>
      </c>
    </row>
    <row r="31" spans="1:24" x14ac:dyDescent="0.25">
      <c r="A31" s="79" t="s">
        <v>60</v>
      </c>
      <c r="B31" s="160">
        <f>(E2-0.25)*(F6-1.85+2*1.9)-2*0.9*2.2</f>
        <v>23.07</v>
      </c>
      <c r="C31" s="161">
        <f>(E3-0.25)*(F6+E8)*2-6*0.9*2.2</f>
        <v>63.344999999999992</v>
      </c>
      <c r="D31" s="162">
        <v>0</v>
      </c>
      <c r="H31" s="178"/>
      <c r="Q31" s="178" t="s">
        <v>212</v>
      </c>
      <c r="R31" s="230" t="s">
        <v>118</v>
      </c>
      <c r="S31" s="59">
        <f t="shared" si="3"/>
        <v>0.43487999999999999</v>
      </c>
      <c r="T31" s="230" t="s">
        <v>119</v>
      </c>
      <c r="U31" s="178" t="s">
        <v>212</v>
      </c>
      <c r="V31" s="230" t="s">
        <v>118</v>
      </c>
      <c r="W31" s="59">
        <f t="shared" si="4"/>
        <v>0.43487999999999999</v>
      </c>
      <c r="X31" s="230" t="s">
        <v>119</v>
      </c>
    </row>
    <row r="32" spans="1:24" x14ac:dyDescent="0.25">
      <c r="H32" s="178"/>
      <c r="Q32" s="178" t="s">
        <v>213</v>
      </c>
      <c r="R32" s="230" t="s">
        <v>118</v>
      </c>
      <c r="S32" s="59">
        <f t="shared" si="3"/>
        <v>0</v>
      </c>
      <c r="T32" s="230" t="s">
        <v>119</v>
      </c>
      <c r="U32" s="178" t="s">
        <v>213</v>
      </c>
      <c r="V32" s="230" t="s">
        <v>118</v>
      </c>
      <c r="W32" s="59">
        <f t="shared" si="4"/>
        <v>0</v>
      </c>
      <c r="X32" s="230" t="s">
        <v>119</v>
      </c>
    </row>
    <row r="33" spans="1:24" x14ac:dyDescent="0.25">
      <c r="Q33"/>
      <c r="R33" s="231"/>
      <c r="T33" s="230"/>
      <c r="U33"/>
      <c r="V33" s="231"/>
      <c r="X33" s="230"/>
    </row>
    <row r="34" spans="1:24" ht="15.75" thickBot="1" x14ac:dyDescent="0.3">
      <c r="C34" s="109" t="s">
        <v>75</v>
      </c>
      <c r="D34" s="110" t="s">
        <v>61</v>
      </c>
      <c r="Q34" s="233" t="s">
        <v>163</v>
      </c>
      <c r="R34" s="231" t="s">
        <v>118</v>
      </c>
      <c r="S34" s="236">
        <f>$L$17*1.204*1012*5</f>
        <v>843950.39189999981</v>
      </c>
      <c r="T34" s="230" t="s">
        <v>119</v>
      </c>
      <c r="U34" s="233" t="s">
        <v>163</v>
      </c>
      <c r="V34" s="231" t="s">
        <v>118</v>
      </c>
      <c r="W34" s="236">
        <f>$L$17*1.204*1012*5</f>
        <v>843950.39189999981</v>
      </c>
      <c r="X34" s="230" t="s">
        <v>119</v>
      </c>
    </row>
    <row r="35" spans="1:24" x14ac:dyDescent="0.25">
      <c r="A35" s="111" t="s">
        <v>62</v>
      </c>
      <c r="B35" s="112">
        <f>SUM(B19:D21,B11:D11,B13:D13)</f>
        <v>77.039999999999992</v>
      </c>
      <c r="C35" s="141" t="e">
        <f>SUM(#REF!,#REF!)</f>
        <v>#REF!</v>
      </c>
      <c r="D35" s="113" t="e">
        <f>ABS((C35-B35)/C35*100)</f>
        <v>#REF!</v>
      </c>
      <c r="Q35" s="233" t="s">
        <v>164</v>
      </c>
      <c r="R35" s="231" t="s">
        <v>118</v>
      </c>
      <c r="S35" s="236">
        <f>SUM($L$18,$L$20)*SUM(S1_EPB2010!$I$7:$I$8)</f>
        <v>3262173.6</v>
      </c>
      <c r="T35" s="230" t="s">
        <v>119</v>
      </c>
      <c r="U35" s="233" t="s">
        <v>164</v>
      </c>
      <c r="V35" s="231" t="s">
        <v>118</v>
      </c>
      <c r="W35" s="236">
        <f>SUM($L$18:$L$20)*SUM('S2_1946-1970'!$I$6:$I$7)</f>
        <v>13928787.6</v>
      </c>
      <c r="X35" s="230" t="s">
        <v>119</v>
      </c>
    </row>
    <row r="36" spans="1:24" x14ac:dyDescent="0.25">
      <c r="A36" s="114" t="s">
        <v>70</v>
      </c>
      <c r="B36" s="117">
        <f>SUM(B14:D14,B12:D12)</f>
        <v>156.05999999999997</v>
      </c>
      <c r="C36" s="141" t="e">
        <f>SUM(#REF!,#REF!)</f>
        <v>#REF!</v>
      </c>
      <c r="D36" s="116" t="e">
        <f>ABS((C36-B36)/C36*100)</f>
        <v>#REF!</v>
      </c>
      <c r="Q36" s="233" t="s">
        <v>165</v>
      </c>
      <c r="R36" s="231" t="s">
        <v>118</v>
      </c>
      <c r="S36" s="236">
        <f>SUM($L$19,$L$21,$L$28)*SUM(S1_EPB2010!$I$33:$I$35)</f>
        <v>14825126.399999999</v>
      </c>
      <c r="T36" s="230" t="s">
        <v>119</v>
      </c>
      <c r="U36" s="233" t="s">
        <v>165</v>
      </c>
      <c r="V36" s="231" t="s">
        <v>118</v>
      </c>
      <c r="W36" s="236">
        <f>SUM($L$19,$L$21,$L$28)*SUM('S2_1946-1970'!$I$29:$I$31)</f>
        <v>19722712.799999997</v>
      </c>
      <c r="X36" s="230" t="s">
        <v>119</v>
      </c>
    </row>
    <row r="37" spans="1:24" x14ac:dyDescent="0.25">
      <c r="A37" s="114" t="s">
        <v>63</v>
      </c>
      <c r="B37" s="117">
        <f>SUM(B23:D26)</f>
        <v>62.447384808787582</v>
      </c>
      <c r="C37" s="141" t="e">
        <f>SUM(#REF!)</f>
        <v>#REF!</v>
      </c>
      <c r="D37" s="116" t="e">
        <f>ABS((C37-B37)/C37*100)</f>
        <v>#REF!</v>
      </c>
      <c r="Q37" s="233" t="s">
        <v>166</v>
      </c>
      <c r="R37" s="231" t="s">
        <v>118</v>
      </c>
      <c r="S37" s="235">
        <f>SUM($L$26)*SUM(S1_EPB2010!$I$26:$I$27)</f>
        <v>5370994.2000000002</v>
      </c>
      <c r="T37" s="230" t="s">
        <v>119</v>
      </c>
      <c r="U37" s="233" t="s">
        <v>166</v>
      </c>
      <c r="V37" s="231" t="s">
        <v>118</v>
      </c>
      <c r="W37" s="235">
        <f>SUM($L$26)*SUM('S2_1946-1970'!$I$23:$I$24)</f>
        <v>4818955.9000000004</v>
      </c>
      <c r="X37" s="230" t="s">
        <v>119</v>
      </c>
    </row>
    <row r="38" spans="1:24" x14ac:dyDescent="0.25">
      <c r="A38" s="114" t="s">
        <v>64</v>
      </c>
      <c r="B38" s="117">
        <f>SUM(B27:D27)</f>
        <v>58.355000000000004</v>
      </c>
      <c r="C38" s="93" t="e">
        <f>SUM(#REF!)</f>
        <v>#REF!</v>
      </c>
      <c r="D38" s="116" t="e">
        <f>ABS((C38-B38)/C38*100)</f>
        <v>#REF!</v>
      </c>
      <c r="Q38"/>
      <c r="R38" s="231"/>
      <c r="T38" s="230"/>
      <c r="U38"/>
      <c r="V38" s="231"/>
      <c r="X38" s="230"/>
    </row>
    <row r="39" spans="1:24" x14ac:dyDescent="0.25">
      <c r="A39" s="114" t="s">
        <v>65</v>
      </c>
      <c r="B39" s="117">
        <f>SUM(B31:D31)</f>
        <v>86.414999999999992</v>
      </c>
      <c r="C39" s="118" t="e">
        <f>SUM(#REF!)</f>
        <v>#REF!</v>
      </c>
      <c r="D39" s="119" t="e">
        <f>ABS((C39-B39)/C39*100)</f>
        <v>#REF!</v>
      </c>
      <c r="E39" s="120"/>
      <c r="Q39" s="233" t="s">
        <v>167</v>
      </c>
      <c r="R39" s="231" t="s">
        <v>118</v>
      </c>
      <c r="S39" s="237">
        <v>0.05</v>
      </c>
      <c r="T39" s="230" t="s">
        <v>119</v>
      </c>
      <c r="U39" s="233" t="s">
        <v>167</v>
      </c>
      <c r="V39" s="231" t="s">
        <v>118</v>
      </c>
      <c r="W39" s="237">
        <v>0.05</v>
      </c>
      <c r="X39" s="230" t="s">
        <v>119</v>
      </c>
    </row>
    <row r="40" spans="1:24" x14ac:dyDescent="0.25">
      <c r="A40" s="114" t="s">
        <v>66</v>
      </c>
      <c r="B40" s="117">
        <f>SUM(B29:D29)</f>
        <v>82.916428571428582</v>
      </c>
      <c r="C40" s="93"/>
      <c r="D40" s="116"/>
      <c r="Q40" s="233" t="s">
        <v>168</v>
      </c>
      <c r="R40" s="231" t="s">
        <v>118</v>
      </c>
      <c r="S40" s="237">
        <v>0.1</v>
      </c>
      <c r="T40" s="230" t="s">
        <v>119</v>
      </c>
      <c r="U40" s="233" t="s">
        <v>168</v>
      </c>
      <c r="V40" s="231" t="s">
        <v>118</v>
      </c>
      <c r="W40" s="237">
        <v>0.1</v>
      </c>
      <c r="X40" s="230" t="s">
        <v>119</v>
      </c>
    </row>
    <row r="41" spans="1:24" ht="15.75" thickBot="1" x14ac:dyDescent="0.3">
      <c r="A41" s="121" t="s">
        <v>67</v>
      </c>
      <c r="B41" s="122">
        <f>SUM(B15:D18)</f>
        <v>22.8</v>
      </c>
      <c r="C41" s="93" t="e">
        <f>SUM(#REF!)</f>
        <v>#REF!</v>
      </c>
      <c r="D41" s="116" t="e">
        <f>ABS((C41-B41)/C41*100)</f>
        <v>#REF!</v>
      </c>
      <c r="Q41" s="233" t="s">
        <v>169</v>
      </c>
      <c r="R41" s="231" t="s">
        <v>118</v>
      </c>
      <c r="S41" s="237">
        <v>0.7</v>
      </c>
      <c r="T41" s="230" t="s">
        <v>119</v>
      </c>
      <c r="U41" s="233" t="s">
        <v>169</v>
      </c>
      <c r="V41" s="231" t="s">
        <v>118</v>
      </c>
      <c r="W41" s="237">
        <v>0.7</v>
      </c>
      <c r="X41" s="230" t="s">
        <v>119</v>
      </c>
    </row>
    <row r="42" spans="1:24" ht="15.75" thickBot="1" x14ac:dyDescent="0.3">
      <c r="C42" s="93"/>
      <c r="D42" s="116"/>
      <c r="Q42" s="233" t="s">
        <v>170</v>
      </c>
      <c r="R42" s="231" t="s">
        <v>118</v>
      </c>
      <c r="S42" s="237">
        <v>0.05</v>
      </c>
      <c r="T42" s="230" t="s">
        <v>119</v>
      </c>
      <c r="U42" s="233" t="s">
        <v>170</v>
      </c>
      <c r="V42" s="231" t="s">
        <v>118</v>
      </c>
      <c r="W42" s="237">
        <v>0.05</v>
      </c>
      <c r="X42" s="230" t="s">
        <v>119</v>
      </c>
    </row>
    <row r="43" spans="1:24" x14ac:dyDescent="0.25">
      <c r="A43" s="111" t="s">
        <v>32</v>
      </c>
      <c r="B43" s="112">
        <f>B6</f>
        <v>183.24642857142857</v>
      </c>
      <c r="C43" s="93" t="e">
        <f>SUM(#REF!)</f>
        <v>#REF!</v>
      </c>
      <c r="D43" s="116" t="e">
        <f>ABS((C43-B43)/C43*100)</f>
        <v>#REF!</v>
      </c>
      <c r="Q43"/>
      <c r="R43" s="231"/>
      <c r="T43" s="230"/>
      <c r="U43"/>
      <c r="V43" s="231"/>
      <c r="X43" s="230"/>
    </row>
    <row r="44" spans="1:24" ht="15.75" thickBot="1" x14ac:dyDescent="0.3">
      <c r="A44" s="121" t="s">
        <v>33</v>
      </c>
      <c r="B44" s="122">
        <f>C6</f>
        <v>401.50387499999994</v>
      </c>
      <c r="C44" s="95" t="e">
        <f>SUM(#REF!)</f>
        <v>#REF!</v>
      </c>
      <c r="D44" s="123" t="e">
        <f>ABS((C44-B44)/C44*100)</f>
        <v>#REF!</v>
      </c>
      <c r="Q44" s="233" t="s">
        <v>171</v>
      </c>
      <c r="R44" s="231" t="s">
        <v>118</v>
      </c>
      <c r="S44" s="59">
        <f>SUM($L$20,$L$22)*(1/(1/6+SUM(S1_EPB2010!$H$7:$H$8)))</f>
        <v>34.53603603603603</v>
      </c>
      <c r="T44" s="230" t="s">
        <v>119</v>
      </c>
      <c r="U44" s="233" t="s">
        <v>171</v>
      </c>
      <c r="V44" s="231" t="s">
        <v>118</v>
      </c>
      <c r="W44" s="59">
        <f>SUM($L$20,$L$22)*(1/(1/6+SUM('S2_1946-1970'!$H$6:$H$7)))</f>
        <v>57.138888888888886</v>
      </c>
      <c r="X44" s="230" t="s">
        <v>119</v>
      </c>
    </row>
    <row r="45" spans="1:24" x14ac:dyDescent="0.25">
      <c r="C45" s="59" t="s">
        <v>68</v>
      </c>
      <c r="D45" s="124"/>
      <c r="Q45" s="233" t="s">
        <v>172</v>
      </c>
      <c r="R45" s="231" t="s">
        <v>118</v>
      </c>
      <c r="S45" s="59">
        <f>$L$26*(1/(1/3+SUM(S1_EPB2010!$H$26:$H$27)))</f>
        <v>130.36755319148938</v>
      </c>
      <c r="T45" s="230" t="s">
        <v>119</v>
      </c>
      <c r="U45" s="233" t="s">
        <v>172</v>
      </c>
      <c r="V45" s="231" t="s">
        <v>118</v>
      </c>
      <c r="W45" s="59">
        <f>$L$26*(1/(1/3+SUM('S2_1946-1970'!$H$37:$H$38)))</f>
        <v>120.49008097165994</v>
      </c>
      <c r="X45" s="230" t="s">
        <v>119</v>
      </c>
    </row>
    <row r="46" spans="1:24" x14ac:dyDescent="0.25">
      <c r="A46" s="125"/>
      <c r="B46" s="104"/>
      <c r="D46" s="104"/>
      <c r="E46" s="130"/>
      <c r="Q46" s="233" t="s">
        <v>173</v>
      </c>
      <c r="R46" s="231" t="s">
        <v>118</v>
      </c>
      <c r="S46" s="59">
        <f>($L$19+$L$21)*1/(1/6+SUM(S1_EPB2010!$H$33:$H$35)/2)+$L$28*1/(2*SUM(S1_EPB2010!$H$33:$H$35)/4+1/8)</f>
        <v>340.21335536279776</v>
      </c>
      <c r="T46" s="230" t="s">
        <v>119</v>
      </c>
      <c r="U46" s="233" t="s">
        <v>173</v>
      </c>
      <c r="V46" s="231" t="s">
        <v>118</v>
      </c>
      <c r="W46" s="59">
        <f>($L$21+$L$19)*1/(1/6+SUM('S2_1946-1970'!$H$29:$H$31)/2)+$L$28*1/(2*SUM('S2_1946-1970'!$H$29:$H$31)/4+1/8)</f>
        <v>315.28482993997886</v>
      </c>
      <c r="X46" s="230" t="s">
        <v>119</v>
      </c>
    </row>
    <row r="47" spans="1:24" x14ac:dyDescent="0.25">
      <c r="A47" s="127"/>
      <c r="B47" s="104"/>
      <c r="E47" s="104"/>
      <c r="G47" s="104"/>
      <c r="H47" s="104"/>
      <c r="I47" s="104"/>
      <c r="Q47" s="233" t="s">
        <v>174</v>
      </c>
      <c r="R47" s="231" t="s">
        <v>118</v>
      </c>
      <c r="S47" s="59">
        <f>$L$17*2/20*1.204*1012/3600+SUM($L$24:$L$25)*S1_EPB2010!$H$44+S1_EPB2010!$H$54*SUM($S$2:$S$5)</f>
        <v>28.090288274589518</v>
      </c>
      <c r="T47" s="230" t="s">
        <v>119</v>
      </c>
      <c r="U47" s="233" t="s">
        <v>174</v>
      </c>
      <c r="V47" s="231" t="s">
        <v>118</v>
      </c>
      <c r="W47" s="59">
        <f>$L$17*10/20*1.204*1012/3600+($L$24+$L$25)*(1/(1/8+'S2_1946-1970'!H40))+'S2_1946-1970'!H50*SUM($S$2:$S$5)</f>
        <v>38.121083983769289</v>
      </c>
      <c r="X47" s="230" t="s">
        <v>119</v>
      </c>
    </row>
    <row r="48" spans="1:24" x14ac:dyDescent="0.25">
      <c r="B48" s="104"/>
      <c r="E48" s="104"/>
      <c r="G48" s="104"/>
      <c r="H48" s="104"/>
      <c r="I48" s="104"/>
      <c r="Q48" s="233" t="s">
        <v>175</v>
      </c>
      <c r="R48" s="231" t="s">
        <v>118</v>
      </c>
      <c r="S48" s="230">
        <f>SUM($L$20,$L$22)*(1/(1/23+SUM(S1_EPB2010!$H$4:$H$6)))</f>
        <v>9.4394195341908205</v>
      </c>
      <c r="T48" s="230" t="s">
        <v>119</v>
      </c>
      <c r="U48" s="233" t="s">
        <v>175</v>
      </c>
      <c r="V48" s="231" t="s">
        <v>118</v>
      </c>
      <c r="W48" s="230">
        <f>SUM($L$20+$L$22)*(1/(1/23+SUM('S2_1946-1970'!$H$4:$H$5)))</f>
        <v>63.131838804376848</v>
      </c>
      <c r="X48" s="230" t="s">
        <v>119</v>
      </c>
    </row>
    <row r="49" spans="1:24" x14ac:dyDescent="0.25">
      <c r="A49" s="127"/>
      <c r="B49" s="139"/>
      <c r="Q49" s="233" t="s">
        <v>176</v>
      </c>
      <c r="R49" s="231" t="s">
        <v>118</v>
      </c>
      <c r="S49" s="59">
        <f>$L$26*1/(SUM(S1_EPB2010!$H$28:$H$29))/2</f>
        <v>13.256592427616926</v>
      </c>
      <c r="T49" s="230" t="s">
        <v>119</v>
      </c>
      <c r="U49" s="233" t="s">
        <v>176</v>
      </c>
      <c r="V49" s="231" t="s">
        <v>118</v>
      </c>
      <c r="W49" s="59">
        <f>$L$26*1/(SUM('S2_1946-1970'!$H$25))/2</f>
        <v>413.34791666666672</v>
      </c>
      <c r="X49" s="230" t="s">
        <v>119</v>
      </c>
    </row>
    <row r="50" spans="1:24" x14ac:dyDescent="0.25">
      <c r="Q50"/>
      <c r="R50" s="231"/>
      <c r="T50" s="230"/>
      <c r="U50"/>
      <c r="V50" s="231"/>
      <c r="X50" s="230"/>
    </row>
    <row r="51" spans="1:24" x14ac:dyDescent="0.25">
      <c r="Q51" s="178" t="s">
        <v>214</v>
      </c>
      <c r="R51" s="230" t="s">
        <v>118</v>
      </c>
      <c r="S51" s="59">
        <f>S8*S1_EPB2010!$C$55*0.33*0.8</f>
        <v>0</v>
      </c>
      <c r="T51" s="230" t="s">
        <v>119</v>
      </c>
      <c r="U51" s="178" t="s">
        <v>214</v>
      </c>
      <c r="V51" s="230" t="s">
        <v>118</v>
      </c>
      <c r="W51" s="59">
        <f>W8*'S2_1946-1970'!$C$51*0.33*0.8</f>
        <v>0</v>
      </c>
      <c r="X51" s="230" t="s">
        <v>119</v>
      </c>
    </row>
    <row r="52" spans="1:24" x14ac:dyDescent="0.25">
      <c r="Q52" s="178" t="s">
        <v>215</v>
      </c>
      <c r="R52" s="230" t="s">
        <v>118</v>
      </c>
      <c r="S52" s="59">
        <f>S2*S1_EPB2010!$C$55*0.33*0.8</f>
        <v>1.1959200000000001</v>
      </c>
      <c r="T52" s="230" t="s">
        <v>119</v>
      </c>
      <c r="U52" s="178" t="s">
        <v>215</v>
      </c>
      <c r="V52" s="230" t="s">
        <v>118</v>
      </c>
      <c r="W52" s="59">
        <f>W2*'S2_1946-1970'!$C$51*0.33*0.8</f>
        <v>1.1959200000000001</v>
      </c>
      <c r="X52" s="230" t="s">
        <v>119</v>
      </c>
    </row>
    <row r="53" spans="1:24" x14ac:dyDescent="0.25">
      <c r="Q53" s="178" t="s">
        <v>216</v>
      </c>
      <c r="R53" s="230" t="s">
        <v>118</v>
      </c>
      <c r="S53" s="59">
        <f>S4*S1_EPB2010!$C$55*0.33*0.8</f>
        <v>0.57404160000000004</v>
      </c>
      <c r="T53" s="230" t="s">
        <v>119</v>
      </c>
      <c r="U53" s="178" t="s">
        <v>216</v>
      </c>
      <c r="V53" s="230" t="s">
        <v>118</v>
      </c>
      <c r="W53" s="59">
        <f>W4*'S2_1946-1970'!$C$51*0.33*0.8</f>
        <v>0.57404160000000004</v>
      </c>
      <c r="X53" s="230" t="s">
        <v>119</v>
      </c>
    </row>
    <row r="54" spans="1:24" x14ac:dyDescent="0.25">
      <c r="Q54" s="178" t="s">
        <v>217</v>
      </c>
      <c r="R54" s="230" t="s">
        <v>118</v>
      </c>
      <c r="S54" s="59">
        <f>S5*S1_EPB2010!$C$55*0.33*0.8</f>
        <v>0</v>
      </c>
      <c r="T54" s="230" t="s">
        <v>119</v>
      </c>
      <c r="U54" s="178" t="s">
        <v>217</v>
      </c>
      <c r="V54" s="230" t="s">
        <v>118</v>
      </c>
      <c r="W54" s="59">
        <f>W5*'S2_1946-1970'!$C$51*0.33*0.8</f>
        <v>0</v>
      </c>
      <c r="X54" s="230" t="s">
        <v>119</v>
      </c>
    </row>
    <row r="55" spans="1:24" x14ac:dyDescent="0.25">
      <c r="Q55" s="178" t="s">
        <v>218</v>
      </c>
      <c r="R55" s="230" t="s">
        <v>118</v>
      </c>
      <c r="S55" s="59">
        <f>S51</f>
        <v>0</v>
      </c>
      <c r="T55" s="230" t="s">
        <v>119</v>
      </c>
      <c r="U55" s="178" t="s">
        <v>218</v>
      </c>
      <c r="V55" s="230" t="s">
        <v>118</v>
      </c>
      <c r="W55" s="59">
        <f>W51</f>
        <v>0</v>
      </c>
      <c r="X55" s="230" t="s">
        <v>119</v>
      </c>
    </row>
    <row r="56" spans="1:24" x14ac:dyDescent="0.25">
      <c r="Q56" s="178" t="s">
        <v>219</v>
      </c>
      <c r="R56" s="230" t="s">
        <v>118</v>
      </c>
      <c r="S56" s="59">
        <f t="shared" ref="S56:S58" si="5">S52</f>
        <v>1.1959200000000001</v>
      </c>
      <c r="T56" s="230" t="s">
        <v>119</v>
      </c>
      <c r="U56" s="178" t="s">
        <v>219</v>
      </c>
      <c r="V56" s="230" t="s">
        <v>118</v>
      </c>
      <c r="W56" s="59">
        <f t="shared" ref="W56:W58" si="6">W52</f>
        <v>1.1959200000000001</v>
      </c>
      <c r="X56" s="230" t="s">
        <v>119</v>
      </c>
    </row>
    <row r="57" spans="1:24" x14ac:dyDescent="0.25">
      <c r="Q57" s="178" t="s">
        <v>220</v>
      </c>
      <c r="R57" s="230" t="s">
        <v>118</v>
      </c>
      <c r="S57" s="59">
        <f t="shared" si="5"/>
        <v>0.57404160000000004</v>
      </c>
      <c r="T57" s="230" t="s">
        <v>119</v>
      </c>
      <c r="U57" s="178" t="s">
        <v>220</v>
      </c>
      <c r="V57" s="230" t="s">
        <v>118</v>
      </c>
      <c r="W57" s="59">
        <f t="shared" si="6"/>
        <v>0.57404160000000004</v>
      </c>
      <c r="X57" s="230" t="s">
        <v>119</v>
      </c>
    </row>
    <row r="58" spans="1:24" x14ac:dyDescent="0.25">
      <c r="Q58" s="178" t="s">
        <v>221</v>
      </c>
      <c r="R58" s="230" t="s">
        <v>118</v>
      </c>
      <c r="S58" s="59">
        <f t="shared" si="5"/>
        <v>0</v>
      </c>
      <c r="T58" s="230" t="s">
        <v>119</v>
      </c>
      <c r="U58" s="178" t="s">
        <v>221</v>
      </c>
      <c r="V58" s="230" t="s">
        <v>118</v>
      </c>
      <c r="W58" s="59">
        <f t="shared" si="6"/>
        <v>0</v>
      </c>
      <c r="X58" s="230" t="s">
        <v>119</v>
      </c>
    </row>
    <row r="59" spans="1:24" x14ac:dyDescent="0.25">
      <c r="Q59" s="178" t="s">
        <v>222</v>
      </c>
      <c r="R59" s="230" t="s">
        <v>118</v>
      </c>
      <c r="S59" s="59">
        <v>0</v>
      </c>
      <c r="T59" s="230" t="s">
        <v>119</v>
      </c>
      <c r="U59" s="178" t="s">
        <v>222</v>
      </c>
      <c r="V59" s="230" t="s">
        <v>118</v>
      </c>
      <c r="W59" s="59">
        <v>0</v>
      </c>
      <c r="X59" s="230" t="s">
        <v>119</v>
      </c>
    </row>
    <row r="60" spans="1:24" x14ac:dyDescent="0.25">
      <c r="Q60" s="178" t="s">
        <v>223</v>
      </c>
      <c r="R60" s="230" t="s">
        <v>118</v>
      </c>
      <c r="S60" s="59">
        <v>0</v>
      </c>
      <c r="T60" s="230" t="s">
        <v>119</v>
      </c>
      <c r="U60" s="178" t="s">
        <v>223</v>
      </c>
      <c r="V60" s="230" t="s">
        <v>118</v>
      </c>
      <c r="W60" s="59">
        <v>0</v>
      </c>
      <c r="X60" s="230" t="s">
        <v>119</v>
      </c>
    </row>
    <row r="61" spans="1:24" x14ac:dyDescent="0.25">
      <c r="Q61" s="178" t="s">
        <v>224</v>
      </c>
      <c r="R61" s="230" t="s">
        <v>118</v>
      </c>
      <c r="S61" s="59">
        <v>0</v>
      </c>
      <c r="T61" s="230" t="s">
        <v>119</v>
      </c>
      <c r="U61" s="178" t="s">
        <v>224</v>
      </c>
      <c r="V61" s="230" t="s">
        <v>118</v>
      </c>
      <c r="W61" s="59">
        <v>0</v>
      </c>
      <c r="X61" s="230" t="s">
        <v>119</v>
      </c>
    </row>
    <row r="62" spans="1:24" x14ac:dyDescent="0.25">
      <c r="Q62" s="178" t="s">
        <v>225</v>
      </c>
      <c r="R62" s="230" t="s">
        <v>118</v>
      </c>
      <c r="S62" s="59">
        <v>0</v>
      </c>
      <c r="T62" s="230" t="s">
        <v>119</v>
      </c>
      <c r="U62" s="178" t="s">
        <v>225</v>
      </c>
      <c r="V62" s="230" t="s">
        <v>118</v>
      </c>
      <c r="W62" s="59">
        <v>0</v>
      </c>
      <c r="X62" s="230" t="s">
        <v>119</v>
      </c>
    </row>
    <row r="63" spans="1:24" x14ac:dyDescent="0.25">
      <c r="Q63" s="178" t="s">
        <v>226</v>
      </c>
      <c r="R63" s="230" t="s">
        <v>118</v>
      </c>
      <c r="S63" s="59">
        <f>S55</f>
        <v>0</v>
      </c>
      <c r="T63" s="230" t="s">
        <v>119</v>
      </c>
      <c r="U63" s="178" t="s">
        <v>226</v>
      </c>
      <c r="V63" s="230" t="s">
        <v>118</v>
      </c>
      <c r="W63" s="59">
        <f>W55</f>
        <v>0</v>
      </c>
      <c r="X63" s="230" t="s">
        <v>119</v>
      </c>
    </row>
    <row r="64" spans="1:24" x14ac:dyDescent="0.25">
      <c r="Q64" s="178" t="s">
        <v>227</v>
      </c>
      <c r="R64" s="230" t="s">
        <v>118</v>
      </c>
      <c r="S64" s="59">
        <f>S56</f>
        <v>1.1959200000000001</v>
      </c>
      <c r="T64" s="230" t="s">
        <v>119</v>
      </c>
      <c r="U64" s="178" t="s">
        <v>227</v>
      </c>
      <c r="V64" s="230" t="s">
        <v>118</v>
      </c>
      <c r="W64" s="59">
        <f>W56</f>
        <v>1.1959200000000001</v>
      </c>
      <c r="X64" s="230" t="s">
        <v>119</v>
      </c>
    </row>
    <row r="65" spans="17:24" x14ac:dyDescent="0.25">
      <c r="Q65" s="178" t="s">
        <v>228</v>
      </c>
      <c r="R65" s="230" t="s">
        <v>118</v>
      </c>
      <c r="S65" s="59">
        <f>S57</f>
        <v>0.57404160000000004</v>
      </c>
      <c r="T65" s="230" t="s">
        <v>119</v>
      </c>
      <c r="U65" s="178" t="s">
        <v>228</v>
      </c>
      <c r="V65" s="230" t="s">
        <v>118</v>
      </c>
      <c r="W65" s="59">
        <f>W57</f>
        <v>0.57404160000000004</v>
      </c>
      <c r="X65" s="230" t="s">
        <v>119</v>
      </c>
    </row>
    <row r="66" spans="17:24" x14ac:dyDescent="0.25">
      <c r="Q66" s="178" t="s">
        <v>229</v>
      </c>
      <c r="R66" s="230" t="s">
        <v>118</v>
      </c>
      <c r="S66" s="59">
        <f>S58</f>
        <v>0</v>
      </c>
      <c r="T66" s="230" t="s">
        <v>119</v>
      </c>
      <c r="U66" s="178" t="s">
        <v>229</v>
      </c>
      <c r="V66" s="230" t="s">
        <v>118</v>
      </c>
      <c r="W66" s="59">
        <f>W58</f>
        <v>0</v>
      </c>
      <c r="X66" s="230" t="s">
        <v>119</v>
      </c>
    </row>
    <row r="67" spans="17:24" x14ac:dyDescent="0.25">
      <c r="Q67"/>
      <c r="R67" s="231"/>
      <c r="T67" s="230"/>
      <c r="U67"/>
      <c r="V67" s="231"/>
      <c r="X67" s="230"/>
    </row>
    <row r="68" spans="17:24" x14ac:dyDescent="0.25">
      <c r="Q68" s="233" t="s">
        <v>177</v>
      </c>
      <c r="R68" s="231" t="s">
        <v>118</v>
      </c>
      <c r="S68" s="236">
        <f>($L$6+$L$2)*1.204*1012*5</f>
        <v>1602107.57553</v>
      </c>
      <c r="T68" s="230" t="s">
        <v>119</v>
      </c>
      <c r="U68" s="233" t="s">
        <v>177</v>
      </c>
      <c r="V68" s="231" t="s">
        <v>118</v>
      </c>
      <c r="W68" s="236">
        <f>($L$6+$L$2)*1.204*1012*5</f>
        <v>1602107.57553</v>
      </c>
      <c r="X68" s="230" t="s">
        <v>119</v>
      </c>
    </row>
    <row r="69" spans="17:24" x14ac:dyDescent="0.25">
      <c r="Q69" s="233" t="s">
        <v>178</v>
      </c>
      <c r="R69" s="231" t="s">
        <v>118</v>
      </c>
      <c r="S69" s="236">
        <f>SUM($L$7,$L$9)*SUM(S1_EPB2010!$I$7:$I$8)+SUM($L$3+$L$13)*SUM(S1_EPB2010!$I$15:$I$16)</f>
        <v>6377285.7405068344</v>
      </c>
      <c r="T69" s="230" t="s">
        <v>119</v>
      </c>
      <c r="U69" s="233" t="s">
        <v>178</v>
      </c>
      <c r="V69" s="231" t="s">
        <v>118</v>
      </c>
      <c r="W69" s="236">
        <f>SUM($L$9,$L$7)*SUM('S2_1946-1970'!$I$6:$I$7)+SUM($L$3+$L$13)*SUM('S2_1946-1970'!$I$13)</f>
        <v>11170756.38158397</v>
      </c>
      <c r="X69" s="230" t="s">
        <v>119</v>
      </c>
    </row>
    <row r="70" spans="17:24" x14ac:dyDescent="0.25">
      <c r="Q70" s="233" t="s">
        <v>179</v>
      </c>
      <c r="R70" s="231" t="s">
        <v>118</v>
      </c>
      <c r="S70" s="236">
        <f>SUM($L$7,$L$9,$L$4:$L$5,$L$14)*SUM(S1_EPB2010!$I$33:$I$35)+SUM($L$15+L16)*SUM(S1_EPB2010!$I$39:$I$42)</f>
        <v>64438976.785714284</v>
      </c>
      <c r="T70" s="230" t="s">
        <v>119</v>
      </c>
      <c r="U70" s="233" t="s">
        <v>179</v>
      </c>
      <c r="V70" s="231" t="s">
        <v>118</v>
      </c>
      <c r="W70" s="236">
        <f>SUM($L$7,$L$9,$L$4:$L$5,$L$14)*SUM('S2_1946-1970'!$I$29:$I$31)+($L$16+$L$15)*SUM('S2_1946-1970'!$I$35:$I$38)</f>
        <v>72538388.014285713</v>
      </c>
      <c r="X70" s="230" t="s">
        <v>119</v>
      </c>
    </row>
    <row r="71" spans="17:24" x14ac:dyDescent="0.25">
      <c r="Q71" s="233" t="s">
        <v>180</v>
      </c>
      <c r="R71" s="231" t="s">
        <v>118</v>
      </c>
      <c r="S71" s="59">
        <v>0.1</v>
      </c>
      <c r="T71" s="230" t="s">
        <v>119</v>
      </c>
      <c r="U71" s="233" t="s">
        <v>180</v>
      </c>
      <c r="V71" s="231" t="s">
        <v>118</v>
      </c>
      <c r="W71" s="59">
        <v>0.1</v>
      </c>
      <c r="X71" s="230" t="s">
        <v>119</v>
      </c>
    </row>
    <row r="72" spans="17:24" x14ac:dyDescent="0.25">
      <c r="Q72" s="233" t="s">
        <v>181</v>
      </c>
      <c r="R72" s="231" t="s">
        <v>118</v>
      </c>
      <c r="S72" s="59">
        <v>0.1</v>
      </c>
      <c r="T72" s="230" t="s">
        <v>119</v>
      </c>
      <c r="U72" s="233" t="s">
        <v>181</v>
      </c>
      <c r="V72" s="231" t="s">
        <v>118</v>
      </c>
      <c r="W72" s="59">
        <v>0.1</v>
      </c>
      <c r="X72" s="230" t="s">
        <v>119</v>
      </c>
    </row>
    <row r="73" spans="17:24" x14ac:dyDescent="0.25">
      <c r="Q73" s="233" t="s">
        <v>182</v>
      </c>
      <c r="R73" s="231" t="s">
        <v>118</v>
      </c>
      <c r="S73" s="59">
        <v>0.7</v>
      </c>
      <c r="T73" s="230" t="s">
        <v>119</v>
      </c>
      <c r="U73" s="233" t="s">
        <v>182</v>
      </c>
      <c r="V73" s="231" t="s">
        <v>118</v>
      </c>
      <c r="W73" s="59">
        <v>0.7</v>
      </c>
      <c r="X73" s="230" t="s">
        <v>119</v>
      </c>
    </row>
    <row r="74" spans="17:24" x14ac:dyDescent="0.25">
      <c r="Q74"/>
      <c r="R74" s="231"/>
      <c r="T74" s="230"/>
      <c r="U74"/>
      <c r="V74" s="231"/>
      <c r="X74" s="230"/>
    </row>
    <row r="75" spans="17:24" x14ac:dyDescent="0.25">
      <c r="Q75" s="233" t="s">
        <v>183</v>
      </c>
      <c r="R75" s="231" t="s">
        <v>118</v>
      </c>
      <c r="S75" s="59">
        <f>SUM($L$7,$L$9)*1/(1/6+SUM(S1_EPB2010!$H$7:$H$8))+SUM($L$3+$L$13)*1/(1/10+SUM(S1_EPB2010!$H$15:$H$16))</f>
        <v>174.71813953334583</v>
      </c>
      <c r="T75" s="230" t="s">
        <v>119</v>
      </c>
      <c r="U75" s="233" t="s">
        <v>183</v>
      </c>
      <c r="V75" s="231" t="s">
        <v>118</v>
      </c>
      <c r="W75" s="59">
        <f>SUM($L$7,$L$9)*1/(1/6+SUM('S2_1946-1970'!$I$6:$I$7))+SUM($L$3+L13)*1/(1/10+SUM('S2_1946-1970'!$H$13))</f>
        <v>213.21538863852496</v>
      </c>
      <c r="X75" s="230" t="s">
        <v>119</v>
      </c>
    </row>
    <row r="76" spans="17:24" x14ac:dyDescent="0.25">
      <c r="Q76" s="233" t="s">
        <v>184</v>
      </c>
      <c r="R76" s="231" t="s">
        <v>118</v>
      </c>
      <c r="S76" s="59">
        <f>$L$14*1/(1/8+SUM(S1_EPB2010!$H$33:$H$35)/4)+SUM($L$10,$L$8,L4:L5)*1/(1/6+SUM(S1_EPB2010!$H$33:$H$35)/2)+SUM($L$16,$L$15)*1/(1/3+SUM(S1_EPB2010!$H$39:$H$42)/2)</f>
        <v>972.06210221848551</v>
      </c>
      <c r="T76" s="230" t="s">
        <v>119</v>
      </c>
      <c r="U76" s="233" t="s">
        <v>184</v>
      </c>
      <c r="V76" s="231" t="s">
        <v>118</v>
      </c>
      <c r="W76" s="59">
        <f>$L$14*1/(1/8+SUM('S2_1946-1970'!$H$29:$H$31)/4)+SUM($L$10,$L4,$L$8,$L$5)*1/(1/6+SUM('S2_1946-1970'!$H$29:$H$31)/2)+SUM($L$16,$L$15)*1/(1/3+SUM('S2_1946-1970'!$H$35:$H$38)/2)</f>
        <v>901.87076427851616</v>
      </c>
      <c r="X76" s="230" t="s">
        <v>119</v>
      </c>
    </row>
    <row r="77" spans="17:24" x14ac:dyDescent="0.25">
      <c r="Q77" s="233" t="s">
        <v>185</v>
      </c>
      <c r="R77" s="231" t="s">
        <v>118</v>
      </c>
      <c r="S77" s="59">
        <f>($L$2+$L$6)*2/20*1.204*1012/3600+SUM($S$7:$S$10)*S1_EPB2010!$H$54</f>
        <v>30.685397641833333</v>
      </c>
      <c r="T77" s="230" t="s">
        <v>119</v>
      </c>
      <c r="U77" s="233" t="s">
        <v>185</v>
      </c>
      <c r="V77" s="231" t="s">
        <v>118</v>
      </c>
      <c r="W77" s="59">
        <f>($L$2+$L$6)*10/20*1.204*1012/3600+SUM($S$7:$S$10)*'S2_1946-1970'!$H$50</f>
        <v>66.287788209166663</v>
      </c>
      <c r="X77" s="230" t="s">
        <v>119</v>
      </c>
    </row>
    <row r="78" spans="17:24" x14ac:dyDescent="0.25">
      <c r="Q78" s="233" t="s">
        <v>186</v>
      </c>
      <c r="R78" s="231" t="s">
        <v>118</v>
      </c>
      <c r="S78" s="230">
        <f>SUM($L$10,$L$12)*1/(1/23+SUM(S1_EPB2010!$H$4:$H$6))+SUM($L$3+$L$13)*1/(1/23+SUM(S1_EPB2010!$H$12:$H$14))</f>
        <v>36.298643118331256</v>
      </c>
      <c r="T78" s="230" t="s">
        <v>119</v>
      </c>
      <c r="U78" s="233" t="s">
        <v>186</v>
      </c>
      <c r="V78" s="231" t="s">
        <v>118</v>
      </c>
      <c r="W78" s="230">
        <f>SUM($L$10,$L$12)*1/(1/23+SUM('S2_1946-1970'!$H$4:$H$5))+SUM($L$3+$L$13)*1/(1/23+SUM('S2_1946-1970'!$H$11:$H$12))</f>
        <v>309.41573926819802</v>
      </c>
      <c r="X78" s="230" t="s">
        <v>119</v>
      </c>
    </row>
    <row r="79" spans="17:24" x14ac:dyDescent="0.25">
      <c r="Q79"/>
      <c r="R79" s="231"/>
      <c r="T79" s="230"/>
      <c r="U79"/>
      <c r="V79" s="231"/>
      <c r="X79" s="230"/>
    </row>
    <row r="80" spans="17:24" x14ac:dyDescent="0.25">
      <c r="Q80" s="233" t="s">
        <v>187</v>
      </c>
      <c r="R80" s="231" t="s">
        <v>118</v>
      </c>
      <c r="S80" s="59">
        <f>$L$30*SUM(S1_EPB2010!$I$39:$I$42)/2</f>
        <v>13497814.65</v>
      </c>
      <c r="T80" s="230" t="s">
        <v>119</v>
      </c>
      <c r="U80" s="233" t="s">
        <v>187</v>
      </c>
      <c r="V80" s="231" t="s">
        <v>118</v>
      </c>
      <c r="W80" s="59">
        <f>$L$30*SUM('S2_1946-1970'!$I$35:$I$38)/2</f>
        <v>13760584.35</v>
      </c>
      <c r="X80" s="230" t="s">
        <v>119</v>
      </c>
    </row>
    <row r="81" spans="17:24" x14ac:dyDescent="0.25">
      <c r="Q81" s="233" t="s">
        <v>188</v>
      </c>
      <c r="R81" s="231" t="s">
        <v>118</v>
      </c>
      <c r="S81" s="59">
        <f>$S$80</f>
        <v>13497814.65</v>
      </c>
      <c r="T81" s="230" t="s">
        <v>119</v>
      </c>
      <c r="U81" s="233" t="s">
        <v>188</v>
      </c>
      <c r="V81" s="231" t="s">
        <v>118</v>
      </c>
      <c r="W81" s="59">
        <f>W80</f>
        <v>13760584.35</v>
      </c>
      <c r="X81" s="230" t="s">
        <v>119</v>
      </c>
    </row>
    <row r="82" spans="17:24" x14ac:dyDescent="0.25">
      <c r="Q82" s="233" t="s">
        <v>189</v>
      </c>
      <c r="R82" s="231" t="s">
        <v>118</v>
      </c>
      <c r="S82" s="59">
        <v>0.1</v>
      </c>
      <c r="T82" s="230" t="s">
        <v>119</v>
      </c>
      <c r="U82" s="233" t="s">
        <v>189</v>
      </c>
      <c r="V82" s="231" t="s">
        <v>118</v>
      </c>
      <c r="W82" s="59">
        <v>0.1</v>
      </c>
      <c r="X82" s="230" t="s">
        <v>119</v>
      </c>
    </row>
    <row r="83" spans="17:24" x14ac:dyDescent="0.25">
      <c r="Q83" s="233" t="s">
        <v>190</v>
      </c>
      <c r="R83" s="231" t="s">
        <v>118</v>
      </c>
      <c r="S83" s="59">
        <v>0.1</v>
      </c>
      <c r="T83" s="230" t="s">
        <v>119</v>
      </c>
      <c r="U83" s="233" t="s">
        <v>190</v>
      </c>
      <c r="V83" s="231" t="s">
        <v>118</v>
      </c>
      <c r="W83" s="59">
        <v>0.1</v>
      </c>
      <c r="X83" s="230" t="s">
        <v>119</v>
      </c>
    </row>
    <row r="84" spans="17:24" x14ac:dyDescent="0.25">
      <c r="Q84" s="233" t="s">
        <v>191</v>
      </c>
      <c r="R84" s="231" t="s">
        <v>118</v>
      </c>
      <c r="S84" s="59">
        <f>1/S1_EPB2010!$H$37*4*$L$30</f>
        <v>112.26973109243697</v>
      </c>
      <c r="T84" s="230" t="s">
        <v>119</v>
      </c>
      <c r="U84" s="233" t="s">
        <v>191</v>
      </c>
      <c r="V84" s="231" t="s">
        <v>118</v>
      </c>
      <c r="W84" s="59">
        <f>1/'S2_1946-1970'!$H$33*4*$L$30</f>
        <v>139.74103267973857</v>
      </c>
      <c r="X84" s="230" t="s">
        <v>119</v>
      </c>
    </row>
    <row r="85" spans="17:24" x14ac:dyDescent="0.25">
      <c r="Q85" s="233" t="s">
        <v>192</v>
      </c>
      <c r="R85" s="231" t="s">
        <v>118</v>
      </c>
      <c r="S85" s="59">
        <f>$S$84*2</f>
        <v>224.53946218487394</v>
      </c>
      <c r="T85" s="230" t="s">
        <v>119</v>
      </c>
      <c r="U85" s="233" t="s">
        <v>192</v>
      </c>
      <c r="V85" s="231" t="s">
        <v>118</v>
      </c>
      <c r="W85" s="59">
        <f>$S$84*2</f>
        <v>224.53946218487394</v>
      </c>
      <c r="X85" s="230" t="s">
        <v>119</v>
      </c>
    </row>
    <row r="86" spans="17:24" x14ac:dyDescent="0.25">
      <c r="Q86" s="233" t="s">
        <v>193</v>
      </c>
      <c r="R86" s="231" t="s">
        <v>118</v>
      </c>
      <c r="S86" s="59">
        <f>$S$84</f>
        <v>112.26973109243697</v>
      </c>
      <c r="T86" s="230" t="s">
        <v>119</v>
      </c>
      <c r="U86" s="233" t="s">
        <v>193</v>
      </c>
      <c r="V86" s="231" t="s">
        <v>118</v>
      </c>
      <c r="W86" s="59">
        <f>$S$84</f>
        <v>112.26973109243697</v>
      </c>
      <c r="X86" s="230" t="s">
        <v>119</v>
      </c>
    </row>
  </sheetData>
  <mergeCells count="2">
    <mergeCell ref="Q1:T1"/>
    <mergeCell ref="U1:X1"/>
  </mergeCells>
  <conditionalFormatting sqref="D35:D44">
    <cfRule type="iconSet" priority="1">
      <iconSet iconSet="3Symbols2" reverse="1">
        <cfvo type="percent" val="0"/>
        <cfvo type="num" val="5" gte="0"/>
        <cfvo type="num" val="10" gte="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S1_EPB2010</vt:lpstr>
      <vt:lpstr>S2_1946-1970</vt:lpstr>
      <vt:lpstr>D</vt:lpstr>
      <vt:lpstr>SD</vt:lpstr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bwf</dc:creator>
  <cp:lastModifiedBy>Glenn Reynders</cp:lastModifiedBy>
  <dcterms:created xsi:type="dcterms:W3CDTF">2014-04-25T14:46:28Z</dcterms:created>
  <dcterms:modified xsi:type="dcterms:W3CDTF">2014-11-19T10:52:48Z</dcterms:modified>
</cp:coreProperties>
</file>