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pivotCache/pivotCacheDefinition24.xml" ContentType="application/vnd.openxmlformats-officedocument.spreadsheetml.pivotCacheDefinition+xml"/>
  <Override PartName="/xl/pivotCache/pivotCacheRecords24.xml" ContentType="application/vnd.openxmlformats-officedocument.spreadsheetml.pivotCacheRecords+xml"/>
  <Override PartName="/xl/pivotCache/pivotCacheDefinition25.xml" ContentType="application/vnd.openxmlformats-officedocument.spreadsheetml.pivotCacheDefinition+xml"/>
  <Override PartName="/xl/pivotCache/pivotCacheRecords25.xml" ContentType="application/vnd.openxmlformats-officedocument.spreadsheetml.pivotCacheRecords+xml"/>
  <Override PartName="/xl/pivotCache/pivotCacheDefinition26.xml" ContentType="application/vnd.openxmlformats-officedocument.spreadsheetml.pivotCacheDefinition+xml"/>
  <Override PartName="/xl/pivotCache/pivotCacheRecords26.xml" ContentType="application/vnd.openxmlformats-officedocument.spreadsheetml.pivotCacheRecords+xml"/>
  <Override PartName="/xl/pivotCache/pivotCacheDefinition27.xml" ContentType="application/vnd.openxmlformats-officedocument.spreadsheetml.pivotCacheDefinition+xml"/>
  <Override PartName="/xl/pivotCache/pivotCacheRecords27.xml" ContentType="application/vnd.openxmlformats-officedocument.spreadsheetml.pivotCacheRecords+xml"/>
  <Override PartName="/xl/pivotCache/pivotCacheDefinition28.xml" ContentType="application/vnd.openxmlformats-officedocument.spreadsheetml.pivotCacheDefinition+xml"/>
  <Override PartName="/xl/pivotCache/pivotCacheRecords28.xml" ContentType="application/vnd.openxmlformats-officedocument.spreadsheetml.pivotCacheRecords+xml"/>
  <Override PartName="/xl/pivotCache/pivotCacheDefinition29.xml" ContentType="application/vnd.openxmlformats-officedocument.spreadsheetml.pivotCacheDefinition+xml"/>
  <Override PartName="/xl/pivotCache/pivotCacheRecords29.xml" ContentType="application/vnd.openxmlformats-officedocument.spreadsheetml.pivotCacheRecords+xml"/>
  <Override PartName="/xl/pivotCache/pivotCacheDefinition30.xml" ContentType="application/vnd.openxmlformats-officedocument.spreadsheetml.pivotCacheDefinition+xml"/>
  <Override PartName="/xl/pivotCache/pivotCacheRecords30.xml" ContentType="application/vnd.openxmlformats-officedocument.spreadsheetml.pivotCacheRecords+xml"/>
  <Override PartName="/xl/pivotCache/pivotCacheDefinition31.xml" ContentType="application/vnd.openxmlformats-officedocument.spreadsheetml.pivotCacheDefinition+xml"/>
  <Override PartName="/xl/pivotCache/pivotCacheRecords31.xml" ContentType="application/vnd.openxmlformats-officedocument.spreadsheetml.pivotCacheRecords+xml"/>
  <Override PartName="/xl/pivotCache/pivotCacheDefinition32.xml" ContentType="application/vnd.openxmlformats-officedocument.spreadsheetml.pivotCacheDefinition+xml"/>
  <Override PartName="/xl/pivotCache/pivotCacheRecords32.xml" ContentType="application/vnd.openxmlformats-officedocument.spreadsheetml.pivotCacheRecords+xml"/>
  <Override PartName="/xl/pivotCache/pivotCacheDefinition33.xml" ContentType="application/vnd.openxmlformats-officedocument.spreadsheetml.pivotCacheDefinition+xml"/>
  <Override PartName="/xl/pivotCache/pivotCacheRecords33.xml" ContentType="application/vnd.openxmlformats-officedocument.spreadsheetml.pivotCacheRecords+xml"/>
  <Override PartName="/xl/pivotCache/pivotCacheDefinition34.xml" ContentType="application/vnd.openxmlformats-officedocument.spreadsheetml.pivotCacheDefinition+xml"/>
  <Override PartName="/xl/pivotCache/pivotCacheRecords34.xml" ContentType="application/vnd.openxmlformats-officedocument.spreadsheetml.pivotCacheRecords+xml"/>
  <Override PartName="/xl/pivotCache/pivotCacheDefinition35.xml" ContentType="application/vnd.openxmlformats-officedocument.spreadsheetml.pivotCacheDefinition+xml"/>
  <Override PartName="/xl/pivotCache/pivotCacheRecords35.xml" ContentType="application/vnd.openxmlformats-officedocument.spreadsheetml.pivotCacheRecords+xml"/>
  <Override PartName="/xl/pivotCache/pivotCacheDefinition36.xml" ContentType="application/vnd.openxmlformats-officedocument.spreadsheetml.pivotCacheDefinition+xml"/>
  <Override PartName="/xl/pivotCache/pivotCacheRecords36.xml" ContentType="application/vnd.openxmlformats-officedocument.spreadsheetml.pivotCacheRecords+xml"/>
  <Override PartName="/xl/pivotCache/pivotCacheDefinition37.xml" ContentType="application/vnd.openxmlformats-officedocument.spreadsheetml.pivotCacheDefinition+xml"/>
  <Override PartName="/xl/pivotCache/pivotCacheRecords37.xml" ContentType="application/vnd.openxmlformats-officedocument.spreadsheetml.pivotCacheRecords+xml"/>
  <Override PartName="/xl/pivotCache/pivotCacheDefinition38.xml" ContentType="application/vnd.openxmlformats-officedocument.spreadsheetml.pivotCacheDefinition+xml"/>
  <Override PartName="/xl/pivotCache/pivotCacheRecords38.xml" ContentType="application/vnd.openxmlformats-officedocument.spreadsheetml.pivotCacheRecords+xml"/>
  <Override PartName="/xl/pivotCache/pivotCacheDefinition39.xml" ContentType="application/vnd.openxmlformats-officedocument.spreadsheetml.pivotCacheDefinition+xml"/>
  <Override PartName="/xl/pivotCache/pivotCacheRecords39.xml" ContentType="application/vnd.openxmlformats-officedocument.spreadsheetml.pivotCacheRecords+xml"/>
  <Override PartName="/xl/pivotCache/pivotCacheDefinition40.xml" ContentType="application/vnd.openxmlformats-officedocument.spreadsheetml.pivotCacheDefinition+xml"/>
  <Override PartName="/xl/pivotCache/pivotCacheRecords40.xml" ContentType="application/vnd.openxmlformats-officedocument.spreadsheetml.pivotCacheRecords+xml"/>
  <Override PartName="/xl/pivotCache/pivotCacheDefinition41.xml" ContentType="application/vnd.openxmlformats-officedocument.spreadsheetml.pivotCacheDefinition+xml"/>
  <Override PartName="/xl/pivotCache/pivotCacheRecords41.xml" ContentType="application/vnd.openxmlformats-officedocument.spreadsheetml.pivotCacheRecords+xml"/>
  <Override PartName="/xl/pivotCache/pivotCacheDefinition42.xml" ContentType="application/vnd.openxmlformats-officedocument.spreadsheetml.pivotCacheDefinition+xml"/>
  <Override PartName="/xl/pivotCache/pivotCacheRecords42.xml" ContentType="application/vnd.openxmlformats-officedocument.spreadsheetml.pivotCacheRecords+xml"/>
  <Override PartName="/xl/pivotCache/pivotCacheDefinition43.xml" ContentType="application/vnd.openxmlformats-officedocument.spreadsheetml.pivotCacheDefinition+xml"/>
  <Override PartName="/xl/pivotCache/pivotCacheRecords43.xml" ContentType="application/vnd.openxmlformats-officedocument.spreadsheetml.pivotCacheRecords+xml"/>
  <Override PartName="/xl/pivotCache/pivotCacheDefinition44.xml" ContentType="application/vnd.openxmlformats-officedocument.spreadsheetml.pivotCacheDefinition+xml"/>
  <Override PartName="/xl/pivotCache/pivotCacheRecords4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1.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3.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14.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6.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7.xml" ContentType="application/vnd.openxmlformats-officedocument.drawing+xml"/>
  <Override PartName="/xl/drawings/drawing18.xml" ContentType="application/vnd.openxmlformats-officedocument.drawing+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drawings/drawing20.xml" ContentType="application/vnd.openxmlformats-officedocument.drawing+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1.xml" ContentType="application/vnd.openxmlformats-officedocument.drawing+xml"/>
  <Override PartName="/xl/drawings/drawing22.xml" ContentType="application/vnd.openxmlformats-officedocument.drawing+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23.xml" ContentType="application/vnd.openxmlformats-officedocument.drawing+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24.xml" ContentType="application/vnd.openxmlformats-officedocument.drawing+xml"/>
  <Override PartName="/xl/tables/table46.xml" ContentType="application/vnd.openxmlformats-officedocument.spreadsheetml.table+xml"/>
  <Override PartName="/xl/queryTables/queryTable46.xml" ContentType="application/vnd.openxmlformats-officedocument.spreadsheetml.query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25.xml" ContentType="application/vnd.openxmlformats-officedocument.drawing+xml"/>
  <Override PartName="/xl/tables/table47.xml" ContentType="application/vnd.openxmlformats-officedocument.spreadsheetml.table+xml"/>
  <Override PartName="/xl/queryTables/queryTable47.xml" ContentType="application/vnd.openxmlformats-officedocument.spreadsheetml.query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26.xml" ContentType="application/vnd.openxmlformats-officedocument.drawing+xml"/>
  <Override PartName="/xl/tables/table48.xml" ContentType="application/vnd.openxmlformats-officedocument.spreadsheetml.table+xml"/>
  <Override PartName="/xl/queryTables/queryTable48.xml" ContentType="application/vnd.openxmlformats-officedocument.spreadsheetml.query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drawings/drawing27.xml" ContentType="application/vnd.openxmlformats-officedocument.drawing+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tables/table54.xml" ContentType="application/vnd.openxmlformats-officedocument.spreadsheetml.table+xml"/>
  <Override PartName="/xl/queryTables/queryTable54.xml" ContentType="application/vnd.openxmlformats-officedocument.spreadsheetml.query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drawings/drawing28.xml" ContentType="application/vnd.openxmlformats-officedocument.drawing+xml"/>
  <Override PartName="/xl/pivotTables/pivotTable45.xml" ContentType="application/vnd.openxmlformats-officedocument.spreadsheetml.pivotTable+xml"/>
  <Override PartName="/xl/drawings/drawing29.xml" ContentType="application/vnd.openxmlformats-officedocument.drawing+xml"/>
  <Override PartName="/xl/tables/table55.xml" ContentType="application/vnd.openxmlformats-officedocument.spreadsheetml.table+xml"/>
  <Override PartName="/xl/queryTables/queryTable55.xml" ContentType="application/vnd.openxmlformats-officedocument.spreadsheetml.queryTable+xml"/>
  <Override PartName="/xl/tables/table56.xml" ContentType="application/vnd.openxmlformats-officedocument.spreadsheetml.table+xml"/>
  <Override PartName="/xl/queryTables/queryTable56.xml" ContentType="application/vnd.openxmlformats-officedocument.spreadsheetml.queryTable+xml"/>
  <Override PartName="/xl/tables/table57.xml" ContentType="application/vnd.openxmlformats-officedocument.spreadsheetml.table+xml"/>
  <Override PartName="/xl/queryTables/queryTable57.xml" ContentType="application/vnd.openxmlformats-officedocument.spreadsheetml.queryTable+xml"/>
  <Override PartName="/xl/pivotTables/pivotTable46.xml" ContentType="application/vnd.openxmlformats-officedocument.spreadsheetml.pivotTable+xml"/>
  <Override PartName="/xl/drawings/drawing30.xml" ContentType="application/vnd.openxmlformats-officedocument.drawing+xml"/>
  <Override PartName="/xl/tables/table58.xml" ContentType="application/vnd.openxmlformats-officedocument.spreadsheetml.table+xml"/>
  <Override PartName="/xl/queryTables/queryTable58.xml" ContentType="application/vnd.openxmlformats-officedocument.spreadsheetml.queryTable+xml"/>
  <Override PartName="/xl/tables/table59.xml" ContentType="application/vnd.openxmlformats-officedocument.spreadsheetml.table+xml"/>
  <Override PartName="/xl/queryTables/queryTable59.xml" ContentType="application/vnd.openxmlformats-officedocument.spreadsheetml.queryTable+xml"/>
  <Override PartName="/xl/tables/table60.xml" ContentType="application/vnd.openxmlformats-officedocument.spreadsheetml.table+xml"/>
  <Override PartName="/xl/queryTables/queryTable60.xml" ContentType="application/vnd.openxmlformats-officedocument.spreadsheetml.queryTable+xml"/>
  <Override PartName="/xl/tables/table61.xml" ContentType="application/vnd.openxmlformats-officedocument.spreadsheetml.table+xml"/>
  <Override PartName="/xl/queryTables/queryTable61.xml" ContentType="application/vnd.openxmlformats-officedocument.spreadsheetml.queryTable+xml"/>
  <Override PartName="/xl/tables/table62.xml" ContentType="application/vnd.openxmlformats-officedocument.spreadsheetml.table+xml"/>
  <Override PartName="/xl/queryTables/queryTable62.xml" ContentType="application/vnd.openxmlformats-officedocument.spreadsheetml.queryTable+xml"/>
  <Override PartName="/xl/pivotTables/pivotTable47.xml" ContentType="application/vnd.openxmlformats-officedocument.spreadsheetml.pivotTable+xml"/>
  <Override PartName="/xl/drawings/drawing31.xml" ContentType="application/vnd.openxmlformats-officedocument.drawing+xml"/>
  <Override PartName="/xl/tables/table63.xml" ContentType="application/vnd.openxmlformats-officedocument.spreadsheetml.table+xml"/>
  <Override PartName="/xl/queryTables/queryTable63.xml" ContentType="application/vnd.openxmlformats-officedocument.spreadsheetml.queryTable+xml"/>
  <Override PartName="/xl/tables/table64.xml" ContentType="application/vnd.openxmlformats-officedocument.spreadsheetml.table+xml"/>
  <Override PartName="/xl/queryTables/queryTable64.xml" ContentType="application/vnd.openxmlformats-officedocument.spreadsheetml.queryTable+xml"/>
  <Override PartName="/xl/tables/table65.xml" ContentType="application/vnd.openxmlformats-officedocument.spreadsheetml.table+xml"/>
  <Override PartName="/xl/queryTables/queryTable65.xml" ContentType="application/vnd.openxmlformats-officedocument.spreadsheetml.queryTable+xml"/>
  <Override PartName="/xl/pivotTables/pivotTable48.xml" ContentType="application/vnd.openxmlformats-officedocument.spreadsheetml.pivotTable+xml"/>
  <Override PartName="/xl/drawings/drawing32.xml" ContentType="application/vnd.openxmlformats-officedocument.drawing+xml"/>
  <Override PartName="/xl/tables/table66.xml" ContentType="application/vnd.openxmlformats-officedocument.spreadsheetml.table+xml"/>
  <Override PartName="/xl/queryTables/queryTable66.xml" ContentType="application/vnd.openxmlformats-officedocument.spreadsheetml.queryTable+xml"/>
  <Override PartName="/xl/tables/table67.xml" ContentType="application/vnd.openxmlformats-officedocument.spreadsheetml.table+xml"/>
  <Override PartName="/xl/queryTables/queryTable67.xml" ContentType="application/vnd.openxmlformats-officedocument.spreadsheetml.queryTable+xml"/>
  <Override PartName="/xl/tables/table68.xml" ContentType="application/vnd.openxmlformats-officedocument.spreadsheetml.table+xml"/>
  <Override PartName="/xl/queryTables/queryTable68.xml" ContentType="application/vnd.openxmlformats-officedocument.spreadsheetml.queryTable+xml"/>
  <Override PartName="/xl/tables/table69.xml" ContentType="application/vnd.openxmlformats-officedocument.spreadsheetml.table+xml"/>
  <Override PartName="/xl/queryTables/queryTable69.xml" ContentType="application/vnd.openxmlformats-officedocument.spreadsheetml.queryTable+xml"/>
  <Override PartName="/xl/tables/table70.xml" ContentType="application/vnd.openxmlformats-officedocument.spreadsheetml.table+xml"/>
  <Override PartName="/xl/queryTables/queryTable70.xml" ContentType="application/vnd.openxmlformats-officedocument.spreadsheetml.queryTable+xml"/>
  <Override PartName="/xl/tables/table71.xml" ContentType="application/vnd.openxmlformats-officedocument.spreadsheetml.table+xml"/>
  <Override PartName="/xl/queryTables/queryTable71.xml" ContentType="application/vnd.openxmlformats-officedocument.spreadsheetml.query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drawings/drawing33.xml" ContentType="application/vnd.openxmlformats-officedocument.drawing+xml"/>
  <Override PartName="/xl/tables/table72.xml" ContentType="application/vnd.openxmlformats-officedocument.spreadsheetml.table+xml"/>
  <Override PartName="/xl/queryTables/queryTable72.xml" ContentType="application/vnd.openxmlformats-officedocument.spreadsheetml.query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drawings/drawing34.xml" ContentType="application/vnd.openxmlformats-officedocument.drawing+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drawings/drawing35.xml" ContentType="application/vnd.openxmlformats-officedocument.drawing+xml"/>
  <Override PartName="/xl/pivotTables/pivotTable6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O:\KPI\KPI Install Files for Customer\"/>
    </mc:Choice>
  </mc:AlternateContent>
  <bookViews>
    <workbookView xWindow="0" yWindow="0" windowWidth="20490" windowHeight="9045" tabRatio="881" firstSheet="3" activeTab="14"/>
  </bookViews>
  <sheets>
    <sheet name="YOY - Executive Summary" sheetId="123" r:id="rId1"/>
    <sheet name="CY - Executive Summary" sheetId="1" r:id="rId2"/>
    <sheet name="KPI Summary" sheetId="9" r:id="rId3"/>
    <sheet name="KPI Mapping" sheetId="25" r:id="rId4"/>
    <sheet name="DuPont Model" sheetId="6" r:id="rId5"/>
    <sheet name="DuPont Plug &amp; Play" sheetId="26" r:id="rId6"/>
    <sheet name="Ratios" sheetId="7" r:id="rId7"/>
    <sheet name="Altman Z-Score" sheetId="120" r:id="rId8"/>
    <sheet name="SIC Codes" sheetId="29" r:id="rId9"/>
    <sheet name="Glossary" sheetId="54" r:id="rId10"/>
    <sheet name="Sales" sheetId="5" r:id="rId11"/>
    <sheet name="Quotes &amp; Inventory" sheetId="12" r:id="rId12"/>
    <sheet name="Quality " sheetId="44" r:id="rId13"/>
    <sheet name="Labor" sheetId="17" r:id="rId14"/>
    <sheet name="Production" sheetId="18" r:id="rId15"/>
    <sheet name="SALES_RU" sheetId="125" r:id="rId16"/>
    <sheet name="Open Orders PVT" sheetId="129" r:id="rId17"/>
    <sheet name="Sales PVT" sheetId="130" r:id="rId18"/>
    <sheet name="QUOTE_RU1&amp;RU2" sheetId="128" r:id="rId19"/>
    <sheet name="Quote PVT" sheetId="132" r:id="rId20"/>
    <sheet name="QUOTE_RU3" sheetId="126" r:id="rId21"/>
    <sheet name="Quote PVT - E vs A" sheetId="131" r:id="rId22"/>
    <sheet name="Quality_RU" sheetId="127" r:id="rId23"/>
    <sheet name="Quality - PV" sheetId="141" r:id="rId24"/>
    <sheet name="Quality_RU_RMA" sheetId="133" r:id="rId25"/>
    <sheet name="Labor Hours" sheetId="90" r:id="rId26"/>
    <sheet name="L2-Ind Hrs" sheetId="92" r:id="rId27"/>
    <sheet name="L3- Rev $ per-labor hr " sheetId="121" r:id="rId28"/>
    <sheet name="P1_WC_RU" sheetId="134" r:id="rId29"/>
    <sheet name="WC PV" sheetId="140" r:id="rId30"/>
    <sheet name="P2_ONTIME_RU" sheetId="135" r:id="rId31"/>
    <sheet name="P3_PRODUCTION_RU" sheetId="136" r:id="rId32"/>
    <sheet name="P4_LABOR_RU" sheetId="137" r:id="rId33"/>
    <sheet name="P16_INV_HIST_RU" sheetId="138" r:id="rId34"/>
    <sheet name="ES_AP_AR_VENDOR_RU" sheetId="139" r:id="rId35"/>
    <sheet name="GL Data" sheetId="102" r:id="rId36"/>
    <sheet name="Ratio Data" sheetId="118" r:id="rId37"/>
    <sheet name="YOY Charts" sheetId="124" r:id="rId38"/>
    <sheet name="Sheet1" sheetId="27" r:id="rId39"/>
  </sheets>
  <definedNames>
    <definedName name="Cust">SALES_RU!$DY$3:$EE$26</definedName>
    <definedName name="_xlnm.Print_Area" localSheetId="4">'DuPont Model'!$A$1:$N$52</definedName>
    <definedName name="_xlnm.Print_Area" localSheetId="5">'DuPont Plug &amp; Play'!$A$1:$N$52</definedName>
    <definedName name="_xlnm.Print_Area" localSheetId="6">Ratios!$A$4:$K$43</definedName>
    <definedName name="Query_from_Global_PLA" localSheetId="26" hidden="1">'L2-Ind Hrs'!$A$1:$H$2</definedName>
    <definedName name="Query_from_Global_PLA" localSheetId="25" hidden="1">'Labor Hours'!$A$1:$E$16</definedName>
    <definedName name="Query_from_Global_PLA" localSheetId="18" hidden="1">'QUOTE_RU1&amp;RU2'!#REF!</definedName>
    <definedName name="Query_from_Global_PLA" localSheetId="15" hidden="1">SALES_RU!$A$2:$B$27</definedName>
    <definedName name="Query_from_Global_PLA_1" localSheetId="15" hidden="1">SALES_RU!$D$2:$I$14</definedName>
    <definedName name="Query_from_Global_PLA_10" localSheetId="15" hidden="1">SALES_RU!$BQ$2:$BS$4</definedName>
    <definedName name="Query_from_Global_PLA_11" localSheetId="15" hidden="1">SALES_RU!$DE$2:$DH$5</definedName>
    <definedName name="Query_from_Global_PLA_2" localSheetId="15" hidden="1">SALES_RU!$L$2:$R$18</definedName>
    <definedName name="Query_from_Global_PLA_3" localSheetId="15" hidden="1">SALES_RU!$T$2:$Z$3</definedName>
    <definedName name="Query_from_Global_PLA_4" localSheetId="15" hidden="1">SALES_RU!$AB$2:$AH$3</definedName>
    <definedName name="Query_from_Global_PLA_5" localSheetId="15" hidden="1">SALES_RU!$AJ$2:$AN$18</definedName>
    <definedName name="Query_from_Global_PLA_6" localSheetId="15" hidden="1">SALES_RU!$AP$2:$AV$3</definedName>
    <definedName name="Query_from_Global_PLA_7" localSheetId="15" hidden="1">SALES_RU!$AX$2:$BD$3</definedName>
    <definedName name="Query_from_Global_PLA_8" localSheetId="15" hidden="1">SALES_RU!$BF$2:$BK$7</definedName>
    <definedName name="Query_from_Global_PLA_9" localSheetId="15" hidden="1">SALES_RU!$BM$2:$BO$4</definedName>
    <definedName name="Query_from_GLOBAL_RDS" localSheetId="34" hidden="1">ES_AP_AR_VENDOR_RU!$A$2:$E$3</definedName>
    <definedName name="Query_from_GLOBAL_RDS" localSheetId="28" hidden="1">P1_WC_RU!$A$2:$H$642</definedName>
    <definedName name="Query_from_GLOBAL_RDS" localSheetId="33" hidden="1">P16_INV_HIST_RU!$A$2:$E$18</definedName>
    <definedName name="Query_from_GLOBAL_RDS" localSheetId="30" hidden="1">P2_ONTIME_RU!$A$2:$I$3</definedName>
    <definedName name="Query_from_GLOBAL_RDS" localSheetId="31" hidden="1">P3_PRODUCTION_RU!$A$2:$F$60</definedName>
    <definedName name="Query_from_GLOBAL_RDS" localSheetId="32" hidden="1">P4_LABOR_RU!$A$2:$F$16</definedName>
    <definedName name="Query_from_GLOBAL_RDS" localSheetId="22" hidden="1">Quality_RU!$A$2:$E$14</definedName>
    <definedName name="Query_from_GLOBAL_RDS" localSheetId="24" hidden="1">Quality_RU_RMA!$A$2:$E$3</definedName>
    <definedName name="Query_from_GLOBAL_RDS" localSheetId="18" hidden="1">'QUOTE_RU1&amp;RU2'!$A$2:$J$16</definedName>
    <definedName name="Query_from_GLOBAL_RDS" localSheetId="20" hidden="1">QUOTE_RU3!$A$2:$G$16</definedName>
    <definedName name="Query_from_GLOBAL_RDS" localSheetId="15" hidden="1">SALES_RU!$BU$2:$BW$7</definedName>
    <definedName name="Query_from_GLOBAL_RDS_1" localSheetId="34" hidden="1">ES_AP_AR_VENDOR_RU!$G$2:$I$7</definedName>
    <definedName name="Query_from_GLOBAL_RDS_1" localSheetId="28" hidden="1">P1_WC_RU!$J$2:$Q$3</definedName>
    <definedName name="Query_from_GLOBAL_RDS_1" localSheetId="33" hidden="1">P16_INV_HIST_RU!$G$2:$K$3</definedName>
    <definedName name="Query_from_GLOBAL_RDS_1" localSheetId="30" hidden="1">P2_ONTIME_RU!$K$2:$P$3</definedName>
    <definedName name="Query_from_GLOBAL_RDS_1" localSheetId="31" hidden="1">P3_PRODUCTION_RU!$H$2:$M$60</definedName>
    <definedName name="Query_from_GLOBAL_RDS_1" localSheetId="32" hidden="1">P4_LABOR_RU!$H$2:$M$3</definedName>
    <definedName name="Query_from_GLOBAL_RDS_1" localSheetId="22" hidden="1">Quality_RU!$G$2:$M$18</definedName>
    <definedName name="Query_from_GLOBAL_RDS_1" localSheetId="18" hidden="1">'QUOTE_RU1&amp;RU2'!$L$2:$T$3</definedName>
    <definedName name="Query_from_GLOBAL_RDS_1" localSheetId="20" hidden="1">QUOTE_RU3!$I$2:$O$3</definedName>
    <definedName name="Query_from_GLOBAL_RDS_1" localSheetId="15" hidden="1">SALES_RU!$BY$2:$CA$7</definedName>
    <definedName name="Query_from_GLOBAL_RDS_10" localSheetId="15" hidden="1">SALES_RU!$EG$2:$EL$50</definedName>
    <definedName name="Query_from_GLOBAL_RDS_11" localSheetId="15" hidden="1">SALES_RU!$DJ$2:$DM$4</definedName>
    <definedName name="Query_from_GLOBAL_RDS_12" localSheetId="15" hidden="1">SALES_RU!$DO$2:$DR$4</definedName>
    <definedName name="Query_from_GLOBAL_RDS_13" localSheetId="15" hidden="1">SALES_RU!$DT$2:$DW$3</definedName>
    <definedName name="Query_from_GLOBAL_RDS_2" localSheetId="34" hidden="1">ES_AP_AR_VENDOR_RU!$K$2:$O$3</definedName>
    <definedName name="Query_from_GLOBAL_RDS_2" localSheetId="28" hidden="1">P1_WC_RU!$S$2:$Z$3</definedName>
    <definedName name="Query_from_GLOBAL_RDS_2" localSheetId="33" hidden="1">P16_INV_HIST_RU!$M$2:$Q$3</definedName>
    <definedName name="Query_from_GLOBAL_RDS_2" localSheetId="30" hidden="1">P2_ONTIME_RU!$R$2:$W$3</definedName>
    <definedName name="Query_from_GLOBAL_RDS_2" localSheetId="31" hidden="1">P3_PRODUCTION_RU!$O$2:$V$60</definedName>
    <definedName name="Query_from_GLOBAL_RDS_2" localSheetId="32" hidden="1">P4_LABOR_RU!$O$2:$T$3</definedName>
    <definedName name="Query_from_GLOBAL_RDS_2" localSheetId="22" hidden="1">Quality_RU!$O$2:$U$3</definedName>
    <definedName name="Query_from_GLOBAL_RDS_2" localSheetId="18" hidden="1">'QUOTE_RU1&amp;RU2'!$V$2:$AD$3</definedName>
    <definedName name="Query_from_GLOBAL_RDS_2" localSheetId="20" hidden="1">QUOTE_RU3!$Q$2:$W$3</definedName>
    <definedName name="Query_from_GLOBAL_RDS_2" localSheetId="15" hidden="1">SALES_RU!$CC$2:$CH$18</definedName>
    <definedName name="Query_from_GLOBAL_RDS_3" localSheetId="28" hidden="1">P1_WC_RU!$AB$2:$AI$16</definedName>
    <definedName name="Query_from_GLOBAL_RDS_3" localSheetId="31" hidden="1">P3_PRODUCTION_RU!$X$2:$AE$3</definedName>
    <definedName name="Query_from_GLOBAL_RDS_3" localSheetId="22" hidden="1">Quality_RU!$W$2:$AC$3</definedName>
    <definedName name="Query_from_GLOBAL_RDS_3" localSheetId="18" hidden="1">'QUOTE_RU1&amp;RU2'!$AF$2:$AJ$9</definedName>
    <definedName name="Query_from_GLOBAL_RDS_3" localSheetId="20" hidden="1">QUOTE_RU3!$Y$2:$AE$16</definedName>
    <definedName name="Query_from_GLOBAL_RDS_3" localSheetId="15" hidden="1">SALES_RU!$CJ$2:$CO$3</definedName>
    <definedName name="Query_from_GLOBAL_RDS_4" localSheetId="28" hidden="1">P1_WC_RU!$AK$2:$AR$3</definedName>
    <definedName name="Query_from_GLOBAL_RDS_4" localSheetId="31" hidden="1">P3_PRODUCTION_RU!$AG$2:$AN$3</definedName>
    <definedName name="Query_from_GLOBAL_RDS_4" localSheetId="22" hidden="1">Quality_RU!$AE$2:$AK$31</definedName>
    <definedName name="Query_from_GLOBAL_RDS_4" localSheetId="18" hidden="1">'QUOTE_RU1&amp;RU2'!$AL$2:$AP$3</definedName>
    <definedName name="Query_from_GLOBAL_RDS_4" localSheetId="20" hidden="1">QUOTE_RU3!$AG$2:$AM$16</definedName>
    <definedName name="Query_from_GLOBAL_RDS_4" localSheetId="15" hidden="1">SALES_RU!$CQ$2:$CV$3</definedName>
    <definedName name="Query_from_GLOBAL_RDS_5" localSheetId="28" hidden="1">P1_WC_RU!$AT$2:$BA$3</definedName>
    <definedName name="Query_from_GLOBAL_RDS_5" localSheetId="22" hidden="1">Quality_RU!$AM$2:$AS$3</definedName>
    <definedName name="Query_from_GLOBAL_RDS_5" localSheetId="18" hidden="1">'QUOTE_RU1&amp;RU2'!$AR$2:$AV$3</definedName>
    <definedName name="Query_from_GLOBAL_RDS_5" localSheetId="20" hidden="1">QUOTE_RU3!#REF!</definedName>
    <definedName name="Query_from_GLOBAL_RDS_5" localSheetId="15" hidden="1">SALES_RU!$CX$2:$DA$7</definedName>
    <definedName name="Query_from_GLOBAL_RDS_6" localSheetId="22" hidden="1">Quality_RU!$AU$2:$BA$3</definedName>
    <definedName name="Query_from_GLOBAL_RDS_6" localSheetId="18" hidden="1">'QUOTE_RU1&amp;RU2'!$AX$2:$BB$9</definedName>
    <definedName name="Query_from_GLOBAL_RDS_6" localSheetId="15" hidden="1">SALES_RU!#REF!</definedName>
    <definedName name="Query_from_GLOBAL_RDS_7" localSheetId="22" hidden="1">Quality_RU!$BC$2:$BI$26</definedName>
    <definedName name="Query_from_GLOBAL_RDS_7" localSheetId="18" hidden="1">'QUOTE_RU1&amp;RU2'!$BD$2:$BH$3</definedName>
    <definedName name="Query_from_GLOBAL_RDS_7" localSheetId="15" hidden="1">SALES_RU!#REF!</definedName>
    <definedName name="Query_from_GLOBAL_RDS_8" localSheetId="18" hidden="1">'QUOTE_RU1&amp;RU2'!$BJ$2:$BN$3</definedName>
    <definedName name="Query_from_GLOBAL_RDS_8" localSheetId="15" hidden="1">SALES_RU!#REF!</definedName>
    <definedName name="Query_from_GLOBAL_RDS_9" localSheetId="15" hidden="1">SALES_RU!$DY$2:$EE$26</definedName>
    <definedName name="Query_from_GLOBAL_ZEN" localSheetId="35" hidden="1">'GL Data'!$B$1:$X$18</definedName>
  </definedNames>
  <calcPr calcId="152511"/>
  <pivotCaches>
    <pivotCache cacheId="492" r:id="rId40"/>
    <pivotCache cacheId="493" r:id="rId41"/>
    <pivotCache cacheId="544" r:id="rId42"/>
    <pivotCache cacheId="548" r:id="rId43"/>
    <pivotCache cacheId="553" r:id="rId44"/>
    <pivotCache cacheId="557" r:id="rId45"/>
    <pivotCache cacheId="561" r:id="rId46"/>
    <pivotCache cacheId="566" r:id="rId47"/>
    <pivotCache cacheId="570" r:id="rId48"/>
    <pivotCache cacheId="574" r:id="rId49"/>
    <pivotCache cacheId="578" r:id="rId50"/>
    <pivotCache cacheId="582" r:id="rId51"/>
    <pivotCache cacheId="586" r:id="rId52"/>
    <pivotCache cacheId="590" r:id="rId53"/>
    <pivotCache cacheId="593" r:id="rId54"/>
    <pivotCache cacheId="597" r:id="rId55"/>
    <pivotCache cacheId="601" r:id="rId56"/>
    <pivotCache cacheId="606" r:id="rId57"/>
    <pivotCache cacheId="609" r:id="rId58"/>
    <pivotCache cacheId="614" r:id="rId59"/>
    <pivotCache cacheId="619" r:id="rId60"/>
    <pivotCache cacheId="625" r:id="rId61"/>
    <pivotCache cacheId="630" r:id="rId62"/>
    <pivotCache cacheId="635" r:id="rId63"/>
    <pivotCache cacheId="639" r:id="rId64"/>
    <pivotCache cacheId="645" r:id="rId65"/>
    <pivotCache cacheId="651" r:id="rId66"/>
    <pivotCache cacheId="654" r:id="rId67"/>
    <pivotCache cacheId="657" r:id="rId68"/>
    <pivotCache cacheId="660" r:id="rId69"/>
    <pivotCache cacheId="663" r:id="rId70"/>
    <pivotCache cacheId="668" r:id="rId71"/>
    <pivotCache cacheId="673" r:id="rId72"/>
    <pivotCache cacheId="679" r:id="rId73"/>
    <pivotCache cacheId="684" r:id="rId74"/>
    <pivotCache cacheId="689" r:id="rId75"/>
    <pivotCache cacheId="695" r:id="rId76"/>
    <pivotCache cacheId="701" r:id="rId77"/>
    <pivotCache cacheId="706" r:id="rId78"/>
    <pivotCache cacheId="711" r:id="rId79"/>
    <pivotCache cacheId="716" r:id="rId80"/>
    <pivotCache cacheId="721" r:id="rId81"/>
    <pivotCache cacheId="727" r:id="rId82"/>
    <pivotCache cacheId="734" r:id="rId8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 i="25" l="1"/>
  <c r="F6" i="25"/>
  <c r="D12" i="25"/>
  <c r="G54" i="25" l="1"/>
  <c r="G68" i="25"/>
  <c r="F49" i="25"/>
  <c r="E54" i="25"/>
  <c r="E49" i="25"/>
  <c r="D54" i="25"/>
  <c r="D49" i="25"/>
  <c r="F40" i="25"/>
  <c r="F36" i="25"/>
  <c r="E38" i="25"/>
  <c r="E36" i="25"/>
  <c r="D41" i="25"/>
  <c r="D40" i="25"/>
  <c r="D38" i="25"/>
  <c r="H28" i="25"/>
  <c r="G28" i="25"/>
  <c r="F28" i="25"/>
  <c r="F23" i="25"/>
  <c r="E23" i="25"/>
  <c r="D28" i="25"/>
  <c r="D23" i="25"/>
  <c r="F10" i="25"/>
  <c r="F15" i="25"/>
  <c r="E15" i="25"/>
  <c r="E10" i="25"/>
  <c r="D15" i="25"/>
  <c r="D14" i="25"/>
  <c r="D10" i="25"/>
  <c r="Q9" i="44" l="1"/>
  <c r="Q10" i="44"/>
  <c r="AF3" i="125"/>
  <c r="Q11" i="5" s="1"/>
  <c r="Q10" i="5"/>
  <c r="X3" i="125"/>
  <c r="Y2" i="102" l="1"/>
  <c r="Y3" i="102"/>
  <c r="Y4" i="102"/>
  <c r="Y5" i="102"/>
  <c r="Z5" i="102" s="1"/>
  <c r="Y6" i="102"/>
  <c r="Y7" i="102"/>
  <c r="Y8" i="102"/>
  <c r="Y9" i="102"/>
  <c r="Z9" i="102" s="1"/>
  <c r="Y10" i="102"/>
  <c r="Y11" i="102"/>
  <c r="Y12" i="102"/>
  <c r="Y13" i="102"/>
  <c r="Z13" i="102" s="1"/>
  <c r="Y14" i="102"/>
  <c r="Y15" i="102"/>
  <c r="Y16" i="102"/>
  <c r="Y17" i="102"/>
  <c r="Z17" i="102" s="1"/>
  <c r="Y18" i="102"/>
  <c r="Z2" i="102"/>
  <c r="Z3" i="102"/>
  <c r="Z4" i="102"/>
  <c r="Z6" i="102"/>
  <c r="Z7" i="102"/>
  <c r="Z8" i="102"/>
  <c r="Z10" i="102"/>
  <c r="Z11" i="102"/>
  <c r="Z12" i="102"/>
  <c r="Z14" i="102"/>
  <c r="Z15" i="102"/>
  <c r="Z16" i="102"/>
  <c r="Z18" i="102"/>
  <c r="F2" i="90"/>
  <c r="F3" i="90"/>
  <c r="F4" i="90"/>
  <c r="G4" i="90" s="1"/>
  <c r="F5" i="90"/>
  <c r="G5" i="90" s="1"/>
  <c r="F6" i="90"/>
  <c r="F7" i="90"/>
  <c r="F8" i="90"/>
  <c r="G8" i="90" s="1"/>
  <c r="F9" i="90"/>
  <c r="G9" i="90" s="1"/>
  <c r="F10" i="90"/>
  <c r="F11" i="90"/>
  <c r="F12" i="90"/>
  <c r="G12" i="90" s="1"/>
  <c r="F13" i="90"/>
  <c r="F14" i="90"/>
  <c r="F15" i="90"/>
  <c r="F16" i="90"/>
  <c r="G16" i="90" s="1"/>
  <c r="G2" i="90"/>
  <c r="G3" i="90"/>
  <c r="G6" i="90"/>
  <c r="G7" i="90"/>
  <c r="G10" i="90"/>
  <c r="G11" i="90"/>
  <c r="G13" i="90"/>
  <c r="G14" i="90"/>
  <c r="G15" i="90"/>
  <c r="S2" i="92" l="1"/>
  <c r="F4" i="121" l="1"/>
  <c r="G4" i="121" s="1"/>
  <c r="E4" i="121" s="1"/>
  <c r="F5" i="121" l="1"/>
  <c r="F6" i="121" l="1"/>
  <c r="G5" i="121"/>
  <c r="F7" i="121" l="1"/>
  <c r="G6" i="121"/>
  <c r="G7" i="121" l="1"/>
  <c r="H7" i="121" s="1"/>
  <c r="I7" i="121" s="1"/>
  <c r="F8" i="121"/>
  <c r="F9" i="121" l="1"/>
  <c r="G8" i="121"/>
  <c r="H8" i="121" s="1"/>
  <c r="I8" i="121" s="1"/>
  <c r="E7" i="121"/>
  <c r="F10" i="121" l="1"/>
  <c r="G9" i="121"/>
  <c r="H9" i="121" s="1"/>
  <c r="I9" i="121" s="1"/>
  <c r="F11" i="121" l="1"/>
  <c r="G10" i="121"/>
  <c r="H10" i="121" s="1"/>
  <c r="I10" i="121" s="1"/>
  <c r="G11" i="121" l="1"/>
  <c r="H11" i="121" s="1"/>
  <c r="I11" i="121" s="1"/>
  <c r="F12" i="121"/>
  <c r="F13" i="121" l="1"/>
  <c r="G12" i="121"/>
  <c r="H12" i="121" s="1"/>
  <c r="I12" i="121" s="1"/>
  <c r="F14" i="121" l="1"/>
  <c r="G13" i="121"/>
  <c r="H13" i="121" s="1"/>
  <c r="I13" i="121" s="1"/>
  <c r="F15" i="121" l="1"/>
  <c r="G14" i="121"/>
  <c r="H14" i="121" s="1"/>
  <c r="I14" i="121" s="1"/>
  <c r="F16" i="121" l="1"/>
  <c r="G15" i="121"/>
  <c r="H15" i="121" s="1"/>
  <c r="I15" i="121" s="1"/>
  <c r="F17" i="121" l="1"/>
  <c r="G16" i="121"/>
  <c r="H16" i="121" s="1"/>
  <c r="I16" i="121" s="1"/>
  <c r="F18" i="121" l="1"/>
  <c r="G17" i="121"/>
  <c r="H17" i="121" s="1"/>
  <c r="I17" i="121" s="1"/>
  <c r="F19" i="121" l="1"/>
  <c r="G18" i="121"/>
  <c r="H18" i="121" s="1"/>
  <c r="I18" i="121" s="1"/>
  <c r="G19" i="121" l="1"/>
  <c r="H19" i="121" s="1"/>
  <c r="I19" i="121" s="1"/>
  <c r="F20" i="121"/>
  <c r="F21" i="121" l="1"/>
  <c r="G20" i="121"/>
  <c r="H20" i="121" s="1"/>
  <c r="I20" i="121" s="1"/>
  <c r="F22" i="121" l="1"/>
  <c r="G21" i="121"/>
  <c r="H21" i="121" s="1"/>
  <c r="I21" i="121" s="1"/>
  <c r="F23" i="121" l="1"/>
  <c r="G22" i="121"/>
  <c r="H22" i="121" s="1"/>
  <c r="I22" i="121" s="1"/>
  <c r="F24" i="121" l="1"/>
  <c r="G23" i="121"/>
  <c r="H23" i="121" s="1"/>
  <c r="I23" i="121" s="1"/>
  <c r="F25" i="121" l="1"/>
  <c r="G24" i="121"/>
  <c r="H24" i="121" s="1"/>
  <c r="I24" i="121" s="1"/>
  <c r="F26" i="121" l="1"/>
  <c r="G25" i="121"/>
  <c r="H25" i="121" s="1"/>
  <c r="I25" i="121" s="1"/>
  <c r="F27" i="121" l="1"/>
  <c r="G26" i="121"/>
  <c r="H26" i="121"/>
  <c r="I26" i="121" s="1"/>
  <c r="F28" i="121" l="1"/>
  <c r="G27" i="121"/>
  <c r="H27" i="121" s="1"/>
  <c r="I27" i="121" s="1"/>
  <c r="F29" i="121" l="1"/>
  <c r="G28" i="121"/>
  <c r="H28" i="121" s="1"/>
  <c r="I28" i="121" s="1"/>
  <c r="F30" i="121" l="1"/>
  <c r="G29" i="121"/>
  <c r="H29" i="121" s="1"/>
  <c r="I29" i="121" s="1"/>
  <c r="F31" i="121" l="1"/>
  <c r="G30" i="121"/>
  <c r="H30" i="121" s="1"/>
  <c r="I30" i="121" s="1"/>
  <c r="F32" i="121" l="1"/>
  <c r="G31" i="121"/>
  <c r="H31" i="121"/>
  <c r="I31" i="121" s="1"/>
  <c r="F33" i="121" l="1"/>
  <c r="G32" i="121"/>
  <c r="H32" i="121" s="1"/>
  <c r="I32" i="121" s="1"/>
  <c r="F34" i="121" l="1"/>
  <c r="G33" i="121"/>
  <c r="H33" i="121" s="1"/>
  <c r="I33" i="121" s="1"/>
  <c r="F35" i="121" l="1"/>
  <c r="G34" i="121"/>
  <c r="H34" i="121" s="1"/>
  <c r="I34" i="121" s="1"/>
  <c r="F36" i="121" l="1"/>
  <c r="G35" i="121"/>
  <c r="H35" i="121" s="1"/>
  <c r="I35" i="121" s="1"/>
  <c r="F37" i="121" l="1"/>
  <c r="G36" i="121"/>
  <c r="H36" i="121" s="1"/>
  <c r="I36" i="121" s="1"/>
  <c r="F38" i="121" l="1"/>
  <c r="G37" i="121"/>
  <c r="H37" i="121" s="1"/>
  <c r="I37" i="121" s="1"/>
  <c r="F39" i="121" l="1"/>
  <c r="G38" i="121"/>
  <c r="H38" i="121" s="1"/>
  <c r="I38" i="121" s="1"/>
  <c r="F40" i="121" l="1"/>
  <c r="G39" i="121"/>
  <c r="H39" i="121" s="1"/>
  <c r="I39" i="121" s="1"/>
  <c r="F41" i="121" l="1"/>
  <c r="G40" i="121"/>
  <c r="H40" i="121" s="1"/>
  <c r="I40" i="121" s="1"/>
  <c r="F42" i="121" l="1"/>
  <c r="G41" i="121"/>
  <c r="H41" i="121" s="1"/>
  <c r="I41" i="121" s="1"/>
  <c r="F43" i="121" l="1"/>
  <c r="H42" i="121"/>
  <c r="I42" i="121" s="1"/>
  <c r="G42" i="121"/>
  <c r="F44" i="121" l="1"/>
  <c r="H43" i="121"/>
  <c r="I43" i="121" s="1"/>
  <c r="G43" i="121"/>
  <c r="F45" i="121" l="1"/>
  <c r="H44" i="121"/>
  <c r="I44" i="121" s="1"/>
  <c r="G44" i="121"/>
  <c r="F46" i="121" l="1"/>
  <c r="H45" i="121"/>
  <c r="I45" i="121" s="1"/>
  <c r="G45" i="121"/>
  <c r="F47" i="121" l="1"/>
  <c r="G46" i="121"/>
  <c r="H46" i="121"/>
  <c r="I46" i="121" s="1"/>
  <c r="F48" i="121" l="1"/>
  <c r="G47" i="121"/>
  <c r="H47" i="121"/>
  <c r="I47" i="121" s="1"/>
  <c r="F49" i="121" l="1"/>
  <c r="H48" i="121"/>
  <c r="I48" i="121" s="1"/>
  <c r="G48" i="121"/>
  <c r="F50" i="121" l="1"/>
  <c r="H49" i="121"/>
  <c r="I49" i="121" s="1"/>
  <c r="G49" i="121"/>
  <c r="F51" i="121" l="1"/>
  <c r="G50" i="121"/>
  <c r="H50" i="121"/>
  <c r="I50" i="121" s="1"/>
  <c r="F52" i="121" l="1"/>
  <c r="H51" i="121"/>
  <c r="I51" i="121" s="1"/>
  <c r="G51" i="121"/>
  <c r="F53" i="121" l="1"/>
  <c r="H52" i="121"/>
  <c r="I52" i="121" s="1"/>
  <c r="G52" i="121"/>
  <c r="F54" i="121" l="1"/>
  <c r="H53" i="121"/>
  <c r="I53" i="121" s="1"/>
  <c r="G53" i="121"/>
  <c r="F55" i="121" l="1"/>
  <c r="H54" i="121"/>
  <c r="I54" i="121" s="1"/>
  <c r="G54" i="121"/>
  <c r="F56" i="121" l="1"/>
  <c r="G55" i="121"/>
  <c r="H55" i="121"/>
  <c r="I55" i="121" s="1"/>
  <c r="F57" i="121" l="1"/>
  <c r="H56" i="121"/>
  <c r="I56" i="121" s="1"/>
  <c r="G56" i="121"/>
  <c r="F58" i="121" l="1"/>
  <c r="G57" i="121"/>
  <c r="H57" i="121"/>
  <c r="I57" i="121" s="1"/>
  <c r="F59" i="121" l="1"/>
  <c r="H58" i="121"/>
  <c r="I58" i="121" s="1"/>
  <c r="G58" i="121"/>
  <c r="F60" i="121" l="1"/>
  <c r="H59" i="121"/>
  <c r="I59" i="121" s="1"/>
  <c r="G59" i="121"/>
  <c r="F61" i="121" l="1"/>
  <c r="H60" i="121"/>
  <c r="I60" i="121" s="1"/>
  <c r="G60" i="121"/>
  <c r="F62" i="121" l="1"/>
  <c r="G61" i="121"/>
  <c r="H61" i="121"/>
  <c r="I61" i="121" s="1"/>
  <c r="F63" i="121" l="1"/>
  <c r="H62" i="121"/>
  <c r="I62" i="121" s="1"/>
  <c r="G62" i="121"/>
  <c r="F64" i="121" l="1"/>
  <c r="G63" i="121"/>
  <c r="H63" i="121"/>
  <c r="I63" i="121" s="1"/>
  <c r="F65" i="121" l="1"/>
  <c r="H64" i="121"/>
  <c r="I64" i="121" s="1"/>
  <c r="G64" i="121"/>
  <c r="F66" i="121" l="1"/>
  <c r="H65" i="121"/>
  <c r="I65" i="121" s="1"/>
  <c r="G65" i="121"/>
  <c r="F67" i="121" l="1"/>
  <c r="H66" i="121"/>
  <c r="I66" i="121" s="1"/>
  <c r="G66" i="121"/>
  <c r="F68" i="121" l="1"/>
  <c r="G67" i="121"/>
  <c r="H67" i="121"/>
  <c r="I67" i="121" s="1"/>
  <c r="F69" i="121" l="1"/>
  <c r="H68" i="121"/>
  <c r="I68" i="121" s="1"/>
  <c r="G68" i="121"/>
  <c r="F70" i="121" l="1"/>
  <c r="G69" i="121"/>
  <c r="H69" i="121"/>
  <c r="I69" i="121" s="1"/>
  <c r="F71" i="121" l="1"/>
  <c r="H70" i="121"/>
  <c r="I70" i="121" s="1"/>
  <c r="G70" i="121"/>
  <c r="F72" i="121" l="1"/>
  <c r="G71" i="121"/>
  <c r="H71" i="121"/>
  <c r="I71" i="121" s="1"/>
  <c r="F73" i="121" l="1"/>
  <c r="H72" i="121"/>
  <c r="I72" i="121" s="1"/>
  <c r="G72" i="121"/>
  <c r="F74" i="121" l="1"/>
  <c r="H73" i="121"/>
  <c r="I73" i="121" s="1"/>
  <c r="G73" i="121"/>
  <c r="F75" i="121" l="1"/>
  <c r="H74" i="121"/>
  <c r="I74" i="121" s="1"/>
  <c r="G74" i="121"/>
  <c r="F76" i="121" l="1"/>
  <c r="H75" i="121"/>
  <c r="I75" i="121" s="1"/>
  <c r="G75" i="121"/>
  <c r="F77" i="121" l="1"/>
  <c r="H76" i="121"/>
  <c r="I76" i="121" s="1"/>
  <c r="G76" i="121"/>
  <c r="F78" i="121" l="1"/>
  <c r="G77" i="121"/>
  <c r="H77" i="121"/>
  <c r="I77" i="121" s="1"/>
  <c r="F79" i="121" l="1"/>
  <c r="G78" i="121"/>
  <c r="H78" i="121"/>
  <c r="I78" i="121" s="1"/>
  <c r="F80" i="121" l="1"/>
  <c r="H79" i="121"/>
  <c r="I79" i="121" s="1"/>
  <c r="G79" i="121"/>
  <c r="F81" i="121" l="1"/>
  <c r="H80" i="121"/>
  <c r="I80" i="121" s="1"/>
  <c r="G80" i="121"/>
  <c r="F82" i="121" l="1"/>
  <c r="H81" i="121"/>
  <c r="I81" i="121" s="1"/>
  <c r="G81" i="121"/>
  <c r="F83" i="121" l="1"/>
  <c r="H82" i="121"/>
  <c r="I82" i="121" s="1"/>
  <c r="G82" i="121"/>
  <c r="F84" i="121" l="1"/>
  <c r="G83" i="121"/>
  <c r="H83" i="121"/>
  <c r="I83" i="121" s="1"/>
  <c r="F85" i="121" l="1"/>
  <c r="H84" i="121"/>
  <c r="I84" i="121" s="1"/>
  <c r="G84" i="121"/>
  <c r="F86" i="121" l="1"/>
  <c r="H85" i="121"/>
  <c r="I85" i="121" s="1"/>
  <c r="G85" i="121"/>
  <c r="F87" i="121" l="1"/>
  <c r="H86" i="121"/>
  <c r="I86" i="121" s="1"/>
  <c r="G86" i="121"/>
  <c r="F88" i="121" l="1"/>
  <c r="H87" i="121"/>
  <c r="I87" i="121" s="1"/>
  <c r="G87" i="121"/>
  <c r="F89" i="121" l="1"/>
  <c r="H88" i="121"/>
  <c r="I88" i="121" s="1"/>
  <c r="G88" i="121"/>
  <c r="F90" i="121" l="1"/>
  <c r="G89" i="121"/>
  <c r="H89" i="121"/>
  <c r="I89" i="121" s="1"/>
  <c r="F91" i="121" l="1"/>
  <c r="H90" i="121"/>
  <c r="I90" i="121" s="1"/>
  <c r="G90" i="121"/>
  <c r="F92" i="121" l="1"/>
  <c r="H91" i="121"/>
  <c r="I91" i="121" s="1"/>
  <c r="G91" i="121"/>
  <c r="F93" i="121" l="1"/>
  <c r="H92" i="121"/>
  <c r="I92" i="121" s="1"/>
  <c r="G92" i="121"/>
  <c r="F94" i="121" l="1"/>
  <c r="H93" i="121"/>
  <c r="I93" i="121" s="1"/>
  <c r="G93" i="121"/>
  <c r="F95" i="121" l="1"/>
  <c r="H94" i="121"/>
  <c r="I94" i="121" s="1"/>
  <c r="G94" i="121"/>
  <c r="F96" i="121" l="1"/>
  <c r="G95" i="121"/>
  <c r="H95" i="121"/>
  <c r="I95" i="121" s="1"/>
  <c r="F97" i="121" l="1"/>
  <c r="H96" i="121"/>
  <c r="I96" i="121" s="1"/>
  <c r="G96" i="121"/>
  <c r="F98" i="121" l="1"/>
  <c r="H97" i="121"/>
  <c r="I97" i="121" s="1"/>
  <c r="G97" i="121"/>
  <c r="F99" i="121" l="1"/>
  <c r="G98" i="121"/>
  <c r="H98" i="121"/>
  <c r="I98" i="121" s="1"/>
  <c r="F100" i="121" l="1"/>
  <c r="G99" i="121"/>
  <c r="H99" i="121"/>
  <c r="I99" i="121" s="1"/>
  <c r="F101" i="121" l="1"/>
  <c r="H100" i="121"/>
  <c r="I100" i="121" s="1"/>
  <c r="G100" i="121"/>
  <c r="F102" i="121" l="1"/>
  <c r="H101" i="121"/>
  <c r="I101" i="121" s="1"/>
  <c r="G101" i="121"/>
  <c r="F103" i="121" l="1"/>
  <c r="H102" i="121"/>
  <c r="I102" i="121" s="1"/>
  <c r="G102" i="121"/>
  <c r="F104" i="121" l="1"/>
  <c r="G103" i="121"/>
  <c r="H103" i="121"/>
  <c r="I103" i="121" s="1"/>
  <c r="F105" i="121" l="1"/>
  <c r="H104" i="121"/>
  <c r="I104" i="121" s="1"/>
  <c r="G104" i="121"/>
  <c r="F106" i="121" l="1"/>
  <c r="G105" i="121"/>
  <c r="H105" i="121"/>
  <c r="I105" i="121" s="1"/>
  <c r="F107" i="121" l="1"/>
  <c r="H106" i="121"/>
  <c r="I106" i="121" s="1"/>
  <c r="G106" i="121"/>
  <c r="F108" i="121" l="1"/>
  <c r="G107" i="121"/>
  <c r="H107" i="121"/>
  <c r="I107" i="121" s="1"/>
  <c r="F109" i="121" l="1"/>
  <c r="H108" i="121"/>
  <c r="I108" i="121" s="1"/>
  <c r="G108" i="121"/>
  <c r="F110" i="121" l="1"/>
  <c r="H109" i="121"/>
  <c r="I109" i="121" s="1"/>
  <c r="G109" i="121"/>
  <c r="F111" i="121" l="1"/>
  <c r="G110" i="121"/>
  <c r="H110" i="121"/>
  <c r="I110" i="121" s="1"/>
  <c r="F112" i="121" l="1"/>
  <c r="H111" i="121"/>
  <c r="I111" i="121" s="1"/>
  <c r="G111" i="121"/>
  <c r="F113" i="121" l="1"/>
  <c r="H112" i="121"/>
  <c r="I112" i="121" s="1"/>
  <c r="G112" i="121"/>
  <c r="F114" i="121" l="1"/>
  <c r="H113" i="121"/>
  <c r="I113" i="121" s="1"/>
  <c r="G113" i="121"/>
  <c r="F115" i="121" l="1"/>
  <c r="H114" i="121"/>
  <c r="I114" i="121" s="1"/>
  <c r="G114" i="121"/>
  <c r="F116" i="121" l="1"/>
  <c r="G115" i="121"/>
  <c r="H115" i="121"/>
  <c r="I115" i="121" s="1"/>
  <c r="F117" i="121" l="1"/>
  <c r="H116" i="121"/>
  <c r="I116" i="121" s="1"/>
  <c r="G116" i="121"/>
  <c r="F118" i="121" l="1"/>
  <c r="H117" i="121"/>
  <c r="I117" i="121" s="1"/>
  <c r="G117" i="121"/>
  <c r="F119" i="121" l="1"/>
  <c r="G118" i="121"/>
  <c r="H118" i="121"/>
  <c r="I118" i="121" s="1"/>
  <c r="F120" i="121" l="1"/>
  <c r="G119" i="121"/>
  <c r="H119" i="121"/>
  <c r="I119" i="121" s="1"/>
  <c r="F121" i="121" l="1"/>
  <c r="H120" i="121"/>
  <c r="I120" i="121" s="1"/>
  <c r="G120" i="121"/>
  <c r="F122" i="121" l="1"/>
  <c r="H121" i="121"/>
  <c r="I121" i="121" s="1"/>
  <c r="G121" i="121"/>
  <c r="F123" i="121" l="1"/>
  <c r="H122" i="121"/>
  <c r="I122" i="121" s="1"/>
  <c r="G122" i="121"/>
  <c r="F124" i="121" l="1"/>
  <c r="G123" i="121"/>
  <c r="H123" i="121"/>
  <c r="I123" i="121" s="1"/>
  <c r="F125" i="121" l="1"/>
  <c r="H124" i="121"/>
  <c r="I124" i="121" s="1"/>
  <c r="G124" i="121"/>
  <c r="F126" i="121" l="1"/>
  <c r="G125" i="121"/>
  <c r="H125" i="121"/>
  <c r="I125" i="121" s="1"/>
  <c r="F127" i="121" l="1"/>
  <c r="G126" i="121"/>
  <c r="H126" i="121"/>
  <c r="I126" i="121" s="1"/>
  <c r="F128" i="121" l="1"/>
  <c r="H127" i="121"/>
  <c r="I127" i="121" s="1"/>
  <c r="G127" i="121"/>
  <c r="F129" i="121" l="1"/>
  <c r="H128" i="121"/>
  <c r="I128" i="121" s="1"/>
  <c r="G128" i="121"/>
  <c r="F130" i="121" l="1"/>
  <c r="H129" i="121"/>
  <c r="I129" i="121" s="1"/>
  <c r="G129" i="121"/>
  <c r="F131" i="121" l="1"/>
  <c r="H130" i="121"/>
  <c r="I130" i="121" s="1"/>
  <c r="G130" i="121"/>
  <c r="F132" i="121" l="1"/>
  <c r="G131" i="121"/>
  <c r="H131" i="121"/>
  <c r="I131" i="121" s="1"/>
  <c r="F133" i="121" l="1"/>
  <c r="H132" i="121"/>
  <c r="I132" i="121" s="1"/>
  <c r="G132" i="121"/>
  <c r="F134" i="121" l="1"/>
  <c r="H133" i="121"/>
  <c r="I133" i="121" s="1"/>
  <c r="G133" i="121"/>
  <c r="F135" i="121" l="1"/>
  <c r="G134" i="121"/>
  <c r="H134" i="121"/>
  <c r="I134" i="121" s="1"/>
  <c r="F136" i="121" l="1"/>
  <c r="G135" i="121"/>
  <c r="H135" i="121"/>
  <c r="I135" i="121" s="1"/>
  <c r="F137" i="121" l="1"/>
  <c r="H136" i="121"/>
  <c r="I136" i="121" s="1"/>
  <c r="G136" i="121"/>
  <c r="F138" i="121" l="1"/>
  <c r="G137" i="121"/>
  <c r="H137" i="121"/>
  <c r="I137" i="121" s="1"/>
  <c r="F139" i="121" l="1"/>
  <c r="H138" i="121"/>
  <c r="I138" i="121" s="1"/>
  <c r="G138" i="121"/>
  <c r="F140" i="121" l="1"/>
  <c r="G139" i="121"/>
  <c r="H139" i="121"/>
  <c r="I139" i="121" s="1"/>
  <c r="F141" i="121" l="1"/>
  <c r="H140" i="121"/>
  <c r="I140" i="121" s="1"/>
  <c r="G140" i="121"/>
  <c r="F142" i="121" l="1"/>
  <c r="H141" i="121"/>
  <c r="I141" i="121" s="1"/>
  <c r="G141" i="121"/>
  <c r="F143" i="121" l="1"/>
  <c r="H142" i="121"/>
  <c r="I142" i="121" s="1"/>
  <c r="G142" i="121"/>
  <c r="F144" i="121" l="1"/>
  <c r="H143" i="121"/>
  <c r="I143" i="121" s="1"/>
  <c r="G143" i="121"/>
  <c r="F145" i="121" l="1"/>
  <c r="H144" i="121"/>
  <c r="I144" i="121" s="1"/>
  <c r="G144" i="121"/>
  <c r="F146" i="121" l="1"/>
  <c r="H145" i="121"/>
  <c r="I145" i="121" s="1"/>
  <c r="G145" i="121"/>
  <c r="F147" i="121" l="1"/>
  <c r="G146" i="121"/>
  <c r="H146" i="121"/>
  <c r="I146" i="121" s="1"/>
  <c r="F148" i="121" l="1"/>
  <c r="G147" i="121"/>
  <c r="H147" i="121"/>
  <c r="I147" i="121" s="1"/>
  <c r="F149" i="121" l="1"/>
  <c r="H148" i="121"/>
  <c r="I148" i="121" s="1"/>
  <c r="G148" i="121"/>
  <c r="F150" i="121" l="1"/>
  <c r="H149" i="121"/>
  <c r="I149" i="121" s="1"/>
  <c r="G149" i="121"/>
  <c r="F151" i="121" l="1"/>
  <c r="H150" i="121"/>
  <c r="I150" i="121" s="1"/>
  <c r="G150" i="121"/>
  <c r="F152" i="121" l="1"/>
  <c r="G151" i="121"/>
  <c r="H151" i="121"/>
  <c r="I151" i="121" s="1"/>
  <c r="F153" i="121" l="1"/>
  <c r="H152" i="121"/>
  <c r="I152" i="121" s="1"/>
  <c r="G152" i="121"/>
  <c r="F154" i="121" l="1"/>
  <c r="G153" i="121"/>
  <c r="H153" i="121"/>
  <c r="I153" i="121" s="1"/>
  <c r="F155" i="121" l="1"/>
  <c r="H154" i="121"/>
  <c r="I154" i="121" s="1"/>
  <c r="G154" i="121"/>
  <c r="F156" i="121" l="1"/>
  <c r="G155" i="121"/>
  <c r="H155" i="121"/>
  <c r="I155" i="121" s="1"/>
  <c r="F157" i="121" l="1"/>
  <c r="H156" i="121"/>
  <c r="I156" i="121" s="1"/>
  <c r="G156" i="121"/>
  <c r="F158" i="121" l="1"/>
  <c r="H157" i="121"/>
  <c r="I157" i="121" s="1"/>
  <c r="G157" i="121"/>
  <c r="F159" i="121" l="1"/>
  <c r="G158" i="121"/>
  <c r="H158" i="121"/>
  <c r="I158" i="121" s="1"/>
  <c r="F160" i="121" l="1"/>
  <c r="H159" i="121"/>
  <c r="I159" i="121" s="1"/>
  <c r="G159" i="121"/>
  <c r="F161" i="121" l="1"/>
  <c r="H160" i="121"/>
  <c r="I160" i="121" s="1"/>
  <c r="G160" i="121"/>
  <c r="F162" i="121" l="1"/>
  <c r="H161" i="121"/>
  <c r="I161" i="121" s="1"/>
  <c r="G161" i="121"/>
  <c r="F163" i="121" l="1"/>
  <c r="G162" i="121"/>
  <c r="H162" i="121"/>
  <c r="I162" i="121" s="1"/>
  <c r="F164" i="121" l="1"/>
  <c r="G163" i="121"/>
  <c r="H163" i="121"/>
  <c r="I163" i="121" s="1"/>
  <c r="F165" i="121" l="1"/>
  <c r="H164" i="121"/>
  <c r="I164" i="121" s="1"/>
  <c r="G164" i="121"/>
  <c r="F166" i="121" l="1"/>
  <c r="H165" i="121"/>
  <c r="I165" i="121" s="1"/>
  <c r="G165" i="121"/>
  <c r="F167" i="121" l="1"/>
  <c r="G166" i="121"/>
  <c r="H166" i="121"/>
  <c r="I166" i="121" s="1"/>
  <c r="F168" i="121" l="1"/>
  <c r="G167" i="121"/>
  <c r="H167" i="121"/>
  <c r="I167" i="121" s="1"/>
  <c r="F169" i="121" l="1"/>
  <c r="H168" i="121"/>
  <c r="I168" i="121" s="1"/>
  <c r="G168" i="121"/>
  <c r="F170" i="121" l="1"/>
  <c r="G169" i="121"/>
  <c r="H169" i="121"/>
  <c r="I169" i="121" s="1"/>
  <c r="F171" i="121" l="1"/>
  <c r="H170" i="121"/>
  <c r="I170" i="121" s="1"/>
  <c r="G170" i="121"/>
  <c r="F172" i="121" l="1"/>
  <c r="G171" i="121"/>
  <c r="H171" i="121"/>
  <c r="I171" i="121" s="1"/>
  <c r="F173" i="121" l="1"/>
  <c r="H172" i="121"/>
  <c r="I172" i="121" s="1"/>
  <c r="G172" i="121"/>
  <c r="F174" i="121" l="1"/>
  <c r="H173" i="121"/>
  <c r="I173" i="121" s="1"/>
  <c r="G173" i="121"/>
  <c r="F175" i="121" l="1"/>
  <c r="G174" i="121"/>
  <c r="H174" i="121"/>
  <c r="I174" i="121" s="1"/>
  <c r="F176" i="121" l="1"/>
  <c r="H175" i="121"/>
  <c r="I175" i="121" s="1"/>
  <c r="G175" i="121"/>
  <c r="F177" i="121" l="1"/>
  <c r="H176" i="121"/>
  <c r="I176" i="121" s="1"/>
  <c r="G176" i="121"/>
  <c r="F178" i="121" l="1"/>
  <c r="H177" i="121"/>
  <c r="I177" i="121" s="1"/>
  <c r="G177" i="121"/>
  <c r="F179" i="121" l="1"/>
  <c r="H178" i="121"/>
  <c r="I178" i="121" s="1"/>
  <c r="G178" i="121"/>
  <c r="F180" i="121" l="1"/>
  <c r="G179" i="121"/>
  <c r="H179" i="121"/>
  <c r="I179" i="121" s="1"/>
  <c r="F181" i="121" l="1"/>
  <c r="H180" i="121"/>
  <c r="I180" i="121" s="1"/>
  <c r="G180" i="121"/>
  <c r="F182" i="121" l="1"/>
  <c r="H181" i="121"/>
  <c r="I181" i="121" s="1"/>
  <c r="G181" i="121"/>
  <c r="F183" i="121" l="1"/>
  <c r="G182" i="121"/>
  <c r="H182" i="121"/>
  <c r="I182" i="121" s="1"/>
  <c r="F184" i="121" l="1"/>
  <c r="G183" i="121"/>
  <c r="H183" i="121"/>
  <c r="I183" i="121" s="1"/>
  <c r="F185" i="121" l="1"/>
  <c r="H184" i="121"/>
  <c r="I184" i="121" s="1"/>
  <c r="G184" i="121"/>
  <c r="F186" i="121" l="1"/>
  <c r="H185" i="121"/>
  <c r="I185" i="121" s="1"/>
  <c r="G185" i="121"/>
  <c r="F187" i="121" l="1"/>
  <c r="H186" i="121"/>
  <c r="I186" i="121" s="1"/>
  <c r="G186" i="121"/>
  <c r="F188" i="121" l="1"/>
  <c r="G187" i="121"/>
  <c r="H187" i="121"/>
  <c r="I187" i="121" s="1"/>
  <c r="F189" i="121" l="1"/>
  <c r="H188" i="121"/>
  <c r="I188" i="121" s="1"/>
  <c r="G188" i="121"/>
  <c r="F190" i="121" l="1"/>
  <c r="H189" i="121"/>
  <c r="I189" i="121" s="1"/>
  <c r="G189" i="121"/>
  <c r="F191" i="121" l="1"/>
  <c r="G190" i="121"/>
  <c r="H190" i="121"/>
  <c r="I190" i="121" s="1"/>
  <c r="F192" i="121" l="1"/>
  <c r="H191" i="121"/>
  <c r="I191" i="121" s="1"/>
  <c r="G191" i="121"/>
  <c r="F193" i="121" l="1"/>
  <c r="H192" i="121"/>
  <c r="I192" i="121" s="1"/>
  <c r="G192" i="121"/>
  <c r="F194" i="121" l="1"/>
  <c r="H193" i="121"/>
  <c r="I193" i="121" s="1"/>
  <c r="G193" i="121"/>
  <c r="F195" i="121" l="1"/>
  <c r="H194" i="121"/>
  <c r="I194" i="121" s="1"/>
  <c r="G194" i="121"/>
  <c r="F196" i="121" l="1"/>
  <c r="G195" i="121"/>
  <c r="H195" i="121"/>
  <c r="I195" i="121" s="1"/>
  <c r="F197" i="121" l="1"/>
  <c r="H196" i="121"/>
  <c r="I196" i="121" s="1"/>
  <c r="G196" i="121"/>
  <c r="F198" i="121" l="1"/>
  <c r="H197" i="121"/>
  <c r="I197" i="121" s="1"/>
  <c r="G197" i="121"/>
  <c r="F199" i="121" l="1"/>
  <c r="H198" i="121"/>
  <c r="I198" i="121" s="1"/>
  <c r="G198" i="121"/>
  <c r="F200" i="121" l="1"/>
  <c r="G199" i="121"/>
  <c r="H199" i="121"/>
  <c r="I199" i="121" s="1"/>
  <c r="F201" i="121" l="1"/>
  <c r="H200" i="121"/>
  <c r="I200" i="121" s="1"/>
  <c r="G200" i="121"/>
  <c r="F202" i="121" l="1"/>
  <c r="G201" i="121"/>
  <c r="H201" i="121"/>
  <c r="I201" i="121" s="1"/>
  <c r="F203" i="121" l="1"/>
  <c r="H202" i="121"/>
  <c r="I202" i="121" s="1"/>
  <c r="G202" i="121"/>
  <c r="F204" i="121" l="1"/>
  <c r="G203" i="121"/>
  <c r="H203" i="121"/>
  <c r="I203" i="121" s="1"/>
  <c r="F205" i="121" l="1"/>
  <c r="H204" i="121"/>
  <c r="I204" i="121" s="1"/>
  <c r="G204" i="121"/>
  <c r="F206" i="121" l="1"/>
  <c r="H205" i="121"/>
  <c r="I205" i="121" s="1"/>
  <c r="G205" i="121"/>
  <c r="F207" i="121" l="1"/>
  <c r="H206" i="121"/>
  <c r="I206" i="121" s="1"/>
  <c r="G206" i="121"/>
  <c r="F208" i="121" l="1"/>
  <c r="H207" i="121"/>
  <c r="I207" i="121" s="1"/>
  <c r="G207" i="121"/>
  <c r="F209" i="121" l="1"/>
  <c r="H208" i="121"/>
  <c r="I208" i="121" s="1"/>
  <c r="G208" i="121"/>
  <c r="F210" i="121" l="1"/>
  <c r="H209" i="121"/>
  <c r="I209" i="121" s="1"/>
  <c r="G209" i="121"/>
  <c r="F211" i="121" l="1"/>
  <c r="G210" i="121"/>
  <c r="H210" i="121"/>
  <c r="I210" i="121" s="1"/>
  <c r="F212" i="121" l="1"/>
  <c r="G211" i="121"/>
  <c r="H211" i="121"/>
  <c r="I211" i="121" s="1"/>
  <c r="F213" i="121" l="1"/>
  <c r="H212" i="121"/>
  <c r="I212" i="121" s="1"/>
  <c r="G212" i="121"/>
  <c r="F214" i="121" l="1"/>
  <c r="H213" i="121"/>
  <c r="I213" i="121" s="1"/>
  <c r="G213" i="121"/>
  <c r="F215" i="121" l="1"/>
  <c r="G214" i="121"/>
  <c r="H214" i="121"/>
  <c r="I214" i="121" s="1"/>
  <c r="F216" i="121" l="1"/>
  <c r="G215" i="121"/>
  <c r="H215" i="121"/>
  <c r="I215" i="121" s="1"/>
  <c r="F217" i="121" l="1"/>
  <c r="H216" i="121"/>
  <c r="I216" i="121" s="1"/>
  <c r="G216" i="121"/>
  <c r="F218" i="121" l="1"/>
  <c r="G217" i="121"/>
  <c r="H217" i="121"/>
  <c r="I217" i="121" s="1"/>
  <c r="F219" i="121" l="1"/>
  <c r="H218" i="121"/>
  <c r="I218" i="121" s="1"/>
  <c r="G218" i="121"/>
  <c r="F220" i="121" l="1"/>
  <c r="G219" i="121"/>
  <c r="H219" i="121"/>
  <c r="I219" i="121" s="1"/>
  <c r="F221" i="121" l="1"/>
  <c r="H220" i="121"/>
  <c r="I220" i="121" s="1"/>
  <c r="G220" i="121"/>
  <c r="F222" i="121" l="1"/>
  <c r="G221" i="121"/>
  <c r="H221" i="121"/>
  <c r="I221" i="121" s="1"/>
  <c r="F223" i="121" l="1"/>
  <c r="G222" i="121"/>
  <c r="H222" i="121"/>
  <c r="I222" i="121" s="1"/>
  <c r="F224" i="121" l="1"/>
  <c r="G223" i="121"/>
  <c r="H223" i="121"/>
  <c r="I223" i="121" s="1"/>
  <c r="F225" i="121" l="1"/>
  <c r="H224" i="121"/>
  <c r="I224" i="121" s="1"/>
  <c r="G224" i="121"/>
  <c r="F226" i="121" l="1"/>
  <c r="G225" i="121"/>
  <c r="H225" i="121"/>
  <c r="I225" i="121" s="1"/>
  <c r="F227" i="121" l="1"/>
  <c r="H226" i="121"/>
  <c r="I226" i="121" s="1"/>
  <c r="G226" i="121"/>
  <c r="F228" i="121" l="1"/>
  <c r="G227" i="121"/>
  <c r="H227" i="121"/>
  <c r="I227" i="121" s="1"/>
  <c r="F229" i="121" l="1"/>
  <c r="H228" i="121"/>
  <c r="I228" i="121" s="1"/>
  <c r="G228" i="121"/>
  <c r="F230" i="121" l="1"/>
  <c r="H229" i="121"/>
  <c r="I229" i="121" s="1"/>
  <c r="G229" i="121"/>
  <c r="F231" i="121" l="1"/>
  <c r="H230" i="121"/>
  <c r="I230" i="121" s="1"/>
  <c r="G230" i="121"/>
  <c r="F232" i="121" l="1"/>
  <c r="G231" i="121"/>
  <c r="H231" i="121"/>
  <c r="I231" i="121" s="1"/>
  <c r="F233" i="121" l="1"/>
  <c r="H232" i="121"/>
  <c r="I232" i="121" s="1"/>
  <c r="G232" i="121"/>
  <c r="F234" i="121" l="1"/>
  <c r="G233" i="121"/>
  <c r="H233" i="121"/>
  <c r="I233" i="121" s="1"/>
  <c r="F235" i="121" l="1"/>
  <c r="H234" i="121"/>
  <c r="I234" i="121" s="1"/>
  <c r="G234" i="121"/>
  <c r="F236" i="121" l="1"/>
  <c r="G235" i="121"/>
  <c r="H235" i="121"/>
  <c r="I235" i="121" s="1"/>
  <c r="F237" i="121" l="1"/>
  <c r="H236" i="121"/>
  <c r="I236" i="121" s="1"/>
  <c r="G236" i="121"/>
  <c r="F238" i="121" l="1"/>
  <c r="H237" i="121"/>
  <c r="I237" i="121" s="1"/>
  <c r="G237" i="121"/>
  <c r="F239" i="121" l="1"/>
  <c r="G238" i="121"/>
  <c r="H238" i="121"/>
  <c r="I238" i="121" s="1"/>
  <c r="F240" i="121" l="1"/>
  <c r="G239" i="121"/>
  <c r="H239" i="121"/>
  <c r="I239" i="121" s="1"/>
  <c r="F241" i="121" l="1"/>
  <c r="H240" i="121"/>
  <c r="I240" i="121" s="1"/>
  <c r="G240" i="121"/>
  <c r="F242" i="121" l="1"/>
  <c r="G241" i="121"/>
  <c r="H241" i="121"/>
  <c r="I241" i="121" s="1"/>
  <c r="F243" i="121" l="1"/>
  <c r="G242" i="121"/>
  <c r="H242" i="121"/>
  <c r="I242" i="121" s="1"/>
  <c r="F244" i="121" l="1"/>
  <c r="G243" i="121"/>
  <c r="H243" i="121"/>
  <c r="I243" i="121" s="1"/>
  <c r="F245" i="121" l="1"/>
  <c r="H244" i="121"/>
  <c r="I244" i="121" s="1"/>
  <c r="G244" i="121"/>
  <c r="F246" i="121" l="1"/>
  <c r="H245" i="121"/>
  <c r="I245" i="121" s="1"/>
  <c r="G245" i="121"/>
  <c r="F247" i="121" l="1"/>
  <c r="G246" i="121"/>
  <c r="H246" i="121"/>
  <c r="I246" i="121" s="1"/>
  <c r="F248" i="121" l="1"/>
  <c r="G247" i="121"/>
  <c r="H247" i="121"/>
  <c r="I247" i="121" s="1"/>
  <c r="F249" i="121" l="1"/>
  <c r="H248" i="121"/>
  <c r="I248" i="121" s="1"/>
  <c r="G248" i="121"/>
  <c r="F250" i="121" l="1"/>
  <c r="G249" i="121"/>
  <c r="H249" i="121"/>
  <c r="I249" i="121" s="1"/>
  <c r="F251" i="121" l="1"/>
  <c r="H250" i="121"/>
  <c r="I250" i="121" s="1"/>
  <c r="G250" i="121"/>
  <c r="F252" i="121" l="1"/>
  <c r="G251" i="121"/>
  <c r="H251" i="121"/>
  <c r="I251" i="121" s="1"/>
  <c r="F253" i="121" l="1"/>
  <c r="H252" i="121"/>
  <c r="I252" i="121" s="1"/>
  <c r="G252" i="121"/>
  <c r="F254" i="121" l="1"/>
  <c r="H253" i="121"/>
  <c r="I253" i="121" s="1"/>
  <c r="G253" i="121"/>
  <c r="F255" i="121" l="1"/>
  <c r="H254" i="121"/>
  <c r="I254" i="121" s="1"/>
  <c r="G254" i="121"/>
  <c r="F256" i="121" l="1"/>
  <c r="G255" i="121"/>
  <c r="H255" i="121"/>
  <c r="I255" i="121" s="1"/>
  <c r="F257" i="121" l="1"/>
  <c r="H256" i="121"/>
  <c r="I256" i="121" s="1"/>
  <c r="G256" i="121"/>
  <c r="F258" i="121" l="1"/>
  <c r="G257" i="121"/>
  <c r="H257" i="121"/>
  <c r="I257" i="121" s="1"/>
  <c r="F259" i="121" l="1"/>
  <c r="H258" i="121"/>
  <c r="I258" i="121" s="1"/>
  <c r="G258" i="121"/>
  <c r="F260" i="121" l="1"/>
  <c r="G259" i="121"/>
  <c r="H259" i="121"/>
  <c r="I259" i="121" s="1"/>
  <c r="F261" i="121" l="1"/>
  <c r="H260" i="121"/>
  <c r="I260" i="121" s="1"/>
  <c r="G260" i="121"/>
  <c r="F262" i="121" l="1"/>
  <c r="H261" i="121"/>
  <c r="I261" i="121" s="1"/>
  <c r="G261" i="121"/>
  <c r="F263" i="121" l="1"/>
  <c r="G262" i="121"/>
  <c r="H262" i="121"/>
  <c r="I262" i="121" s="1"/>
  <c r="F264" i="121" l="1"/>
  <c r="G263" i="121"/>
  <c r="H263" i="121"/>
  <c r="I263" i="121" s="1"/>
  <c r="F265" i="121" l="1"/>
  <c r="H264" i="121"/>
  <c r="I264" i="121" s="1"/>
  <c r="G264" i="121"/>
  <c r="F266" i="121" l="1"/>
  <c r="H265" i="121"/>
  <c r="I265" i="121" s="1"/>
  <c r="G265" i="121"/>
  <c r="F267" i="121" l="1"/>
  <c r="H266" i="121"/>
  <c r="I266" i="121" s="1"/>
  <c r="G266" i="121"/>
  <c r="F268" i="121" l="1"/>
  <c r="G267" i="121"/>
  <c r="H267" i="121"/>
  <c r="I267" i="121" s="1"/>
  <c r="F269" i="121" l="1"/>
  <c r="H268" i="121"/>
  <c r="I268" i="121" s="1"/>
  <c r="G268" i="121"/>
  <c r="F270" i="121" l="1"/>
  <c r="G269" i="121"/>
  <c r="H269" i="121"/>
  <c r="I269" i="121" s="1"/>
  <c r="F271" i="121" l="1"/>
  <c r="G270" i="121"/>
  <c r="H270" i="121"/>
  <c r="I270" i="121" s="1"/>
  <c r="F272" i="121" l="1"/>
  <c r="G271" i="121"/>
  <c r="H271" i="121"/>
  <c r="I271" i="121" s="1"/>
  <c r="F273" i="121" l="1"/>
  <c r="H272" i="121"/>
  <c r="I272" i="121" s="1"/>
  <c r="G272" i="121"/>
  <c r="F274" i="121" l="1"/>
  <c r="H273" i="121"/>
  <c r="I273" i="121" s="1"/>
  <c r="G273" i="121"/>
  <c r="F275" i="121" l="1"/>
  <c r="H274" i="121"/>
  <c r="I274" i="121" s="1"/>
  <c r="G274" i="121"/>
  <c r="F276" i="121" l="1"/>
  <c r="G275" i="121"/>
  <c r="H275" i="121"/>
  <c r="I275" i="121" s="1"/>
  <c r="F277" i="121" l="1"/>
  <c r="H276" i="121"/>
  <c r="I276" i="121" s="1"/>
  <c r="G276" i="121"/>
  <c r="F278" i="121" l="1"/>
  <c r="H277" i="121"/>
  <c r="I277" i="121" s="1"/>
  <c r="G277" i="121"/>
  <c r="F279" i="121" l="1"/>
  <c r="G278" i="121"/>
  <c r="H278" i="121"/>
  <c r="I278" i="121" s="1"/>
  <c r="F280" i="121" l="1"/>
  <c r="G279" i="121"/>
  <c r="H279" i="121"/>
  <c r="I279" i="121" s="1"/>
  <c r="F281" i="121" l="1"/>
  <c r="H280" i="121"/>
  <c r="I280" i="121" s="1"/>
  <c r="G280" i="121"/>
  <c r="F282" i="121" l="1"/>
  <c r="H281" i="121"/>
  <c r="I281" i="121" s="1"/>
  <c r="G281" i="121"/>
  <c r="F283" i="121" l="1"/>
  <c r="H282" i="121"/>
  <c r="I282" i="121" s="1"/>
  <c r="G282" i="121"/>
  <c r="F284" i="121" l="1"/>
  <c r="G283" i="121"/>
  <c r="H283" i="121"/>
  <c r="I283" i="121" s="1"/>
  <c r="F285" i="121" l="1"/>
  <c r="H284" i="121"/>
  <c r="I284" i="121" s="1"/>
  <c r="G284" i="121"/>
  <c r="F286" i="121" l="1"/>
  <c r="H285" i="121"/>
  <c r="I285" i="121" s="1"/>
  <c r="G285" i="121"/>
  <c r="F287" i="121" l="1"/>
  <c r="H286" i="121"/>
  <c r="I286" i="121" s="1"/>
  <c r="G286" i="121"/>
  <c r="F288" i="121" l="1"/>
  <c r="G287" i="121"/>
  <c r="H287" i="121"/>
  <c r="I287" i="121" s="1"/>
  <c r="F289" i="121" l="1"/>
  <c r="H288" i="121"/>
  <c r="I288" i="121" s="1"/>
  <c r="G288" i="121"/>
  <c r="F290" i="121" l="1"/>
  <c r="G289" i="121"/>
  <c r="H289" i="121"/>
  <c r="I289" i="121" s="1"/>
  <c r="F291" i="121" l="1"/>
  <c r="G290" i="121"/>
  <c r="H290" i="121"/>
  <c r="I290" i="121" s="1"/>
  <c r="F292" i="121" l="1"/>
  <c r="G291" i="121"/>
  <c r="H291" i="121"/>
  <c r="I291" i="121" s="1"/>
  <c r="F293" i="121" l="1"/>
  <c r="H292" i="121"/>
  <c r="I292" i="121" s="1"/>
  <c r="G292" i="121"/>
  <c r="F294" i="121" l="1"/>
  <c r="H293" i="121"/>
  <c r="I293" i="121" s="1"/>
  <c r="G293" i="121"/>
  <c r="F295" i="121" l="1"/>
  <c r="H294" i="121"/>
  <c r="I294" i="121" s="1"/>
  <c r="G294" i="121"/>
  <c r="F296" i="121" l="1"/>
  <c r="G295" i="121"/>
  <c r="H295" i="121"/>
  <c r="I295" i="121" s="1"/>
  <c r="F297" i="121" l="1"/>
  <c r="H296" i="121"/>
  <c r="I296" i="121" s="1"/>
  <c r="G296" i="121"/>
  <c r="F298" i="121" l="1"/>
  <c r="G297" i="121"/>
  <c r="H297" i="121"/>
  <c r="I297" i="121" s="1"/>
  <c r="F299" i="121" l="1"/>
  <c r="H298" i="121"/>
  <c r="I298" i="121" s="1"/>
  <c r="G298" i="121"/>
  <c r="F300" i="121" l="1"/>
  <c r="G299" i="121"/>
  <c r="H299" i="121"/>
  <c r="I299" i="121" s="1"/>
  <c r="F301" i="121" l="1"/>
  <c r="H300" i="121"/>
  <c r="I300" i="121" s="1"/>
  <c r="G300" i="121"/>
  <c r="F302" i="121" l="1"/>
  <c r="H301" i="121"/>
  <c r="I301" i="121" s="1"/>
  <c r="G301" i="121"/>
  <c r="F303" i="121" l="1"/>
  <c r="H302" i="121"/>
  <c r="I302" i="121" s="1"/>
  <c r="G302" i="121"/>
  <c r="F304" i="121" l="1"/>
  <c r="G303" i="121"/>
  <c r="H303" i="121"/>
  <c r="I303" i="121" s="1"/>
  <c r="F305" i="121" l="1"/>
  <c r="H304" i="121"/>
  <c r="I304" i="121" s="1"/>
  <c r="G304" i="121"/>
  <c r="F306" i="121" l="1"/>
  <c r="G305" i="121"/>
  <c r="H305" i="121"/>
  <c r="I305" i="121" s="1"/>
  <c r="F307" i="121" l="1"/>
  <c r="G306" i="121"/>
  <c r="H306" i="121"/>
  <c r="I306" i="121" s="1"/>
  <c r="F308" i="121" l="1"/>
  <c r="G307" i="121"/>
  <c r="H307" i="121"/>
  <c r="I307" i="121" s="1"/>
  <c r="F309" i="121" l="1"/>
  <c r="H308" i="121"/>
  <c r="I308" i="121" s="1"/>
  <c r="G308" i="121"/>
  <c r="F310" i="121" l="1"/>
  <c r="H309" i="121"/>
  <c r="I309" i="121" s="1"/>
  <c r="G309" i="121"/>
  <c r="F311" i="121" l="1"/>
  <c r="G310" i="121"/>
  <c r="H310" i="121"/>
  <c r="I310" i="121" s="1"/>
  <c r="F312" i="121" l="1"/>
  <c r="G311" i="121"/>
  <c r="H311" i="121"/>
  <c r="I311" i="121" s="1"/>
  <c r="F313" i="121" l="1"/>
  <c r="H312" i="121"/>
  <c r="I312" i="121" s="1"/>
  <c r="G312" i="121"/>
  <c r="F314" i="121" l="1"/>
  <c r="H313" i="121"/>
  <c r="I313" i="121" s="1"/>
  <c r="G313" i="121"/>
  <c r="F315" i="121" l="1"/>
  <c r="H314" i="121"/>
  <c r="I314" i="121" s="1"/>
  <c r="G314" i="121"/>
  <c r="F316" i="121" l="1"/>
  <c r="G315" i="121"/>
  <c r="H315" i="121"/>
  <c r="I315" i="121" s="1"/>
  <c r="F317" i="121" l="1"/>
  <c r="H316" i="121"/>
  <c r="I316" i="121" s="1"/>
  <c r="G316" i="121"/>
  <c r="F318" i="121" l="1"/>
  <c r="H317" i="121"/>
  <c r="I317" i="121" s="1"/>
  <c r="G317" i="121"/>
  <c r="F319" i="121" l="1"/>
  <c r="G318" i="121"/>
  <c r="H318" i="121"/>
  <c r="I318" i="121" s="1"/>
  <c r="F320" i="121" l="1"/>
  <c r="G319" i="121"/>
  <c r="H319" i="121"/>
  <c r="I319" i="121" s="1"/>
  <c r="F321" i="121" l="1"/>
  <c r="H320" i="121"/>
  <c r="I320" i="121" s="1"/>
  <c r="G320" i="121"/>
  <c r="F322" i="121" l="1"/>
  <c r="G321" i="121"/>
  <c r="H321" i="121"/>
  <c r="I321" i="121" s="1"/>
  <c r="F323" i="121" l="1"/>
  <c r="H322" i="121"/>
  <c r="I322" i="121" s="1"/>
  <c r="G322" i="121"/>
  <c r="F324" i="121" l="1"/>
  <c r="G323" i="121"/>
  <c r="H323" i="121"/>
  <c r="I323" i="121" s="1"/>
  <c r="F325" i="121" l="1"/>
  <c r="H324" i="121"/>
  <c r="I324" i="121" s="1"/>
  <c r="G324" i="121"/>
  <c r="F326" i="121" l="1"/>
  <c r="H325" i="121"/>
  <c r="I325" i="121" s="1"/>
  <c r="G325" i="121"/>
  <c r="F327" i="121" l="1"/>
  <c r="G326" i="121"/>
  <c r="H326" i="121"/>
  <c r="I326" i="121" s="1"/>
  <c r="F328" i="121" l="1"/>
  <c r="G327" i="121"/>
  <c r="H327" i="121"/>
  <c r="I327" i="121" s="1"/>
  <c r="F329" i="121" l="1"/>
  <c r="H328" i="121"/>
  <c r="I328" i="121" s="1"/>
  <c r="G328" i="121"/>
  <c r="F330" i="121" l="1"/>
  <c r="H329" i="121"/>
  <c r="I329" i="121" s="1"/>
  <c r="G329" i="121"/>
  <c r="F331" i="121" l="1"/>
  <c r="H330" i="121"/>
  <c r="I330" i="121" s="1"/>
  <c r="G330" i="121"/>
  <c r="F332" i="121" l="1"/>
  <c r="G331" i="121"/>
  <c r="H331" i="121"/>
  <c r="I331" i="121" s="1"/>
  <c r="F333" i="121" l="1"/>
  <c r="H332" i="121"/>
  <c r="I332" i="121" s="1"/>
  <c r="G332" i="121"/>
  <c r="F334" i="121" l="1"/>
  <c r="G333" i="121"/>
  <c r="H333" i="121"/>
  <c r="I333" i="121" s="1"/>
  <c r="F335" i="121" l="1"/>
  <c r="G334" i="121"/>
  <c r="H334" i="121"/>
  <c r="I334" i="121" s="1"/>
  <c r="F336" i="121" l="1"/>
  <c r="G335" i="121"/>
  <c r="H335" i="121"/>
  <c r="I335" i="121" s="1"/>
  <c r="F337" i="121" l="1"/>
  <c r="H336" i="121"/>
  <c r="I336" i="121" s="1"/>
  <c r="G336" i="121"/>
  <c r="F338" i="121" l="1"/>
  <c r="H337" i="121"/>
  <c r="I337" i="121" s="1"/>
  <c r="G337" i="121"/>
  <c r="F339" i="121" l="1"/>
  <c r="H338" i="121"/>
  <c r="I338" i="121" s="1"/>
  <c r="G338" i="121"/>
  <c r="F340" i="121" l="1"/>
  <c r="G339" i="121"/>
  <c r="H339" i="121"/>
  <c r="I339" i="121" s="1"/>
  <c r="F341" i="121" l="1"/>
  <c r="H340" i="121"/>
  <c r="I340" i="121" s="1"/>
  <c r="G340" i="121"/>
  <c r="F342" i="121" l="1"/>
  <c r="H341" i="121"/>
  <c r="I341" i="121" s="1"/>
  <c r="G341" i="121"/>
  <c r="F343" i="121" l="1"/>
  <c r="G342" i="121"/>
  <c r="H342" i="121"/>
  <c r="I342" i="121" s="1"/>
  <c r="F344" i="121" l="1"/>
  <c r="G343" i="121"/>
  <c r="H343" i="121"/>
  <c r="I343" i="121" s="1"/>
  <c r="F345" i="121" l="1"/>
  <c r="H344" i="121"/>
  <c r="I344" i="121" s="1"/>
  <c r="G344" i="121"/>
  <c r="F346" i="121" l="1"/>
  <c r="H345" i="121"/>
  <c r="I345" i="121" s="1"/>
  <c r="G345" i="121"/>
  <c r="F347" i="121" l="1"/>
  <c r="H346" i="121"/>
  <c r="I346" i="121" s="1"/>
  <c r="G346" i="121"/>
  <c r="F348" i="121" l="1"/>
  <c r="G347" i="121"/>
  <c r="H347" i="121"/>
  <c r="I347" i="121" s="1"/>
  <c r="F349" i="121" l="1"/>
  <c r="H348" i="121"/>
  <c r="I348" i="121" s="1"/>
  <c r="G348" i="121"/>
  <c r="F350" i="121" l="1"/>
  <c r="H349" i="121"/>
  <c r="I349" i="121" s="1"/>
  <c r="G349" i="121"/>
  <c r="F351" i="121" l="1"/>
  <c r="H350" i="121"/>
  <c r="I350" i="121" s="1"/>
  <c r="G350" i="121"/>
  <c r="F352" i="121" l="1"/>
  <c r="G351" i="121"/>
  <c r="H351" i="121"/>
  <c r="I351" i="121" s="1"/>
  <c r="F353" i="121" l="1"/>
  <c r="H352" i="121"/>
  <c r="I352" i="121" s="1"/>
  <c r="G352" i="121"/>
  <c r="F354" i="121" l="1"/>
  <c r="G353" i="121"/>
  <c r="H353" i="121"/>
  <c r="I353" i="121" s="1"/>
  <c r="F355" i="121" l="1"/>
  <c r="G354" i="121"/>
  <c r="H354" i="121"/>
  <c r="I354" i="121" s="1"/>
  <c r="F356" i="121" l="1"/>
  <c r="G355" i="121"/>
  <c r="H355" i="121"/>
  <c r="I355" i="121" s="1"/>
  <c r="F357" i="121" l="1"/>
  <c r="H356" i="121"/>
  <c r="I356" i="121" s="1"/>
  <c r="G356" i="121"/>
  <c r="F358" i="121" l="1"/>
  <c r="H357" i="121"/>
  <c r="I357" i="121" s="1"/>
  <c r="G357" i="121"/>
  <c r="F359" i="121" l="1"/>
  <c r="H358" i="121"/>
  <c r="I358" i="121" s="1"/>
  <c r="G358" i="121"/>
  <c r="F360" i="121" l="1"/>
  <c r="G359" i="121"/>
  <c r="H359" i="121"/>
  <c r="I359" i="121" s="1"/>
  <c r="F361" i="121" l="1"/>
  <c r="H360" i="121"/>
  <c r="I360" i="121" s="1"/>
  <c r="G360" i="121"/>
  <c r="F362" i="121" l="1"/>
  <c r="G361" i="121"/>
  <c r="H361" i="121"/>
  <c r="I361" i="121" s="1"/>
  <c r="F363" i="121" l="1"/>
  <c r="H362" i="121"/>
  <c r="I362" i="121" s="1"/>
  <c r="G362" i="121"/>
  <c r="F364" i="121" l="1"/>
  <c r="G363" i="121"/>
  <c r="H363" i="121"/>
  <c r="I363" i="121" s="1"/>
  <c r="F365" i="121" l="1"/>
  <c r="H364" i="121"/>
  <c r="I364" i="121" s="1"/>
  <c r="G364" i="121"/>
  <c r="F366" i="121" l="1"/>
  <c r="H365" i="121"/>
  <c r="I365" i="121" s="1"/>
  <c r="G365" i="121"/>
  <c r="F367" i="121" l="1"/>
  <c r="H366" i="121"/>
  <c r="I366" i="121" s="1"/>
  <c r="G366" i="121"/>
  <c r="F368" i="121" l="1"/>
  <c r="G367" i="121"/>
  <c r="H367" i="121"/>
  <c r="I367" i="121" s="1"/>
  <c r="F369" i="121" l="1"/>
  <c r="H368" i="121"/>
  <c r="I368" i="121" s="1"/>
  <c r="G368" i="121"/>
  <c r="F370" i="121" l="1"/>
  <c r="G369" i="121"/>
  <c r="H369" i="121"/>
  <c r="I369" i="121" s="1"/>
  <c r="F371" i="121" l="1"/>
  <c r="H370" i="121"/>
  <c r="I370" i="121" s="1"/>
  <c r="G370" i="121"/>
  <c r="F372" i="121" l="1"/>
  <c r="G371" i="121"/>
  <c r="H371" i="121"/>
  <c r="I371" i="121" s="1"/>
  <c r="F373" i="121" l="1"/>
  <c r="H372" i="121"/>
  <c r="I372" i="121" s="1"/>
  <c r="G372" i="121"/>
  <c r="F374" i="121" l="1"/>
  <c r="H373" i="121"/>
  <c r="I373" i="121" s="1"/>
  <c r="G373" i="121"/>
  <c r="F375" i="121" l="1"/>
  <c r="G374" i="121"/>
  <c r="H374" i="121"/>
  <c r="I374" i="121" s="1"/>
  <c r="F376" i="121" l="1"/>
  <c r="G375" i="121"/>
  <c r="H375" i="121"/>
  <c r="I375" i="121" s="1"/>
  <c r="F377" i="121" l="1"/>
  <c r="H376" i="121"/>
  <c r="I376" i="121" s="1"/>
  <c r="G376" i="121"/>
  <c r="F378" i="121" l="1"/>
  <c r="H377" i="121"/>
  <c r="I377" i="121" s="1"/>
  <c r="G377" i="121"/>
  <c r="F379" i="121" l="1"/>
  <c r="H378" i="121"/>
  <c r="I378" i="121" s="1"/>
  <c r="G378" i="121"/>
  <c r="F380" i="121" l="1"/>
  <c r="G379" i="121"/>
  <c r="H379" i="121"/>
  <c r="I379" i="121" s="1"/>
  <c r="F381" i="121" l="1"/>
  <c r="H380" i="121"/>
  <c r="I380" i="121" s="1"/>
  <c r="G380" i="121"/>
  <c r="F382" i="121" l="1"/>
  <c r="H381" i="121"/>
  <c r="I381" i="121" s="1"/>
  <c r="G381" i="121"/>
  <c r="F383" i="121" l="1"/>
  <c r="G382" i="121"/>
  <c r="H382" i="121"/>
  <c r="I382" i="121" s="1"/>
  <c r="F384" i="121" l="1"/>
  <c r="G383" i="121"/>
  <c r="H383" i="121"/>
  <c r="I383" i="121" s="1"/>
  <c r="F385" i="121" l="1"/>
  <c r="H384" i="121"/>
  <c r="I384" i="121" s="1"/>
  <c r="G384" i="121"/>
  <c r="F386" i="121" l="1"/>
  <c r="G385" i="121"/>
  <c r="H385" i="121"/>
  <c r="I385" i="121" s="1"/>
  <c r="F387" i="121" l="1"/>
  <c r="H386" i="121"/>
  <c r="I386" i="121" s="1"/>
  <c r="G386" i="121"/>
  <c r="F388" i="121" l="1"/>
  <c r="G387" i="121"/>
  <c r="H387" i="121"/>
  <c r="I387" i="121" s="1"/>
  <c r="F389" i="121" l="1"/>
  <c r="H388" i="121"/>
  <c r="I388" i="121" s="1"/>
  <c r="G388" i="121"/>
  <c r="F390" i="121" l="1"/>
  <c r="H389" i="121"/>
  <c r="I389" i="121" s="1"/>
  <c r="G389" i="121"/>
  <c r="F391" i="121" l="1"/>
  <c r="G390" i="121"/>
  <c r="H390" i="121"/>
  <c r="I390" i="121" s="1"/>
  <c r="F392" i="121" l="1"/>
  <c r="G391" i="121"/>
  <c r="H391" i="121"/>
  <c r="I391" i="121" s="1"/>
  <c r="F393" i="121" l="1"/>
  <c r="H392" i="121"/>
  <c r="I392" i="121" s="1"/>
  <c r="G392" i="121"/>
  <c r="F394" i="121" l="1"/>
  <c r="H393" i="121"/>
  <c r="I393" i="121" s="1"/>
  <c r="G393" i="121"/>
  <c r="F395" i="121" l="1"/>
  <c r="H394" i="121"/>
  <c r="I394" i="121" s="1"/>
  <c r="G394" i="121"/>
  <c r="F396" i="121" l="1"/>
  <c r="G395" i="121"/>
  <c r="H395" i="121"/>
  <c r="I395" i="121" s="1"/>
  <c r="F397" i="121" l="1"/>
  <c r="H396" i="121"/>
  <c r="I396" i="121" s="1"/>
  <c r="G396" i="121"/>
  <c r="F398" i="121" l="1"/>
  <c r="H397" i="121"/>
  <c r="I397" i="121" s="1"/>
  <c r="G397" i="121"/>
  <c r="F399" i="121" l="1"/>
  <c r="H398" i="121"/>
  <c r="I398" i="121" s="1"/>
  <c r="G398" i="121"/>
  <c r="F400" i="121" l="1"/>
  <c r="G399" i="121"/>
  <c r="H399" i="121"/>
  <c r="I399" i="121" s="1"/>
  <c r="F401" i="121" l="1"/>
  <c r="H400" i="121"/>
  <c r="I400" i="121" s="1"/>
  <c r="G400" i="121"/>
  <c r="F402" i="121" l="1"/>
  <c r="H401" i="121"/>
  <c r="I401" i="121" s="1"/>
  <c r="G401" i="121"/>
  <c r="F403" i="121" l="1"/>
  <c r="H402" i="121"/>
  <c r="I402" i="121" s="1"/>
  <c r="G402" i="121"/>
  <c r="F404" i="121" l="1"/>
  <c r="G403" i="121"/>
  <c r="H403" i="121"/>
  <c r="I403" i="121" s="1"/>
  <c r="F405" i="121" l="1"/>
  <c r="H404" i="121"/>
  <c r="I404" i="121" s="1"/>
  <c r="G404" i="121"/>
  <c r="F406" i="121" l="1"/>
  <c r="H405" i="121"/>
  <c r="I405" i="121" s="1"/>
  <c r="G405" i="121"/>
  <c r="F407" i="121" l="1"/>
  <c r="G406" i="121"/>
  <c r="H406" i="121"/>
  <c r="I406" i="121" s="1"/>
  <c r="F408" i="121" l="1"/>
  <c r="G407" i="121"/>
  <c r="H407" i="121"/>
  <c r="I407" i="121" s="1"/>
  <c r="F409" i="121" l="1"/>
  <c r="H408" i="121"/>
  <c r="I408" i="121" s="1"/>
  <c r="G408" i="121"/>
  <c r="F410" i="121" l="1"/>
  <c r="H409" i="121"/>
  <c r="I409" i="121" s="1"/>
  <c r="G409" i="121"/>
  <c r="F411" i="121" l="1"/>
  <c r="H410" i="121"/>
  <c r="I410" i="121" s="1"/>
  <c r="G410" i="121"/>
  <c r="F412" i="121" l="1"/>
  <c r="G411" i="121"/>
  <c r="H411" i="121"/>
  <c r="I411" i="121" s="1"/>
  <c r="F413" i="121" l="1"/>
  <c r="H412" i="121"/>
  <c r="I412" i="121" s="1"/>
  <c r="G412" i="121"/>
  <c r="F414" i="121" l="1"/>
  <c r="G413" i="121"/>
  <c r="H413" i="121"/>
  <c r="I413" i="121" s="1"/>
  <c r="F415" i="121" l="1"/>
  <c r="H414" i="121"/>
  <c r="I414" i="121" s="1"/>
  <c r="G414" i="121"/>
  <c r="F416" i="121" l="1"/>
  <c r="G415" i="121"/>
  <c r="H415" i="121"/>
  <c r="I415" i="121" s="1"/>
  <c r="F417" i="121" l="1"/>
  <c r="H416" i="121"/>
  <c r="I416" i="121" s="1"/>
  <c r="G416" i="121"/>
  <c r="F418" i="121" l="1"/>
  <c r="G417" i="121"/>
  <c r="H417" i="121"/>
  <c r="I417" i="121" s="1"/>
  <c r="F419" i="121" l="1"/>
  <c r="G418" i="121"/>
  <c r="H418" i="121"/>
  <c r="I418" i="121" s="1"/>
  <c r="F420" i="121" l="1"/>
  <c r="G419" i="121"/>
  <c r="H419" i="121"/>
  <c r="I419" i="121" s="1"/>
  <c r="F421" i="121" l="1"/>
  <c r="H420" i="121"/>
  <c r="I420" i="121" s="1"/>
  <c r="G420" i="121"/>
  <c r="F422" i="121" l="1"/>
  <c r="H421" i="121"/>
  <c r="I421" i="121" s="1"/>
  <c r="G421" i="121"/>
  <c r="F423" i="121" l="1"/>
  <c r="H422" i="121"/>
  <c r="I422" i="121" s="1"/>
  <c r="G422" i="121"/>
  <c r="F424" i="121" l="1"/>
  <c r="G423" i="121"/>
  <c r="H423" i="121"/>
  <c r="I423" i="121" s="1"/>
  <c r="F425" i="121" l="1"/>
  <c r="H424" i="121"/>
  <c r="I424" i="121" s="1"/>
  <c r="G424" i="121"/>
  <c r="F426" i="121" l="1"/>
  <c r="H425" i="121"/>
  <c r="I425" i="121" s="1"/>
  <c r="G425" i="121"/>
  <c r="F427" i="121" l="1"/>
  <c r="H426" i="121"/>
  <c r="I426" i="121" s="1"/>
  <c r="G426" i="121"/>
  <c r="F428" i="121" l="1"/>
  <c r="G427" i="121"/>
  <c r="H427" i="121"/>
  <c r="I427" i="121" s="1"/>
  <c r="F429" i="121" l="1"/>
  <c r="H428" i="121"/>
  <c r="I428" i="121" s="1"/>
  <c r="G428" i="121"/>
  <c r="F430" i="121" l="1"/>
  <c r="H429" i="121"/>
  <c r="I429" i="121" s="1"/>
  <c r="G429" i="121"/>
  <c r="F431" i="121" l="1"/>
  <c r="G430" i="121"/>
  <c r="H430" i="121"/>
  <c r="I430" i="121" s="1"/>
  <c r="F432" i="121" l="1"/>
  <c r="G431" i="121"/>
  <c r="H431" i="121"/>
  <c r="I431" i="121" s="1"/>
  <c r="F433" i="121" l="1"/>
  <c r="H432" i="121"/>
  <c r="I432" i="121" s="1"/>
  <c r="G432" i="121"/>
  <c r="F434" i="121" l="1"/>
  <c r="G433" i="121"/>
  <c r="H433" i="121"/>
  <c r="I433" i="121" s="1"/>
  <c r="F435" i="121" l="1"/>
  <c r="H434" i="121"/>
  <c r="I434" i="121" s="1"/>
  <c r="G434" i="121"/>
  <c r="F436" i="121" l="1"/>
  <c r="G435" i="121"/>
  <c r="H435" i="121"/>
  <c r="I435" i="121" s="1"/>
  <c r="F437" i="121" l="1"/>
  <c r="H436" i="121"/>
  <c r="I436" i="121" s="1"/>
  <c r="G436" i="121"/>
  <c r="F438" i="121" l="1"/>
  <c r="H437" i="121"/>
  <c r="I437" i="121" s="1"/>
  <c r="G437" i="121"/>
  <c r="F439" i="121" l="1"/>
  <c r="G438" i="121"/>
  <c r="H438" i="121"/>
  <c r="I438" i="121" s="1"/>
  <c r="F440" i="121" l="1"/>
  <c r="G439" i="121"/>
  <c r="H439" i="121"/>
  <c r="I439" i="121" s="1"/>
  <c r="F441" i="121" l="1"/>
  <c r="H440" i="121"/>
  <c r="I440" i="121" s="1"/>
  <c r="G440" i="121"/>
  <c r="F442" i="121" l="1"/>
  <c r="G441" i="121"/>
  <c r="H441" i="121"/>
  <c r="I441" i="121" s="1"/>
  <c r="F443" i="121" l="1"/>
  <c r="H442" i="121"/>
  <c r="I442" i="121" s="1"/>
  <c r="G442" i="121"/>
  <c r="F444" i="121" l="1"/>
  <c r="G443" i="121"/>
  <c r="H443" i="121"/>
  <c r="I443" i="121" s="1"/>
  <c r="F445" i="121" l="1"/>
  <c r="H444" i="121"/>
  <c r="I444" i="121" s="1"/>
  <c r="G444" i="121"/>
  <c r="F446" i="121" l="1"/>
  <c r="H445" i="121"/>
  <c r="I445" i="121" s="1"/>
  <c r="G445" i="121"/>
  <c r="F447" i="121" l="1"/>
  <c r="G446" i="121"/>
  <c r="H446" i="121"/>
  <c r="I446" i="121" s="1"/>
  <c r="F448" i="121" l="1"/>
  <c r="G447" i="121"/>
  <c r="H447" i="121"/>
  <c r="I447" i="121" s="1"/>
  <c r="F449" i="121" l="1"/>
  <c r="H448" i="121"/>
  <c r="I448" i="121" s="1"/>
  <c r="G448" i="121"/>
  <c r="F450" i="121" l="1"/>
  <c r="G449" i="121"/>
  <c r="H449" i="121"/>
  <c r="I449" i="121" s="1"/>
  <c r="F451" i="121" l="1"/>
  <c r="H450" i="121"/>
  <c r="I450" i="121" s="1"/>
  <c r="G450" i="121"/>
  <c r="F452" i="121" l="1"/>
  <c r="G451" i="121"/>
  <c r="H451" i="121"/>
  <c r="I451" i="121" s="1"/>
  <c r="F453" i="121" l="1"/>
  <c r="H452" i="121"/>
  <c r="I452" i="121" s="1"/>
  <c r="G452" i="121"/>
  <c r="F454" i="121" l="1"/>
  <c r="H453" i="121"/>
  <c r="I453" i="121" s="1"/>
  <c r="G453" i="121"/>
  <c r="F455" i="121" l="1"/>
  <c r="G454" i="121"/>
  <c r="H454" i="121"/>
  <c r="I454" i="121" s="1"/>
  <c r="F456" i="121" l="1"/>
  <c r="G455" i="121"/>
  <c r="H455" i="121"/>
  <c r="I455" i="121" s="1"/>
  <c r="F457" i="121" l="1"/>
  <c r="H456" i="121"/>
  <c r="I456" i="121" s="1"/>
  <c r="G456" i="121"/>
  <c r="F458" i="121" l="1"/>
  <c r="H457" i="121"/>
  <c r="I457" i="121" s="1"/>
  <c r="G457" i="121"/>
  <c r="F459" i="121" l="1"/>
  <c r="H458" i="121"/>
  <c r="I458" i="121" s="1"/>
  <c r="G458" i="121"/>
  <c r="F460" i="121" l="1"/>
  <c r="G459" i="121"/>
  <c r="H459" i="121"/>
  <c r="I459" i="121" s="1"/>
  <c r="F461" i="121" l="1"/>
  <c r="H460" i="121"/>
  <c r="I460" i="121" s="1"/>
  <c r="G460" i="121"/>
  <c r="F462" i="121" l="1"/>
  <c r="G461" i="121"/>
  <c r="H461" i="121"/>
  <c r="I461" i="121" s="1"/>
  <c r="F463" i="121" l="1"/>
  <c r="H462" i="121"/>
  <c r="I462" i="121" s="1"/>
  <c r="G462" i="121"/>
  <c r="F464" i="121" l="1"/>
  <c r="G463" i="121"/>
  <c r="H463" i="121"/>
  <c r="I463" i="121" s="1"/>
  <c r="F465" i="121" l="1"/>
  <c r="H464" i="121"/>
  <c r="I464" i="121" s="1"/>
  <c r="G464" i="121"/>
  <c r="F466" i="121" l="1"/>
  <c r="H465" i="121"/>
  <c r="I465" i="121" s="1"/>
  <c r="G465" i="121"/>
  <c r="F467" i="121" l="1"/>
  <c r="H466" i="121"/>
  <c r="I466" i="121" s="1"/>
  <c r="G466" i="121"/>
  <c r="F468" i="121" l="1"/>
  <c r="G467" i="121"/>
  <c r="H467" i="121"/>
  <c r="I467" i="121" s="1"/>
  <c r="F469" i="121" l="1"/>
  <c r="H468" i="121"/>
  <c r="I468" i="121" s="1"/>
  <c r="G468" i="121"/>
  <c r="F470" i="121" l="1"/>
  <c r="H469" i="121"/>
  <c r="I469" i="121" s="1"/>
  <c r="G469" i="121"/>
  <c r="F471" i="121" l="1"/>
  <c r="G470" i="121"/>
  <c r="H470" i="121"/>
  <c r="I470" i="121" s="1"/>
  <c r="F472" i="121" l="1"/>
  <c r="G471" i="121"/>
  <c r="H471" i="121"/>
  <c r="I471" i="121" s="1"/>
  <c r="F473" i="121" l="1"/>
  <c r="H472" i="121"/>
  <c r="I472" i="121" s="1"/>
  <c r="G472" i="121"/>
  <c r="F474" i="121" l="1"/>
  <c r="H473" i="121"/>
  <c r="I473" i="121" s="1"/>
  <c r="G473" i="121"/>
  <c r="F475" i="121" l="1"/>
  <c r="H474" i="121"/>
  <c r="I474" i="121" s="1"/>
  <c r="G474" i="121"/>
  <c r="F476" i="121" l="1"/>
  <c r="G475" i="121"/>
  <c r="H475" i="121"/>
  <c r="I475" i="121" s="1"/>
  <c r="F477" i="121" l="1"/>
  <c r="H476" i="121"/>
  <c r="I476" i="121" s="1"/>
  <c r="G476" i="121"/>
  <c r="F478" i="121" l="1"/>
  <c r="H477" i="121"/>
  <c r="I477" i="121" s="1"/>
  <c r="G477" i="121"/>
  <c r="F479" i="121" l="1"/>
  <c r="H478" i="121"/>
  <c r="I478" i="121" s="1"/>
  <c r="G478" i="121"/>
  <c r="F480" i="121" l="1"/>
  <c r="G479" i="121"/>
  <c r="H479" i="121"/>
  <c r="I479" i="121" s="1"/>
  <c r="F481" i="121" l="1"/>
  <c r="H480" i="121"/>
  <c r="I480" i="121" s="1"/>
  <c r="G480" i="121"/>
  <c r="F482" i="121" l="1"/>
  <c r="G481" i="121"/>
  <c r="H481" i="121"/>
  <c r="I481" i="121" s="1"/>
  <c r="F483" i="121" l="1"/>
  <c r="H482" i="121"/>
  <c r="I482" i="121" s="1"/>
  <c r="G482" i="121"/>
  <c r="F484" i="121" l="1"/>
  <c r="G483" i="121"/>
  <c r="H483" i="121"/>
  <c r="I483" i="121" s="1"/>
  <c r="F485" i="121" l="1"/>
  <c r="H484" i="121"/>
  <c r="I484" i="121" s="1"/>
  <c r="G484" i="121"/>
  <c r="F486" i="121" l="1"/>
  <c r="H485" i="121"/>
  <c r="I485" i="121" s="1"/>
  <c r="G485" i="121"/>
  <c r="F487" i="121" l="1"/>
  <c r="H486" i="121"/>
  <c r="I486" i="121" s="1"/>
  <c r="G486" i="121"/>
  <c r="F488" i="121" l="1"/>
  <c r="G487" i="121"/>
  <c r="H487" i="121"/>
  <c r="I487" i="121" s="1"/>
  <c r="F489" i="121" l="1"/>
  <c r="H488" i="121"/>
  <c r="I488" i="121" s="1"/>
  <c r="G488" i="121"/>
  <c r="F490" i="121" l="1"/>
  <c r="H489" i="121"/>
  <c r="I489" i="121" s="1"/>
  <c r="G489" i="121"/>
  <c r="F491" i="121" l="1"/>
  <c r="H490" i="121"/>
  <c r="I490" i="121" s="1"/>
  <c r="G490" i="121"/>
  <c r="F492" i="121" l="1"/>
  <c r="G491" i="121"/>
  <c r="H491" i="121"/>
  <c r="I491" i="121" s="1"/>
  <c r="F493" i="121" l="1"/>
  <c r="H492" i="121"/>
  <c r="I492" i="121" s="1"/>
  <c r="G492" i="121"/>
  <c r="F494" i="121" l="1"/>
  <c r="H493" i="121"/>
  <c r="I493" i="121" s="1"/>
  <c r="G493" i="121"/>
  <c r="F495" i="121" l="1"/>
  <c r="H494" i="121"/>
  <c r="I494" i="121" s="1"/>
  <c r="G494" i="121"/>
  <c r="F496" i="121" l="1"/>
  <c r="G495" i="121"/>
  <c r="H495" i="121"/>
  <c r="I495" i="121" s="1"/>
  <c r="F497" i="121" l="1"/>
  <c r="H496" i="121"/>
  <c r="I496" i="121" s="1"/>
  <c r="G496" i="121"/>
  <c r="F498" i="121" l="1"/>
  <c r="G497" i="121"/>
  <c r="H497" i="121"/>
  <c r="I497" i="121" s="1"/>
  <c r="F499" i="121" l="1"/>
  <c r="H498" i="121"/>
  <c r="I498" i="121" s="1"/>
  <c r="G498" i="121"/>
  <c r="F500" i="121" l="1"/>
  <c r="G499" i="121"/>
  <c r="H499" i="121"/>
  <c r="I499" i="121" s="1"/>
  <c r="F501" i="121" l="1"/>
  <c r="H500" i="121"/>
  <c r="I500" i="121" s="1"/>
  <c r="G500" i="121"/>
  <c r="F502" i="121" l="1"/>
  <c r="H501" i="121"/>
  <c r="I501" i="121" s="1"/>
  <c r="G501" i="121"/>
  <c r="F503" i="121" l="1"/>
  <c r="H502" i="121"/>
  <c r="I502" i="121" s="1"/>
  <c r="G502" i="121"/>
  <c r="F504" i="121" l="1"/>
  <c r="G503" i="121"/>
  <c r="H503" i="121"/>
  <c r="I503" i="121" s="1"/>
  <c r="F505" i="121" l="1"/>
  <c r="H504" i="121"/>
  <c r="I504" i="121" s="1"/>
  <c r="G504" i="121"/>
  <c r="F506" i="121" l="1"/>
  <c r="G505" i="121"/>
  <c r="H505" i="121"/>
  <c r="I505" i="121" s="1"/>
  <c r="F507" i="121" l="1"/>
  <c r="H506" i="121"/>
  <c r="I506" i="121" s="1"/>
  <c r="G506" i="121"/>
  <c r="F508" i="121" l="1"/>
  <c r="G507" i="121"/>
  <c r="H507" i="121"/>
  <c r="I507" i="121" s="1"/>
  <c r="F509" i="121" l="1"/>
  <c r="H508" i="121"/>
  <c r="I508" i="121" s="1"/>
  <c r="G508" i="121"/>
  <c r="F510" i="121" l="1"/>
  <c r="H509" i="121"/>
  <c r="I509" i="121" s="1"/>
  <c r="G509" i="121"/>
  <c r="F511" i="121" l="1"/>
  <c r="H510" i="121"/>
  <c r="I510" i="121" s="1"/>
  <c r="G510" i="121"/>
  <c r="F512" i="121" l="1"/>
  <c r="G511" i="121"/>
  <c r="H511" i="121"/>
  <c r="I511" i="121" s="1"/>
  <c r="F513" i="121" l="1"/>
  <c r="H512" i="121"/>
  <c r="I512" i="121" s="1"/>
  <c r="G512" i="121"/>
  <c r="F514" i="121" l="1"/>
  <c r="H513" i="121"/>
  <c r="I513" i="121" s="1"/>
  <c r="G513" i="121"/>
  <c r="F515" i="121" l="1"/>
  <c r="H514" i="121"/>
  <c r="I514" i="121" s="1"/>
  <c r="G514" i="121"/>
  <c r="F516" i="121" l="1"/>
  <c r="G515" i="121"/>
  <c r="H515" i="121"/>
  <c r="I515" i="121" s="1"/>
  <c r="F517" i="121" l="1"/>
  <c r="H516" i="121"/>
  <c r="I516" i="121" s="1"/>
  <c r="G516" i="121"/>
  <c r="F518" i="121" l="1"/>
  <c r="H517" i="121"/>
  <c r="I517" i="121" s="1"/>
  <c r="G517" i="121"/>
  <c r="F519" i="121" l="1"/>
  <c r="G518" i="121"/>
  <c r="H518" i="121"/>
  <c r="I518" i="121" s="1"/>
  <c r="F520" i="121" l="1"/>
  <c r="G519" i="121"/>
  <c r="H519" i="121"/>
  <c r="I519" i="121" s="1"/>
  <c r="F521" i="121" l="1"/>
  <c r="H520" i="121"/>
  <c r="I520" i="121" s="1"/>
  <c r="G520" i="121"/>
  <c r="F522" i="121" l="1"/>
  <c r="H521" i="121"/>
  <c r="I521" i="121" s="1"/>
  <c r="G521" i="121"/>
  <c r="F523" i="121" l="1"/>
  <c r="H522" i="121"/>
  <c r="I522" i="121" s="1"/>
  <c r="G522" i="121"/>
  <c r="F524" i="121" l="1"/>
  <c r="G523" i="121"/>
  <c r="H523" i="121"/>
  <c r="I523" i="121" s="1"/>
  <c r="F525" i="121" l="1"/>
  <c r="H524" i="121"/>
  <c r="I524" i="121" s="1"/>
  <c r="G524" i="121"/>
  <c r="F526" i="121" l="1"/>
  <c r="G525" i="121"/>
  <c r="H525" i="121"/>
  <c r="I525" i="121" s="1"/>
  <c r="F527" i="121" l="1"/>
  <c r="H526" i="121"/>
  <c r="I526" i="121" s="1"/>
  <c r="G526" i="121"/>
  <c r="F528" i="121" l="1"/>
  <c r="G527" i="121"/>
  <c r="H527" i="121"/>
  <c r="I527" i="121" s="1"/>
  <c r="F529" i="121" l="1"/>
  <c r="H528" i="121"/>
  <c r="I528" i="121" s="1"/>
  <c r="G528" i="121"/>
  <c r="F530" i="121" l="1"/>
  <c r="H529" i="121"/>
  <c r="I529" i="121" s="1"/>
  <c r="G529" i="121"/>
  <c r="F531" i="121" l="1"/>
  <c r="H530" i="121"/>
  <c r="I530" i="121" s="1"/>
  <c r="G530" i="121"/>
  <c r="F532" i="121" l="1"/>
  <c r="G531" i="121"/>
  <c r="H531" i="121"/>
  <c r="I531" i="121" s="1"/>
  <c r="F533" i="121" l="1"/>
  <c r="H532" i="121"/>
  <c r="I532" i="121" s="1"/>
  <c r="G532" i="121"/>
  <c r="F534" i="121" l="1"/>
  <c r="H533" i="121"/>
  <c r="I533" i="121" s="1"/>
  <c r="G533" i="121"/>
  <c r="F535" i="121" l="1"/>
  <c r="G534" i="121"/>
  <c r="H534" i="121"/>
  <c r="I534" i="121" s="1"/>
  <c r="F536" i="121" l="1"/>
  <c r="G535" i="121"/>
  <c r="H535" i="121"/>
  <c r="I535" i="121" s="1"/>
  <c r="F537" i="121" l="1"/>
  <c r="H536" i="121"/>
  <c r="I536" i="121" s="1"/>
  <c r="G536" i="121"/>
  <c r="F538" i="121" l="1"/>
  <c r="G537" i="121"/>
  <c r="H537" i="121"/>
  <c r="I537" i="121" s="1"/>
  <c r="F539" i="121" l="1"/>
  <c r="H538" i="121"/>
  <c r="I538" i="121" s="1"/>
  <c r="G538" i="121"/>
  <c r="F540" i="121" l="1"/>
  <c r="G539" i="121"/>
  <c r="H539" i="121"/>
  <c r="I539" i="121" s="1"/>
  <c r="F541" i="121" l="1"/>
  <c r="H540" i="121"/>
  <c r="I540" i="121" s="1"/>
  <c r="G540" i="121"/>
  <c r="F542" i="121" l="1"/>
  <c r="H541" i="121"/>
  <c r="I541" i="121" s="1"/>
  <c r="G541" i="121"/>
  <c r="F543" i="121" l="1"/>
  <c r="H542" i="121"/>
  <c r="I542" i="121" s="1"/>
  <c r="G542" i="121"/>
  <c r="F544" i="121" l="1"/>
  <c r="G543" i="121"/>
  <c r="H543" i="121"/>
  <c r="I543" i="121" s="1"/>
  <c r="F545" i="121" l="1"/>
  <c r="H544" i="121"/>
  <c r="I544" i="121" s="1"/>
  <c r="G544" i="121"/>
  <c r="F546" i="121" l="1"/>
  <c r="G545" i="121"/>
  <c r="H545" i="121"/>
  <c r="I545" i="121" s="1"/>
  <c r="F547" i="121" l="1"/>
  <c r="H546" i="121"/>
  <c r="I546" i="121" s="1"/>
  <c r="G546" i="121"/>
  <c r="F548" i="121" l="1"/>
  <c r="G547" i="121"/>
  <c r="H547" i="121"/>
  <c r="I547" i="121" s="1"/>
  <c r="F549" i="121" l="1"/>
  <c r="H548" i="121"/>
  <c r="I548" i="121" s="1"/>
  <c r="G548" i="121"/>
  <c r="R78" i="18"/>
  <c r="R77" i="18"/>
  <c r="Q78" i="18"/>
  <c r="Q77" i="18"/>
  <c r="R34" i="18"/>
  <c r="R33" i="18"/>
  <c r="Q34" i="18"/>
  <c r="Q33" i="18"/>
  <c r="R57" i="18"/>
  <c r="R56" i="18"/>
  <c r="Q57" i="18"/>
  <c r="Q56" i="18"/>
  <c r="Q84" i="17"/>
  <c r="Q83" i="17"/>
  <c r="P84" i="17"/>
  <c r="P83" i="17"/>
  <c r="R79" i="44"/>
  <c r="Q79" i="44"/>
  <c r="Q78" i="44"/>
  <c r="R78" i="44"/>
  <c r="R102" i="12"/>
  <c r="R101" i="12"/>
  <c r="Q102" i="12"/>
  <c r="Q101" i="12"/>
  <c r="R79" i="12"/>
  <c r="R78" i="12"/>
  <c r="Q79" i="12"/>
  <c r="Q78" i="12"/>
  <c r="R57" i="12"/>
  <c r="R56" i="12"/>
  <c r="Q57" i="12"/>
  <c r="Q56" i="12"/>
  <c r="R34" i="12"/>
  <c r="R33" i="12"/>
  <c r="Q34" i="12"/>
  <c r="Q33" i="12"/>
  <c r="Q11" i="12"/>
  <c r="P11" i="12"/>
  <c r="Q10" i="12"/>
  <c r="P10" i="12"/>
  <c r="Q11" i="44"/>
  <c r="P11" i="44"/>
  <c r="P10" i="44"/>
  <c r="Q103" i="5"/>
  <c r="Q102" i="5"/>
  <c r="P103" i="5"/>
  <c r="P102" i="5"/>
  <c r="Q56" i="5"/>
  <c r="Q55" i="5"/>
  <c r="P56" i="5"/>
  <c r="P55" i="5"/>
  <c r="P33" i="5"/>
  <c r="P32" i="5"/>
  <c r="Q2" i="133"/>
  <c r="Q57" i="44" s="1"/>
  <c r="M2" i="133"/>
  <c r="Q56" i="44" s="1"/>
  <c r="P11" i="5"/>
  <c r="P10" i="5"/>
  <c r="R2" i="133"/>
  <c r="N2" i="133"/>
  <c r="R57" i="44" l="1"/>
  <c r="F38" i="25" s="1"/>
  <c r="R56" i="44"/>
  <c r="F550" i="121"/>
  <c r="H549" i="121"/>
  <c r="I549" i="121" s="1"/>
  <c r="G549" i="121"/>
  <c r="F551" i="121" l="1"/>
  <c r="H550" i="121"/>
  <c r="I550" i="121" s="1"/>
  <c r="G550" i="121"/>
  <c r="F552" i="121" l="1"/>
  <c r="G551" i="121"/>
  <c r="H551" i="121"/>
  <c r="I551" i="121" s="1"/>
  <c r="AC241" i="118"/>
  <c r="AC240" i="118"/>
  <c r="AC239" i="118"/>
  <c r="AC238" i="118"/>
  <c r="AC237" i="118"/>
  <c r="AC236" i="118"/>
  <c r="AC235" i="118"/>
  <c r="AC234" i="118"/>
  <c r="AC233" i="118"/>
  <c r="AC232" i="118"/>
  <c r="AC231" i="118"/>
  <c r="AC230" i="118"/>
  <c r="AC229" i="118"/>
  <c r="AC228" i="118"/>
  <c r="AC227" i="118"/>
  <c r="AC226" i="118"/>
  <c r="AC225" i="118"/>
  <c r="AC224" i="118"/>
  <c r="AC223" i="118"/>
  <c r="AC222" i="118"/>
  <c r="AC221" i="118"/>
  <c r="AC220" i="118"/>
  <c r="AC219" i="118"/>
  <c r="AC218" i="118"/>
  <c r="AC217" i="118"/>
  <c r="AC216" i="118"/>
  <c r="AC215" i="118"/>
  <c r="AC214" i="118"/>
  <c r="AC213" i="118"/>
  <c r="AC212" i="118"/>
  <c r="AC211" i="118"/>
  <c r="AC210" i="118"/>
  <c r="AC209" i="118"/>
  <c r="AC208" i="118"/>
  <c r="AC207" i="118"/>
  <c r="AC206" i="118"/>
  <c r="AC205" i="118"/>
  <c r="AC204" i="118"/>
  <c r="AC203" i="118"/>
  <c r="AC202" i="118"/>
  <c r="AC201" i="118"/>
  <c r="AC200" i="118"/>
  <c r="AC199" i="118"/>
  <c r="AC198" i="118"/>
  <c r="AC197" i="118"/>
  <c r="AC196" i="118"/>
  <c r="AC195" i="118"/>
  <c r="AC194" i="118"/>
  <c r="AC193" i="118"/>
  <c r="AC192" i="118"/>
  <c r="AC191" i="118"/>
  <c r="AC190" i="118"/>
  <c r="AC189" i="118"/>
  <c r="AC188" i="118"/>
  <c r="AC187" i="118"/>
  <c r="AC186" i="118"/>
  <c r="AC185" i="118"/>
  <c r="AC184" i="118"/>
  <c r="AC183" i="118"/>
  <c r="AC182" i="118"/>
  <c r="AC181" i="118"/>
  <c r="AC180" i="118"/>
  <c r="AC179" i="118"/>
  <c r="AC178" i="118"/>
  <c r="AC177" i="118"/>
  <c r="AC176" i="118"/>
  <c r="AC175" i="118"/>
  <c r="AC174" i="118"/>
  <c r="AC173" i="118"/>
  <c r="AC172" i="118"/>
  <c r="AC171" i="118"/>
  <c r="AC170" i="118"/>
  <c r="AC169" i="118"/>
  <c r="AC168" i="118"/>
  <c r="AC167" i="118"/>
  <c r="AC166" i="118"/>
  <c r="AC165" i="118"/>
  <c r="AC164" i="118"/>
  <c r="AC163" i="118"/>
  <c r="AC162" i="118"/>
  <c r="AC161" i="118"/>
  <c r="AC160" i="118"/>
  <c r="AC159" i="118"/>
  <c r="AC158" i="118"/>
  <c r="AC157" i="118"/>
  <c r="AC156" i="118"/>
  <c r="AC155" i="118"/>
  <c r="AC154" i="118"/>
  <c r="AC153" i="118"/>
  <c r="AC152" i="118"/>
  <c r="AC151" i="118"/>
  <c r="AC150" i="118"/>
  <c r="AC149" i="118"/>
  <c r="AC148" i="118"/>
  <c r="AC147" i="118"/>
  <c r="AC146" i="118"/>
  <c r="AC145" i="118"/>
  <c r="AC144" i="118"/>
  <c r="AC143" i="118"/>
  <c r="AC142" i="118"/>
  <c r="AC141" i="118"/>
  <c r="AC140" i="118"/>
  <c r="AC139" i="118"/>
  <c r="AC138" i="118"/>
  <c r="AC137" i="118"/>
  <c r="AC136" i="118"/>
  <c r="AC135" i="118"/>
  <c r="AC134" i="118"/>
  <c r="AC133" i="118"/>
  <c r="AC132" i="118"/>
  <c r="AC131" i="118"/>
  <c r="AC130" i="118"/>
  <c r="AC129" i="118"/>
  <c r="AC128" i="118"/>
  <c r="AC127" i="118"/>
  <c r="AC126" i="118"/>
  <c r="AC125" i="118"/>
  <c r="AH25" i="118"/>
  <c r="AD25" i="118"/>
  <c r="AC25" i="118"/>
  <c r="AI25" i="118" s="1"/>
  <c r="AK25" i="118" s="1"/>
  <c r="Q25" i="118" s="1"/>
  <c r="P25" i="118"/>
  <c r="T25" i="118" s="1"/>
  <c r="L25" i="118"/>
  <c r="K25" i="118"/>
  <c r="H25" i="118"/>
  <c r="AH24" i="118"/>
  <c r="AC24" i="118"/>
  <c r="P24" i="118"/>
  <c r="L24" i="118"/>
  <c r="K24" i="118"/>
  <c r="H24" i="118"/>
  <c r="AI23" i="118"/>
  <c r="AK23" i="118" s="1"/>
  <c r="Q23" i="118" s="1"/>
  <c r="AH23" i="118"/>
  <c r="AD23" i="118"/>
  <c r="AC23" i="118"/>
  <c r="T23" i="118"/>
  <c r="P23" i="118"/>
  <c r="K23" i="118"/>
  <c r="L23" i="118" s="1"/>
  <c r="H23" i="118"/>
  <c r="AG22" i="118"/>
  <c r="R22" i="118"/>
  <c r="D9" i="120" s="1"/>
  <c r="J22" i="118"/>
  <c r="AH21" i="118"/>
  <c r="AD21" i="118"/>
  <c r="AC21" i="118"/>
  <c r="AI21" i="118" s="1"/>
  <c r="AK21" i="118" s="1"/>
  <c r="Q21" i="118"/>
  <c r="P21" i="118"/>
  <c r="K21" i="118"/>
  <c r="H21" i="118"/>
  <c r="L21" i="118" s="1"/>
  <c r="AH20" i="118"/>
  <c r="AD20" i="118"/>
  <c r="AC20" i="118"/>
  <c r="AI20" i="118" s="1"/>
  <c r="AK20" i="118" s="1"/>
  <c r="Q20" i="118" s="1"/>
  <c r="P20" i="118"/>
  <c r="T20" i="118" s="1"/>
  <c r="L20" i="118"/>
  <c r="K20" i="118"/>
  <c r="H20" i="118"/>
  <c r="AH19" i="118"/>
  <c r="AC19" i="118"/>
  <c r="P19" i="118"/>
  <c r="L19" i="118"/>
  <c r="K19" i="118"/>
  <c r="H19" i="118"/>
  <c r="AI18" i="118"/>
  <c r="AK18" i="118" s="1"/>
  <c r="Q18" i="118" s="1"/>
  <c r="AH18" i="118"/>
  <c r="AD18" i="118"/>
  <c r="AC18" i="118"/>
  <c r="T18" i="118"/>
  <c r="P18" i="118"/>
  <c r="K18" i="118"/>
  <c r="L18" i="118" s="1"/>
  <c r="H18" i="118"/>
  <c r="AH17" i="118"/>
  <c r="AD17" i="118"/>
  <c r="AC17" i="118"/>
  <c r="AI17" i="118" s="1"/>
  <c r="AK17" i="118" s="1"/>
  <c r="Q17" i="118" s="1"/>
  <c r="P17" i="118"/>
  <c r="K17" i="118"/>
  <c r="H17" i="118"/>
  <c r="L17" i="118" s="1"/>
  <c r="AY16" i="118"/>
  <c r="BE16" i="118" s="1"/>
  <c r="BK16" i="118" s="1"/>
  <c r="BO16" i="118" s="1"/>
  <c r="AY15" i="118"/>
  <c r="BE15" i="118" s="1"/>
  <c r="BK15" i="118" s="1"/>
  <c r="BO15" i="118" s="1"/>
  <c r="BK14" i="118"/>
  <c r="BO14" i="118" s="1"/>
  <c r="BE14" i="118"/>
  <c r="AY13" i="118"/>
  <c r="BE13" i="118" s="1"/>
  <c r="BK13" i="118" s="1"/>
  <c r="BO13" i="118" s="1"/>
  <c r="BE12" i="118"/>
  <c r="BK12" i="118" s="1"/>
  <c r="BO12" i="118" s="1"/>
  <c r="AY12" i="118"/>
  <c r="BK11" i="118"/>
  <c r="BO11" i="118" s="1"/>
  <c r="BE11" i="118"/>
  <c r="AY11" i="118"/>
  <c r="BL10" i="118"/>
  <c r="AY10" i="118"/>
  <c r="BE10" i="118" s="1"/>
  <c r="BK10" i="118" s="1"/>
  <c r="BO10" i="118" s="1"/>
  <c r="AW10" i="118"/>
  <c r="BP10" i="118" s="1"/>
  <c r="AU10" i="118"/>
  <c r="AT10" i="118"/>
  <c r="AS10" i="118"/>
  <c r="AV10" i="118" s="1"/>
  <c r="BG10" i="118" s="1"/>
  <c r="AH10" i="118"/>
  <c r="AD10" i="118"/>
  <c r="AC10" i="118"/>
  <c r="P10" i="118"/>
  <c r="T10" i="118" s="1"/>
  <c r="K10" i="118"/>
  <c r="BL9" i="118"/>
  <c r="BE9" i="118"/>
  <c r="BK9" i="118" s="1"/>
  <c r="BO9" i="118" s="1"/>
  <c r="AY9" i="118"/>
  <c r="AW9" i="118"/>
  <c r="BP9" i="118" s="1"/>
  <c r="AV9" i="118"/>
  <c r="BG9" i="118" s="1"/>
  <c r="AU9" i="118"/>
  <c r="AT9" i="118"/>
  <c r="AS9" i="118"/>
  <c r="BF9" i="118" s="1"/>
  <c r="AL9" i="118"/>
  <c r="AH9" i="118"/>
  <c r="AD9" i="118"/>
  <c r="AC9" i="118"/>
  <c r="AI9" i="118" s="1"/>
  <c r="AN9" i="118" s="1"/>
  <c r="P9" i="118"/>
  <c r="T9" i="118" s="1"/>
  <c r="L9" i="118"/>
  <c r="AM9" i="118" s="1"/>
  <c r="K9" i="118"/>
  <c r="H9" i="118"/>
  <c r="BP8" i="118"/>
  <c r="BL8" i="118"/>
  <c r="BK8" i="118"/>
  <c r="BO8" i="118" s="1"/>
  <c r="BE8" i="118"/>
  <c r="AY8" i="118"/>
  <c r="AW8" i="118"/>
  <c r="AV8" i="118"/>
  <c r="BG8" i="118" s="1"/>
  <c r="AU8" i="118"/>
  <c r="AT8" i="118"/>
  <c r="AS8" i="118"/>
  <c r="BF8" i="118" s="1"/>
  <c r="AH8" i="118"/>
  <c r="AC8" i="118"/>
  <c r="AD8" i="118" s="1"/>
  <c r="T8" i="118"/>
  <c r="P8" i="118"/>
  <c r="K8" i="118"/>
  <c r="L8" i="118" s="1"/>
  <c r="H8" i="118"/>
  <c r="AL8" i="118" s="1"/>
  <c r="BG7" i="118"/>
  <c r="BF7" i="118"/>
  <c r="BE7" i="118"/>
  <c r="BK7" i="118" s="1"/>
  <c r="BO7" i="118" s="1"/>
  <c r="AY7" i="118"/>
  <c r="AH7" i="118"/>
  <c r="AC7" i="118"/>
  <c r="AD7" i="118" s="1"/>
  <c r="T7" i="118"/>
  <c r="P7" i="118"/>
  <c r="K7" i="118"/>
  <c r="L7" i="118" s="1"/>
  <c r="H7" i="118"/>
  <c r="AL7" i="118" s="1"/>
  <c r="BG6" i="118"/>
  <c r="BF6" i="118"/>
  <c r="A17" i="102"/>
  <c r="A16" i="102"/>
  <c r="A15" i="102"/>
  <c r="A14" i="102"/>
  <c r="A13" i="102"/>
  <c r="A12" i="102"/>
  <c r="A11" i="102"/>
  <c r="A10" i="102"/>
  <c r="A9" i="102"/>
  <c r="A8" i="102"/>
  <c r="A7" i="102"/>
  <c r="A6" i="102"/>
  <c r="A5" i="102"/>
  <c r="A4" i="102"/>
  <c r="A3" i="102"/>
  <c r="AP2" i="102"/>
  <c r="Q80" i="5" s="1"/>
  <c r="Q82" i="5" s="1"/>
  <c r="G15" i="25" s="1"/>
  <c r="AO2" i="102"/>
  <c r="Q88" i="5" s="1"/>
  <c r="Q90" i="5" s="1"/>
  <c r="AN2" i="102"/>
  <c r="P88" i="5" s="1"/>
  <c r="AL2" i="102"/>
  <c r="Q79" i="5" s="1"/>
  <c r="AK2" i="102"/>
  <c r="Q87" i="5" s="1"/>
  <c r="AJ2" i="102"/>
  <c r="P87" i="5" s="1"/>
  <c r="Q33" i="44"/>
  <c r="P33" i="44"/>
  <c r="Q32" i="44"/>
  <c r="P32" i="44"/>
  <c r="Q11" i="18"/>
  <c r="Q13" i="18" s="1"/>
  <c r="P11" i="18"/>
  <c r="Q10" i="18"/>
  <c r="P10" i="18"/>
  <c r="O15" i="121"/>
  <c r="O16" i="121" s="1"/>
  <c r="Q16" i="121" s="1"/>
  <c r="O14" i="121"/>
  <c r="AI13" i="121"/>
  <c r="AH13" i="121"/>
  <c r="P59" i="17" s="1"/>
  <c r="AE13" i="121"/>
  <c r="Q58" i="17" s="1"/>
  <c r="AD13" i="121"/>
  <c r="P58" i="17" s="1"/>
  <c r="E5" i="121"/>
  <c r="V2" i="92"/>
  <c r="P34" i="17" s="1"/>
  <c r="P33" i="17"/>
  <c r="Y1" i="90"/>
  <c r="Q11" i="17" s="1"/>
  <c r="Q13" i="17" s="1"/>
  <c r="D68" i="25" s="1"/>
  <c r="X1" i="90"/>
  <c r="P11" i="17" s="1"/>
  <c r="T1" i="90"/>
  <c r="Q10" i="17" s="1"/>
  <c r="S1" i="90"/>
  <c r="P10" i="17" s="1"/>
  <c r="R81" i="12"/>
  <c r="H12" i="25"/>
  <c r="Q13" i="5"/>
  <c r="B53" i="18"/>
  <c r="R81" i="44"/>
  <c r="G41" i="25" s="1"/>
  <c r="R59" i="44"/>
  <c r="F41" i="25" s="1"/>
  <c r="Q13" i="44"/>
  <c r="R104" i="12"/>
  <c r="Q126" i="12"/>
  <c r="H25" i="25"/>
  <c r="Q125" i="12"/>
  <c r="E25" i="25"/>
  <c r="D25" i="25"/>
  <c r="P80" i="5"/>
  <c r="C2" i="120"/>
  <c r="K17" i="7"/>
  <c r="G67" i="25"/>
  <c r="F67" i="25"/>
  <c r="E67" i="25"/>
  <c r="D67" i="25"/>
  <c r="G63" i="25"/>
  <c r="F63" i="25"/>
  <c r="E63" i="25"/>
  <c r="D63" i="25"/>
  <c r="G61" i="25"/>
  <c r="F61" i="25"/>
  <c r="E61" i="25"/>
  <c r="D61" i="25"/>
  <c r="B61" i="25"/>
  <c r="G59" i="25"/>
  <c r="F59" i="25"/>
  <c r="E59" i="25"/>
  <c r="D59" i="25"/>
  <c r="B59" i="25"/>
  <c r="G53" i="25"/>
  <c r="F53" i="25"/>
  <c r="E53" i="25"/>
  <c r="D53" i="25"/>
  <c r="G49" i="25"/>
  <c r="B49" i="25"/>
  <c r="B63" i="25" s="1"/>
  <c r="G47" i="25"/>
  <c r="D47" i="25"/>
  <c r="B47" i="25"/>
  <c r="G45" i="25"/>
  <c r="F45" i="25"/>
  <c r="E45" i="25"/>
  <c r="D45" i="25"/>
  <c r="B45" i="25"/>
  <c r="H40" i="25"/>
  <c r="G40" i="25"/>
  <c r="E40" i="25"/>
  <c r="H36" i="25"/>
  <c r="G36" i="25"/>
  <c r="H34" i="25"/>
  <c r="G34" i="25"/>
  <c r="H32" i="25"/>
  <c r="G32" i="25"/>
  <c r="D32" i="25"/>
  <c r="H27" i="25"/>
  <c r="G27" i="25"/>
  <c r="F27" i="25"/>
  <c r="E27" i="25"/>
  <c r="D27" i="25"/>
  <c r="H23" i="25"/>
  <c r="G23" i="25"/>
  <c r="H21" i="25"/>
  <c r="G21" i="25"/>
  <c r="F21" i="25"/>
  <c r="E21" i="25"/>
  <c r="D21" i="25"/>
  <c r="H19" i="25"/>
  <c r="G19" i="25"/>
  <c r="F19" i="25"/>
  <c r="E19" i="25"/>
  <c r="D19" i="25"/>
  <c r="H16" i="25"/>
  <c r="H14" i="25"/>
  <c r="G14" i="25"/>
  <c r="F14" i="25"/>
  <c r="E14" i="25"/>
  <c r="H10" i="25"/>
  <c r="G10" i="25"/>
  <c r="H8" i="25"/>
  <c r="G8" i="25"/>
  <c r="F8" i="25"/>
  <c r="E8" i="25"/>
  <c r="D8" i="25"/>
  <c r="G6" i="25"/>
  <c r="E6" i="25"/>
  <c r="D6" i="25"/>
  <c r="F42" i="9"/>
  <c r="B24" i="9"/>
  <c r="E32" i="25" s="1"/>
  <c r="T2" i="92"/>
  <c r="W2" i="92"/>
  <c r="Q59" i="17" l="1"/>
  <c r="F65" i="25" s="1"/>
  <c r="F553" i="121"/>
  <c r="H552" i="121"/>
  <c r="I552" i="121" s="1"/>
  <c r="G552" i="121"/>
  <c r="P79" i="5"/>
  <c r="E6" i="121"/>
  <c r="R15" i="121"/>
  <c r="N15" i="121" s="1"/>
  <c r="D65" i="25"/>
  <c r="G12" i="25"/>
  <c r="R16" i="121"/>
  <c r="S16" i="121" s="1"/>
  <c r="Q105" i="5"/>
  <c r="H15" i="25" s="1"/>
  <c r="R80" i="18"/>
  <c r="G51" i="25"/>
  <c r="Q35" i="44"/>
  <c r="E41" i="25" s="1"/>
  <c r="D51" i="25"/>
  <c r="G38" i="25"/>
  <c r="G25" i="25"/>
  <c r="Q13" i="12"/>
  <c r="R36" i="12"/>
  <c r="E28" i="25" s="1"/>
  <c r="Q32" i="5"/>
  <c r="Q33" i="17"/>
  <c r="Q33" i="5"/>
  <c r="Q34" i="17"/>
  <c r="Q58" i="5"/>
  <c r="F12" i="25"/>
  <c r="R59" i="12"/>
  <c r="F25" i="25"/>
  <c r="Q86" i="17"/>
  <c r="G65" i="25"/>
  <c r="R36" i="18"/>
  <c r="E51" i="25"/>
  <c r="R59" i="18"/>
  <c r="F54" i="25" s="1"/>
  <c r="F51" i="25"/>
  <c r="O17" i="121"/>
  <c r="AO8" i="118"/>
  <c r="AM8" i="118"/>
  <c r="AP8" i="118"/>
  <c r="Z16" i="118"/>
  <c r="Y16" i="118"/>
  <c r="U16" i="118"/>
  <c r="G16" i="118"/>
  <c r="C16" i="118"/>
  <c r="AF15" i="118"/>
  <c r="AF16" i="118"/>
  <c r="X16" i="118"/>
  <c r="O16" i="118"/>
  <c r="F16" i="118"/>
  <c r="B16" i="118"/>
  <c r="W16" i="118"/>
  <c r="N16" i="118"/>
  <c r="E16" i="118"/>
  <c r="AE15" i="118"/>
  <c r="Z15" i="118"/>
  <c r="V15" i="118"/>
  <c r="M15" i="118"/>
  <c r="D15" i="118"/>
  <c r="AF14" i="118"/>
  <c r="X14" i="118"/>
  <c r="O14" i="118"/>
  <c r="F14" i="118"/>
  <c r="B14" i="118"/>
  <c r="AJ13" i="118"/>
  <c r="AE13" i="118"/>
  <c r="AA13" i="118"/>
  <c r="W13" i="118"/>
  <c r="S13" i="118"/>
  <c r="N13" i="118"/>
  <c r="I13" i="118"/>
  <c r="K13" i="118" s="1"/>
  <c r="E13" i="118"/>
  <c r="Z12" i="118"/>
  <c r="Z22" i="118" s="1"/>
  <c r="V12" i="118"/>
  <c r="M12" i="118"/>
  <c r="D12" i="118"/>
  <c r="Y11" i="118"/>
  <c r="U11" i="118"/>
  <c r="G11" i="118"/>
  <c r="C11" i="118"/>
  <c r="AA16" i="118"/>
  <c r="AA15" i="118"/>
  <c r="W15" i="118"/>
  <c r="S15" i="118"/>
  <c r="N15" i="118"/>
  <c r="I15" i="118"/>
  <c r="K15" i="118" s="1"/>
  <c r="E15" i="118"/>
  <c r="Y14" i="118"/>
  <c r="U14" i="118"/>
  <c r="G14" i="118"/>
  <c r="C14" i="118"/>
  <c r="AF13" i="118"/>
  <c r="X13" i="118"/>
  <c r="O13" i="118"/>
  <c r="F13" i="118"/>
  <c r="B13" i="118"/>
  <c r="AJ12" i="118"/>
  <c r="AE12" i="118"/>
  <c r="AE22" i="118" s="1"/>
  <c r="B22" i="6" s="1"/>
  <c r="AA12" i="118"/>
  <c r="AA22" i="118" s="1"/>
  <c r="W12" i="118"/>
  <c r="W22" i="118" s="1"/>
  <c r="S12" i="118"/>
  <c r="S22" i="118" s="1"/>
  <c r="D11" i="120" s="1"/>
  <c r="N12" i="118"/>
  <c r="I12" i="118"/>
  <c r="E12" i="118"/>
  <c r="Z11" i="118"/>
  <c r="V11" i="118"/>
  <c r="M11" i="118"/>
  <c r="D11" i="118"/>
  <c r="AE16" i="118"/>
  <c r="I16" i="118"/>
  <c r="K16" i="118" s="1"/>
  <c r="U15" i="118"/>
  <c r="C15" i="118"/>
  <c r="AJ14" i="118"/>
  <c r="AA14" i="118"/>
  <c r="S14" i="118"/>
  <c r="I14" i="118"/>
  <c r="K14" i="118" s="1"/>
  <c r="Z13" i="118"/>
  <c r="Y12" i="118"/>
  <c r="Y22" i="118" s="1"/>
  <c r="G12" i="118"/>
  <c r="G22" i="118" s="1"/>
  <c r="AJ11" i="118"/>
  <c r="AA11" i="118"/>
  <c r="S11" i="118"/>
  <c r="I11" i="118"/>
  <c r="K11" i="118" s="1"/>
  <c r="B10" i="118"/>
  <c r="H10" i="118" s="1"/>
  <c r="V16" i="118"/>
  <c r="D16" i="118"/>
  <c r="B15" i="118"/>
  <c r="Z14" i="118"/>
  <c r="Y13" i="118"/>
  <c r="G13" i="118"/>
  <c r="AF12" i="118"/>
  <c r="X12" i="118"/>
  <c r="X22" i="118" s="1"/>
  <c r="O12" i="118"/>
  <c r="O22" i="118" s="1"/>
  <c r="B52" i="6" s="1"/>
  <c r="B52" i="26" s="1"/>
  <c r="F12" i="118"/>
  <c r="AF11" i="118"/>
  <c r="X11" i="118"/>
  <c r="O11" i="118"/>
  <c r="F11" i="118"/>
  <c r="A2" i="102"/>
  <c r="S16" i="118"/>
  <c r="AJ15" i="118"/>
  <c r="Y15" i="118"/>
  <c r="G15" i="118"/>
  <c r="AE14" i="118"/>
  <c r="W14" i="118"/>
  <c r="N14" i="118"/>
  <c r="E14" i="118"/>
  <c r="V13" i="118"/>
  <c r="M13" i="118"/>
  <c r="D13" i="118"/>
  <c r="U12" i="118"/>
  <c r="C12" i="118"/>
  <c r="AE11" i="118"/>
  <c r="W11" i="118"/>
  <c r="N11" i="118"/>
  <c r="E11" i="118"/>
  <c r="AJ16" i="118"/>
  <c r="M16" i="118"/>
  <c r="P16" i="118" s="1"/>
  <c r="X15" i="118"/>
  <c r="O15" i="118"/>
  <c r="F15" i="118"/>
  <c r="V14" i="118"/>
  <c r="M14" i="118"/>
  <c r="D14" i="118"/>
  <c r="U13" i="118"/>
  <c r="C13" i="118"/>
  <c r="B12" i="118"/>
  <c r="B11" i="118"/>
  <c r="AO7" i="118"/>
  <c r="AM7" i="118"/>
  <c r="AP7" i="118"/>
  <c r="AJ9" i="118"/>
  <c r="AO9" i="118"/>
  <c r="AQ9" i="118" s="1"/>
  <c r="BF10" i="118"/>
  <c r="AI7" i="118"/>
  <c r="AI8" i="118"/>
  <c r="AK9" i="118"/>
  <c r="AP9" i="118"/>
  <c r="AI10" i="118"/>
  <c r="AI19" i="118"/>
  <c r="AK19" i="118" s="1"/>
  <c r="Q19" i="118" s="1"/>
  <c r="T19" i="118" s="1"/>
  <c r="AD19" i="118"/>
  <c r="T21" i="118"/>
  <c r="AI24" i="118"/>
  <c r="AK24" i="118" s="1"/>
  <c r="Q24" i="118" s="1"/>
  <c r="T24" i="118" s="1"/>
  <c r="AD24" i="118"/>
  <c r="T17" i="118"/>
  <c r="Q61" i="17" l="1"/>
  <c r="F68" i="25" s="1"/>
  <c r="F554" i="121"/>
  <c r="H553" i="121"/>
  <c r="I553" i="121" s="1"/>
  <c r="G553" i="121"/>
  <c r="N16" i="121"/>
  <c r="P16" i="121"/>
  <c r="AB16" i="118"/>
  <c r="AW16" i="118" s="1"/>
  <c r="BP16" i="118" s="1"/>
  <c r="AH13" i="118"/>
  <c r="H11" i="118"/>
  <c r="AL11" i="118" s="1"/>
  <c r="AB13" i="118"/>
  <c r="AC13" i="118" s="1"/>
  <c r="AB14" i="118"/>
  <c r="AW14" i="118" s="1"/>
  <c r="BP14" i="118" s="1"/>
  <c r="S15" i="121"/>
  <c r="U15" i="121" s="1"/>
  <c r="E26" i="121"/>
  <c r="AS13" i="118"/>
  <c r="BF13" i="118" s="1"/>
  <c r="AT15" i="118"/>
  <c r="AS11" i="118"/>
  <c r="BF11" i="118" s="1"/>
  <c r="AZ9" i="118"/>
  <c r="AR9" i="118"/>
  <c r="BA9" i="118" s="1"/>
  <c r="AN8" i="118"/>
  <c r="AQ8" i="118" s="1"/>
  <c r="AJ8" i="118"/>
  <c r="AK8" i="118" s="1"/>
  <c r="AT14" i="118"/>
  <c r="F22" i="118"/>
  <c r="BW9" i="118"/>
  <c r="AB11" i="118"/>
  <c r="AW11" i="118" s="1"/>
  <c r="BP11" i="118" s="1"/>
  <c r="R125" i="12" s="1"/>
  <c r="N22" i="118"/>
  <c r="B22" i="26"/>
  <c r="BL11" i="118"/>
  <c r="V22" i="118"/>
  <c r="AB12" i="118"/>
  <c r="AC12" i="118" s="1"/>
  <c r="P15" i="118"/>
  <c r="AH15" i="118"/>
  <c r="Q36" i="17"/>
  <c r="E68" i="25" s="1"/>
  <c r="E65" i="25"/>
  <c r="AN10" i="118"/>
  <c r="AJ10" i="118"/>
  <c r="AK10" i="118" s="1"/>
  <c r="AK7" i="118"/>
  <c r="AN7" i="118"/>
  <c r="AQ7" i="118" s="1"/>
  <c r="AJ7" i="118"/>
  <c r="BL13" i="118"/>
  <c r="P13" i="118"/>
  <c r="AJ22" i="118"/>
  <c r="F24" i="6"/>
  <c r="F24" i="26" s="1"/>
  <c r="BL14" i="118"/>
  <c r="AB15" i="118"/>
  <c r="AW15" i="118" s="1"/>
  <c r="BP15" i="118" s="1"/>
  <c r="AS16" i="118"/>
  <c r="O18" i="121"/>
  <c r="Q17" i="121"/>
  <c r="R17" i="121" s="1"/>
  <c r="S17" i="121" s="1"/>
  <c r="Q35" i="5"/>
  <c r="E12" i="25"/>
  <c r="C22" i="118"/>
  <c r="B36" i="6" s="1"/>
  <c r="B36" i="26" s="1"/>
  <c r="BT8" i="118"/>
  <c r="AS12" i="118"/>
  <c r="AL10" i="118"/>
  <c r="L10" i="118"/>
  <c r="AS15" i="118"/>
  <c r="AT11" i="118"/>
  <c r="AT12" i="118"/>
  <c r="E22" i="118"/>
  <c r="BW8" i="118"/>
  <c r="H13" i="118"/>
  <c r="AL13" i="118" s="1"/>
  <c r="D22" i="118"/>
  <c r="AT13" i="118"/>
  <c r="BW7" i="118"/>
  <c r="H14" i="118"/>
  <c r="AL14" i="118" s="1"/>
  <c r="AH14" i="118"/>
  <c r="B22" i="118"/>
  <c r="H12" i="118"/>
  <c r="AL12" i="118" s="1"/>
  <c r="AL22" i="118" s="1"/>
  <c r="BT7" i="118"/>
  <c r="P14" i="118"/>
  <c r="U22" i="118"/>
  <c r="BL12" i="118"/>
  <c r="AH11" i="118"/>
  <c r="AF22" i="118"/>
  <c r="AH12" i="118"/>
  <c r="H15" i="118"/>
  <c r="AL15" i="118" s="1"/>
  <c r="BL15" i="118"/>
  <c r="P11" i="118"/>
  <c r="I22" i="118"/>
  <c r="K12" i="118"/>
  <c r="AS14" i="118"/>
  <c r="M22" i="118"/>
  <c r="BT9" i="118"/>
  <c r="P12" i="118"/>
  <c r="AT16" i="118"/>
  <c r="H16" i="118"/>
  <c r="AL16" i="118" s="1"/>
  <c r="AH16" i="118"/>
  <c r="AC16" i="118"/>
  <c r="BL16" i="118"/>
  <c r="AU12" i="118" l="1"/>
  <c r="AU22" i="118" s="1"/>
  <c r="AU16" i="118"/>
  <c r="AU11" i="118"/>
  <c r="AV11" i="118" s="1"/>
  <c r="BG11" i="118" s="1"/>
  <c r="P22" i="118"/>
  <c r="D5" i="120" s="1"/>
  <c r="L11" i="118"/>
  <c r="AP11" i="118" s="1"/>
  <c r="F555" i="121"/>
  <c r="H554" i="121"/>
  <c r="I554" i="121" s="1"/>
  <c r="G554" i="121"/>
  <c r="AU13" i="118"/>
  <c r="AV13" i="118" s="1"/>
  <c r="BG13" i="118" s="1"/>
  <c r="AW13" i="118"/>
  <c r="BP13" i="118" s="1"/>
  <c r="L13" i="118"/>
  <c r="AP13" i="118" s="1"/>
  <c r="BW10" i="118"/>
  <c r="AC14" i="118"/>
  <c r="AI14" i="118" s="1"/>
  <c r="AU14" i="118"/>
  <c r="AV14" i="118" s="1"/>
  <c r="BG14" i="118" s="1"/>
  <c r="AU15" i="118"/>
  <c r="AV15" i="118" s="1"/>
  <c r="BG15" i="118" s="1"/>
  <c r="AC15" i="118"/>
  <c r="AI15" i="118" s="1"/>
  <c r="H22" i="118"/>
  <c r="D6" i="120" s="1"/>
  <c r="L12" i="118"/>
  <c r="AP12" i="118" s="1"/>
  <c r="AP22" i="118" s="1"/>
  <c r="AC11" i="118"/>
  <c r="AI11" i="118" s="1"/>
  <c r="I14" i="7"/>
  <c r="B41" i="6"/>
  <c r="B41" i="26" s="1"/>
  <c r="AH22" i="118"/>
  <c r="B27" i="6"/>
  <c r="AT22" i="118"/>
  <c r="I8" i="7"/>
  <c r="AM10" i="118"/>
  <c r="O3" i="118"/>
  <c r="AP10" i="118"/>
  <c r="AO10" i="118"/>
  <c r="AQ10" i="118" s="1"/>
  <c r="P17" i="121"/>
  <c r="N17" i="121"/>
  <c r="L16" i="118"/>
  <c r="K22" i="118"/>
  <c r="D39" i="6"/>
  <c r="D39" i="26" s="1"/>
  <c r="D10" i="120"/>
  <c r="B11" i="6"/>
  <c r="BT10" i="118"/>
  <c r="E27" i="121"/>
  <c r="O19" i="121"/>
  <c r="Q18" i="121"/>
  <c r="R18" i="121" s="1"/>
  <c r="S18" i="121" s="1"/>
  <c r="AB22" i="118"/>
  <c r="B16" i="6" s="1"/>
  <c r="B16" i="26" s="1"/>
  <c r="AW12" i="118"/>
  <c r="AI16" i="118"/>
  <c r="AD16" i="118"/>
  <c r="AI12" i="118"/>
  <c r="AD12" i="118"/>
  <c r="B32" i="6"/>
  <c r="BF15" i="118"/>
  <c r="L15" i="118"/>
  <c r="D7" i="120"/>
  <c r="B47" i="6"/>
  <c r="AR8" i="118"/>
  <c r="BA8" i="118" s="1"/>
  <c r="AZ8" i="118"/>
  <c r="BF14" i="118"/>
  <c r="L14" i="118"/>
  <c r="AS22" i="118"/>
  <c r="AV12" i="118"/>
  <c r="BF12" i="118"/>
  <c r="I11" i="7"/>
  <c r="BF16" i="118"/>
  <c r="AV16" i="118"/>
  <c r="BG16" i="118" s="1"/>
  <c r="AI13" i="118"/>
  <c r="AD13" i="118"/>
  <c r="AR7" i="118"/>
  <c r="BA7" i="118" s="1"/>
  <c r="AZ7" i="118"/>
  <c r="AO11" i="118"/>
  <c r="AD15" i="118" l="1"/>
  <c r="AM11" i="118"/>
  <c r="F556" i="121"/>
  <c r="G555" i="121"/>
  <c r="H555" i="121"/>
  <c r="I555" i="121" s="1"/>
  <c r="AM13" i="118"/>
  <c r="AM12" i="118"/>
  <c r="AM22" i="118" s="1"/>
  <c r="AO12" i="118"/>
  <c r="AO22" i="118" s="1"/>
  <c r="AO13" i="118"/>
  <c r="AD11" i="118"/>
  <c r="E8" i="121"/>
  <c r="AD14" i="118"/>
  <c r="L22" i="118"/>
  <c r="D4" i="120" s="1"/>
  <c r="AC22" i="118"/>
  <c r="AD22" i="118" s="1"/>
  <c r="AZ10" i="118"/>
  <c r="AR10" i="118"/>
  <c r="BA10" i="118" s="1"/>
  <c r="AN13" i="118"/>
  <c r="AK13" i="118"/>
  <c r="Q13" i="118" s="1"/>
  <c r="T13" i="118" s="1"/>
  <c r="D50" i="6"/>
  <c r="B47" i="26"/>
  <c r="D50" i="26" s="1"/>
  <c r="Q19" i="121"/>
  <c r="O20" i="121"/>
  <c r="O21" i="121" s="1"/>
  <c r="I17" i="7"/>
  <c r="B27" i="26"/>
  <c r="D25" i="26" s="1"/>
  <c r="D25" i="6"/>
  <c r="AN11" i="118"/>
  <c r="AQ11" i="118" s="1"/>
  <c r="AK11" i="118"/>
  <c r="Q11" i="118" s="1"/>
  <c r="T11" i="118" s="1"/>
  <c r="AI22" i="118"/>
  <c r="AV22" i="118"/>
  <c r="BG12" i="118"/>
  <c r="D34" i="6"/>
  <c r="B32" i="26"/>
  <c r="D34" i="26" s="1"/>
  <c r="F37" i="26" s="1"/>
  <c r="D46" i="26" s="1"/>
  <c r="AP14" i="118"/>
  <c r="AM14" i="118"/>
  <c r="AO14" i="118"/>
  <c r="AP15" i="118"/>
  <c r="AM15" i="118"/>
  <c r="AO15" i="118"/>
  <c r="AW22" i="118"/>
  <c r="BP12" i="118"/>
  <c r="R126" i="12" s="1"/>
  <c r="AK15" i="118"/>
  <c r="Q15" i="118" s="1"/>
  <c r="T15" i="118" s="1"/>
  <c r="AN15" i="118"/>
  <c r="AN12" i="118"/>
  <c r="AK12" i="118"/>
  <c r="Q12" i="118" s="1"/>
  <c r="T12" i="118" s="1"/>
  <c r="AK16" i="118"/>
  <c r="Q16" i="118" s="1"/>
  <c r="T16" i="118" s="1"/>
  <c r="AN16" i="118"/>
  <c r="P18" i="121"/>
  <c r="N18" i="121"/>
  <c r="H27" i="6"/>
  <c r="B11" i="26"/>
  <c r="D14" i="6"/>
  <c r="F33" i="6"/>
  <c r="AP16" i="118"/>
  <c r="AM16" i="118"/>
  <c r="AO16" i="118"/>
  <c r="AK14" i="118"/>
  <c r="Q14" i="118" s="1"/>
  <c r="T14" i="118" s="1"/>
  <c r="AN14" i="118"/>
  <c r="E28" i="121"/>
  <c r="F557" i="121" l="1"/>
  <c r="H556" i="121"/>
  <c r="I556" i="121" s="1"/>
  <c r="G556" i="121"/>
  <c r="AQ13" i="118"/>
  <c r="AZ13" i="118" s="1"/>
  <c r="AQ14" i="118"/>
  <c r="AZ14" i="118" s="1"/>
  <c r="Q21" i="121"/>
  <c r="O22" i="121"/>
  <c r="E9" i="121"/>
  <c r="AQ15" i="118"/>
  <c r="AR15" i="118" s="1"/>
  <c r="BA15" i="118" s="1"/>
  <c r="H27" i="26"/>
  <c r="D14" i="26"/>
  <c r="F19" i="26" s="1"/>
  <c r="H21" i="26" s="1"/>
  <c r="F33" i="26"/>
  <c r="J33" i="26" s="1"/>
  <c r="AN22" i="118"/>
  <c r="AQ12" i="118"/>
  <c r="H38" i="25"/>
  <c r="R128" i="12"/>
  <c r="H41" i="25" s="1"/>
  <c r="I27" i="7"/>
  <c r="F37" i="6"/>
  <c r="D46" i="6" s="1"/>
  <c r="Q20" i="121"/>
  <c r="R20" i="121" s="1"/>
  <c r="S20" i="121" s="1"/>
  <c r="AR13" i="118"/>
  <c r="BA13" i="118" s="1"/>
  <c r="AQ16" i="118"/>
  <c r="AK22" i="118"/>
  <c r="Q22" i="118" s="1"/>
  <c r="T22" i="118" s="1"/>
  <c r="D8" i="120"/>
  <c r="C13" i="120" s="1"/>
  <c r="A14" i="120" s="1"/>
  <c r="AZ11" i="118"/>
  <c r="AR11" i="118"/>
  <c r="BA11" i="118" s="1"/>
  <c r="G11" i="6"/>
  <c r="F19" i="6"/>
  <c r="H21" i="6" s="1"/>
  <c r="J25" i="6" s="1"/>
  <c r="E29" i="121"/>
  <c r="E11" i="121"/>
  <c r="R19" i="121"/>
  <c r="S19" i="121" s="1"/>
  <c r="F44" i="26"/>
  <c r="F48" i="26"/>
  <c r="F558" i="121" l="1"/>
  <c r="H557" i="121"/>
  <c r="I557" i="121" s="1"/>
  <c r="G557" i="121"/>
  <c r="AR14" i="118"/>
  <c r="BA14" i="118" s="1"/>
  <c r="AZ15" i="118"/>
  <c r="Q22" i="121"/>
  <c r="O23" i="121"/>
  <c r="R21" i="121"/>
  <c r="S21" i="121" s="1"/>
  <c r="L37" i="26"/>
  <c r="I32" i="7" s="1"/>
  <c r="AZ16" i="118"/>
  <c r="AR16" i="118"/>
  <c r="BA16" i="118" s="1"/>
  <c r="AZ12" i="118"/>
  <c r="AR12" i="118"/>
  <c r="AQ22" i="118"/>
  <c r="F44" i="6"/>
  <c r="F48" i="6"/>
  <c r="P19" i="121"/>
  <c r="J33" i="6"/>
  <c r="L30" i="6" s="1"/>
  <c r="N20" i="121"/>
  <c r="P20" i="121"/>
  <c r="N19" i="121"/>
  <c r="E12" i="121"/>
  <c r="E30" i="121"/>
  <c r="J25" i="26"/>
  <c r="L30" i="26" s="1"/>
  <c r="F559" i="121" l="1"/>
  <c r="H558" i="121"/>
  <c r="I558" i="121" s="1"/>
  <c r="G558" i="121"/>
  <c r="E10" i="121"/>
  <c r="R22" i="121"/>
  <c r="S22" i="121" s="1"/>
  <c r="P21" i="121"/>
  <c r="E31" i="121"/>
  <c r="Q23" i="121"/>
  <c r="R23" i="121" s="1"/>
  <c r="S23" i="121" s="1"/>
  <c r="O24" i="121"/>
  <c r="N21" i="121"/>
  <c r="L37" i="6"/>
  <c r="N33" i="6" s="1"/>
  <c r="I22" i="7"/>
  <c r="N33" i="26"/>
  <c r="I36" i="7"/>
  <c r="AR22" i="118"/>
  <c r="BA12" i="118"/>
  <c r="F560" i="121" l="1"/>
  <c r="G559" i="121"/>
  <c r="H559" i="121"/>
  <c r="I559" i="121" s="1"/>
  <c r="Q24" i="121"/>
  <c r="O25" i="121"/>
  <c r="N22" i="121"/>
  <c r="N23" i="121"/>
  <c r="P23" i="121"/>
  <c r="P22" i="121"/>
  <c r="E32" i="121"/>
  <c r="E14" i="121"/>
  <c r="I42" i="7"/>
  <c r="I39" i="7"/>
  <c r="E13" i="121"/>
  <c r="F561" i="121" l="1"/>
  <c r="H560" i="121"/>
  <c r="I560" i="121" s="1"/>
  <c r="G560" i="121"/>
  <c r="E15" i="121"/>
  <c r="Q25" i="121"/>
  <c r="O26" i="121"/>
  <c r="O27" i="121" s="1"/>
  <c r="E33" i="121"/>
  <c r="E16" i="121"/>
  <c r="R24" i="121"/>
  <c r="S24" i="121" s="1"/>
  <c r="F562" i="121" l="1"/>
  <c r="H561" i="121"/>
  <c r="I561" i="121" s="1"/>
  <c r="G561" i="121"/>
  <c r="P24" i="121"/>
  <c r="O28" i="121"/>
  <c r="Q27" i="121"/>
  <c r="Q26" i="121"/>
  <c r="N24" i="121"/>
  <c r="R25" i="121"/>
  <c r="S25" i="121" s="1"/>
  <c r="E34" i="121"/>
  <c r="F563" i="121" l="1"/>
  <c r="G562" i="121"/>
  <c r="H562" i="121"/>
  <c r="I562" i="121" s="1"/>
  <c r="Q28" i="121"/>
  <c r="O29" i="121"/>
  <c r="E17" i="121"/>
  <c r="R27" i="121"/>
  <c r="S27" i="121" s="1"/>
  <c r="E18" i="121"/>
  <c r="N25" i="121"/>
  <c r="P25" i="121"/>
  <c r="R26" i="121"/>
  <c r="S26" i="121" s="1"/>
  <c r="E35" i="121"/>
  <c r="F564" i="121" l="1"/>
  <c r="G563" i="121"/>
  <c r="H563" i="121"/>
  <c r="I563" i="121" s="1"/>
  <c r="E36" i="121"/>
  <c r="P27" i="121"/>
  <c r="P26" i="121"/>
  <c r="N27" i="121"/>
  <c r="Q29" i="121"/>
  <c r="R29" i="121" s="1"/>
  <c r="S29" i="121" s="1"/>
  <c r="O30" i="121"/>
  <c r="R28" i="121"/>
  <c r="S28" i="121" s="1"/>
  <c r="N26" i="121"/>
  <c r="F565" i="121" l="1"/>
  <c r="H564" i="121"/>
  <c r="I564" i="121" s="1"/>
  <c r="G564" i="121"/>
  <c r="P28" i="121"/>
  <c r="N29" i="121"/>
  <c r="P29" i="121"/>
  <c r="N28" i="121"/>
  <c r="O31" i="121"/>
  <c r="R30" i="121"/>
  <c r="E19" i="121"/>
  <c r="E20" i="121"/>
  <c r="E37" i="121"/>
  <c r="F566" i="121" l="1"/>
  <c r="H565" i="121"/>
  <c r="I565" i="121" s="1"/>
  <c r="G565" i="121"/>
  <c r="S30" i="121"/>
  <c r="U30" i="121" s="1"/>
  <c r="P30" i="121"/>
  <c r="N30" i="121"/>
  <c r="O32" i="121"/>
  <c r="Q31" i="121"/>
  <c r="E38" i="121"/>
  <c r="E21" i="121"/>
  <c r="G566" i="121" l="1"/>
  <c r="H566" i="121"/>
  <c r="I566" i="121" s="1"/>
  <c r="R31" i="121"/>
  <c r="S31" i="121" s="1"/>
  <c r="Q32" i="121"/>
  <c r="O33" i="121"/>
  <c r="E39" i="121"/>
  <c r="P31" i="121" l="1"/>
  <c r="Q33" i="121"/>
  <c r="O34" i="121"/>
  <c r="N31" i="121"/>
  <c r="R32" i="121"/>
  <c r="S32" i="121" s="1"/>
  <c r="E23" i="121"/>
  <c r="E22" i="121"/>
  <c r="E40" i="121"/>
  <c r="N32" i="121" l="1"/>
  <c r="P32" i="121"/>
  <c r="O35" i="121"/>
  <c r="Q34" i="121"/>
  <c r="E25" i="121"/>
  <c r="E41" i="121"/>
  <c r="R33" i="121"/>
  <c r="S33" i="121" s="1"/>
  <c r="E24" i="121"/>
  <c r="N33" i="121" l="1"/>
  <c r="P33" i="121"/>
  <c r="R34" i="121"/>
  <c r="S34" i="121" s="1"/>
  <c r="Q35" i="121"/>
  <c r="O36" i="121"/>
  <c r="R35" i="121"/>
  <c r="S35" i="121" s="1"/>
  <c r="E42" i="121"/>
  <c r="E43" i="121" l="1"/>
  <c r="N34" i="121"/>
  <c r="O37" i="121"/>
  <c r="Q36" i="121"/>
  <c r="R36" i="121"/>
  <c r="S36" i="121" s="1"/>
  <c r="N35" i="121"/>
  <c r="P35" i="121"/>
  <c r="P34" i="121"/>
  <c r="N36" i="121" l="1"/>
  <c r="Q37" i="121"/>
  <c r="O38" i="121"/>
  <c r="R37" i="121"/>
  <c r="S37" i="121" s="1"/>
  <c r="E44" i="121"/>
  <c r="O39" i="121" l="1"/>
  <c r="Q38" i="121"/>
  <c r="R38" i="121"/>
  <c r="S38" i="121" s="1"/>
  <c r="N37" i="121"/>
  <c r="E45" i="121"/>
  <c r="N38" i="121" l="1"/>
  <c r="R39" i="121"/>
  <c r="S39" i="121" s="1"/>
  <c r="O40" i="121"/>
  <c r="Q39" i="121"/>
  <c r="E46" i="121"/>
  <c r="E47" i="121" l="1"/>
  <c r="N39" i="121"/>
  <c r="O41" i="121"/>
  <c r="Q40" i="121"/>
  <c r="R40" i="121"/>
  <c r="S40" i="121" s="1"/>
  <c r="N40" i="121" l="1"/>
  <c r="O42" i="121"/>
  <c r="Q41" i="121"/>
  <c r="R41" i="121"/>
  <c r="S41" i="121" s="1"/>
  <c r="E48" i="121"/>
  <c r="N41" i="121" l="1"/>
  <c r="R42" i="121"/>
  <c r="S42" i="121" s="1"/>
  <c r="Q42" i="121"/>
  <c r="O43" i="121"/>
  <c r="E49" i="121"/>
  <c r="Q43" i="121" l="1"/>
  <c r="O44" i="121"/>
  <c r="R43" i="121"/>
  <c r="S43" i="121" s="1"/>
  <c r="E50" i="121"/>
  <c r="N42" i="121"/>
  <c r="O45" i="121" l="1"/>
  <c r="Q44" i="121"/>
  <c r="N43" i="121"/>
  <c r="E51" i="121"/>
  <c r="R44" i="121" l="1"/>
  <c r="S44" i="121" s="1"/>
  <c r="O46" i="121"/>
  <c r="Q45" i="121"/>
  <c r="R45" i="121"/>
  <c r="S45" i="121" s="1"/>
  <c r="E52" i="121"/>
  <c r="N45" i="121" l="1"/>
  <c r="O47" i="121"/>
  <c r="Q46" i="121"/>
  <c r="R46" i="121"/>
  <c r="S46" i="121" s="1"/>
  <c r="N44" i="121"/>
  <c r="E53" i="121"/>
  <c r="N46" i="121" l="1"/>
  <c r="Q47" i="121"/>
  <c r="O48" i="121"/>
  <c r="R47" i="121"/>
  <c r="S47" i="121" s="1"/>
  <c r="E54" i="121"/>
  <c r="E55" i="121" l="1"/>
  <c r="N47" i="121"/>
  <c r="Q48" i="121"/>
  <c r="O49" i="121"/>
  <c r="R48" i="121"/>
  <c r="S48" i="121" s="1"/>
  <c r="E56" i="121" l="1"/>
  <c r="R49" i="121"/>
  <c r="S49" i="121" s="1"/>
  <c r="O50" i="121"/>
  <c r="Q49" i="121"/>
  <c r="N48" i="121"/>
  <c r="N49" i="121" l="1"/>
  <c r="E57" i="121"/>
  <c r="O51" i="121"/>
  <c r="Q50" i="121"/>
  <c r="R50" i="121"/>
  <c r="S50" i="121" s="1"/>
  <c r="N50" i="121" l="1"/>
  <c r="E58" i="121"/>
  <c r="Q51" i="121"/>
  <c r="O52" i="121"/>
  <c r="R51" i="121"/>
  <c r="S51" i="121" s="1"/>
  <c r="N51" i="121" l="1"/>
  <c r="O53" i="121"/>
  <c r="R52" i="121"/>
  <c r="S52" i="121" s="1"/>
  <c r="Q52" i="121"/>
  <c r="E59" i="121"/>
  <c r="E60" i="121" l="1"/>
  <c r="N52" i="121"/>
  <c r="Q53" i="121"/>
  <c r="R53" i="121"/>
  <c r="S53" i="121" s="1"/>
  <c r="O54" i="121"/>
  <c r="N53" i="121" l="1"/>
  <c r="Q54" i="121"/>
  <c r="R54" i="121"/>
  <c r="S54" i="121" s="1"/>
  <c r="O55" i="121"/>
  <c r="E61" i="121"/>
  <c r="O56" i="121" l="1"/>
  <c r="R55" i="121"/>
  <c r="S55" i="121" s="1"/>
  <c r="Q55" i="121"/>
  <c r="N54" i="121"/>
  <c r="E62" i="121"/>
  <c r="N55" i="121" l="1"/>
  <c r="E63" i="121"/>
  <c r="Q56" i="121"/>
  <c r="R56" i="121"/>
  <c r="S56" i="121" s="1"/>
  <c r="O57" i="121"/>
  <c r="N56" i="121" l="1"/>
  <c r="O58" i="121"/>
  <c r="Q57" i="121"/>
  <c r="R57" i="121"/>
  <c r="S57" i="121" s="1"/>
  <c r="E64" i="121"/>
  <c r="E65" i="121" l="1"/>
  <c r="N57" i="121"/>
  <c r="O59" i="121"/>
  <c r="R58" i="121"/>
  <c r="S58" i="121" s="1"/>
  <c r="Q58" i="121"/>
  <c r="N58" i="121" l="1"/>
  <c r="O60" i="121"/>
  <c r="Q59" i="121"/>
  <c r="R59" i="121"/>
  <c r="S59" i="121" s="1"/>
  <c r="E66" i="121"/>
  <c r="N59" i="121" l="1"/>
  <c r="Q60" i="121"/>
  <c r="R60" i="121"/>
  <c r="S60" i="121" s="1"/>
  <c r="O61" i="121"/>
  <c r="E67" i="121"/>
  <c r="N60" i="121" l="1"/>
  <c r="E68" i="121"/>
  <c r="R61" i="121"/>
  <c r="S61" i="121" s="1"/>
  <c r="Q61" i="121"/>
  <c r="O62" i="121"/>
  <c r="E69" i="121" l="1"/>
  <c r="R62" i="121"/>
  <c r="S62" i="121" s="1"/>
  <c r="O63" i="121"/>
  <c r="Q62" i="121"/>
  <c r="N61" i="121"/>
  <c r="N62" i="121" l="1"/>
  <c r="R63" i="121"/>
  <c r="S63" i="121" s="1"/>
  <c r="Q63" i="121"/>
  <c r="O64" i="121"/>
  <c r="E70" i="121"/>
  <c r="O65" i="121" l="1"/>
  <c r="Q64" i="121"/>
  <c r="R64" i="121"/>
  <c r="S64" i="121" s="1"/>
  <c r="N63" i="121"/>
  <c r="E71" i="121"/>
  <c r="N64" i="121" l="1"/>
  <c r="Q65" i="121"/>
  <c r="R65" i="121"/>
  <c r="S65" i="121" s="1"/>
  <c r="O66" i="121"/>
  <c r="E72" i="121"/>
  <c r="O67" i="121" l="1"/>
  <c r="Q66" i="121"/>
  <c r="R66" i="121"/>
  <c r="S66" i="121" s="1"/>
  <c r="N65" i="121"/>
  <c r="E73" i="121"/>
  <c r="N66" i="121" l="1"/>
  <c r="E74" i="121"/>
  <c r="Q67" i="121"/>
  <c r="O68" i="121"/>
  <c r="R67" i="121"/>
  <c r="S67" i="121" s="1"/>
  <c r="E75" i="121" l="1"/>
  <c r="Q68" i="121"/>
  <c r="R68" i="121"/>
  <c r="S68" i="121" s="1"/>
  <c r="O69" i="121"/>
  <c r="N67" i="121"/>
  <c r="Q69" i="121" l="1"/>
  <c r="R69" i="121"/>
  <c r="S69" i="121" s="1"/>
  <c r="O70" i="121"/>
  <c r="N68" i="121"/>
  <c r="E76" i="121"/>
  <c r="O71" i="121" l="1"/>
  <c r="R70" i="121"/>
  <c r="S70" i="121" s="1"/>
  <c r="Q70" i="121"/>
  <c r="N69" i="121"/>
  <c r="E77" i="121"/>
  <c r="E78" i="121" l="1"/>
  <c r="N70" i="121"/>
  <c r="R71" i="121"/>
  <c r="S71" i="121" s="1"/>
  <c r="Q71" i="121"/>
  <c r="O72" i="121"/>
  <c r="Q72" i="121" l="1"/>
  <c r="R72" i="121"/>
  <c r="S72" i="121" s="1"/>
  <c r="O73" i="121"/>
  <c r="E79" i="121"/>
  <c r="N71" i="121"/>
  <c r="Q73" i="121" l="1"/>
  <c r="R73" i="121"/>
  <c r="S73" i="121" s="1"/>
  <c r="O74" i="121"/>
  <c r="N72" i="121"/>
  <c r="E80" i="121"/>
  <c r="Q74" i="121" l="1"/>
  <c r="O75" i="121"/>
  <c r="R74" i="121"/>
  <c r="S74" i="121" s="1"/>
  <c r="N73" i="121"/>
  <c r="E81" i="121"/>
  <c r="E82" i="121" l="1"/>
  <c r="N74" i="121"/>
  <c r="Q75" i="121"/>
  <c r="O76" i="121"/>
  <c r="R75" i="121"/>
  <c r="S75" i="121" s="1"/>
  <c r="Q76" i="121" l="1"/>
  <c r="O77" i="121"/>
  <c r="R76" i="121"/>
  <c r="S76" i="121" s="1"/>
  <c r="N75" i="121"/>
  <c r="E83" i="121"/>
  <c r="E84" i="121" l="1"/>
  <c r="R77" i="121"/>
  <c r="S77" i="121" s="1"/>
  <c r="Q77" i="121"/>
  <c r="O78" i="121"/>
  <c r="N76" i="121"/>
  <c r="E85" i="121" l="1"/>
  <c r="N77" i="121"/>
  <c r="O79" i="121"/>
  <c r="Q78" i="121"/>
  <c r="R78" i="121"/>
  <c r="S78" i="121" s="1"/>
  <c r="N78" i="121" l="1"/>
  <c r="E86" i="121"/>
  <c r="R79" i="121"/>
  <c r="S79" i="121" s="1"/>
  <c r="O80" i="121"/>
  <c r="Q79" i="121"/>
  <c r="E87" i="121" l="1"/>
  <c r="N79" i="121"/>
  <c r="R80" i="121"/>
  <c r="S80" i="121" s="1"/>
  <c r="Q80" i="121"/>
  <c r="O81" i="121"/>
  <c r="E88" i="121" l="1"/>
  <c r="R81" i="121"/>
  <c r="S81" i="121" s="1"/>
  <c r="O82" i="121"/>
  <c r="Q81" i="121"/>
  <c r="N80" i="121"/>
  <c r="N81" i="121" l="1"/>
  <c r="O83" i="121"/>
  <c r="Q82" i="121"/>
  <c r="R82" i="121"/>
  <c r="S82" i="121" s="1"/>
  <c r="E89" i="121"/>
  <c r="N82" i="121" l="1"/>
  <c r="O84" i="121"/>
  <c r="R83" i="121"/>
  <c r="S83" i="121" s="1"/>
  <c r="Q83" i="121"/>
  <c r="E90" i="121"/>
  <c r="N83" i="121" l="1"/>
  <c r="E91" i="121"/>
  <c r="O85" i="121"/>
  <c r="Q84" i="121"/>
  <c r="R84" i="121"/>
  <c r="S84" i="121" s="1"/>
  <c r="E92" i="121" l="1"/>
  <c r="N84" i="121"/>
  <c r="Q85" i="121"/>
  <c r="R85" i="121"/>
  <c r="S85" i="121" s="1"/>
  <c r="O86" i="121"/>
  <c r="N85" i="121" l="1"/>
  <c r="Q86" i="121"/>
  <c r="R86" i="121"/>
  <c r="S86" i="121" s="1"/>
  <c r="O87" i="121"/>
  <c r="E93" i="121"/>
  <c r="N86" i="121" l="1"/>
  <c r="O88" i="121"/>
  <c r="R87" i="121"/>
  <c r="S87" i="121" s="1"/>
  <c r="Q87" i="121"/>
  <c r="E94" i="121"/>
  <c r="E95" i="121" l="1"/>
  <c r="N87" i="121"/>
  <c r="Q88" i="121"/>
  <c r="R88" i="121"/>
  <c r="S88" i="121" s="1"/>
  <c r="O89" i="121"/>
  <c r="Q89" i="121" l="1"/>
  <c r="O90" i="121"/>
  <c r="R89" i="121"/>
  <c r="S89" i="121" s="1"/>
  <c r="E96" i="121"/>
  <c r="N88" i="121"/>
  <c r="N89" i="121" l="1"/>
  <c r="R90" i="121"/>
  <c r="S90" i="121" s="1"/>
  <c r="Q90" i="121"/>
  <c r="O91" i="121"/>
  <c r="E97" i="121"/>
  <c r="N90" i="121" l="1"/>
  <c r="Q91" i="121"/>
  <c r="O92" i="121"/>
  <c r="R91" i="121"/>
  <c r="S91" i="121" s="1"/>
  <c r="E98" i="121"/>
  <c r="O93" i="121" l="1"/>
  <c r="R92" i="121"/>
  <c r="S92" i="121" s="1"/>
  <c r="Q92" i="121"/>
  <c r="N91" i="121"/>
  <c r="E99" i="121"/>
  <c r="E100" i="121" l="1"/>
  <c r="N92" i="121"/>
  <c r="O94" i="121"/>
  <c r="R93" i="121"/>
  <c r="S93" i="121" s="1"/>
  <c r="Q93" i="121"/>
  <c r="N93" i="121" l="1"/>
  <c r="Q94" i="121"/>
  <c r="R94" i="121"/>
  <c r="S94" i="121" s="1"/>
  <c r="O95" i="121"/>
  <c r="E101" i="121"/>
  <c r="Q95" i="121" l="1"/>
  <c r="O96" i="121"/>
  <c r="R95" i="121"/>
  <c r="S95" i="121" s="1"/>
  <c r="N94" i="121"/>
  <c r="E102" i="121"/>
  <c r="R96" i="121" l="1"/>
  <c r="S96" i="121" s="1"/>
  <c r="O97" i="121"/>
  <c r="Q96" i="121"/>
  <c r="N95" i="121"/>
  <c r="E103" i="121"/>
  <c r="N96" i="121" l="1"/>
  <c r="Q97" i="121"/>
  <c r="R97" i="121"/>
  <c r="S97" i="121" s="1"/>
  <c r="O98" i="121"/>
  <c r="E104" i="121"/>
  <c r="Q98" i="121" l="1"/>
  <c r="R98" i="121"/>
  <c r="S98" i="121" s="1"/>
  <c r="O99" i="121"/>
  <c r="N97" i="121"/>
  <c r="E105" i="121"/>
  <c r="R99" i="121" l="1"/>
  <c r="S99" i="121" s="1"/>
  <c r="Q99" i="121"/>
  <c r="O100" i="121"/>
  <c r="N98" i="121"/>
  <c r="E106" i="121"/>
  <c r="E107" i="121" l="1"/>
  <c r="N99" i="121"/>
  <c r="R100" i="121"/>
  <c r="S100" i="121" s="1"/>
  <c r="O101" i="121"/>
  <c r="Q100" i="121"/>
  <c r="N100" i="121" l="1"/>
  <c r="Q101" i="121"/>
  <c r="R101" i="121"/>
  <c r="S101" i="121" s="1"/>
  <c r="O102" i="121"/>
  <c r="E108" i="121"/>
  <c r="N101" i="121" l="1"/>
  <c r="Q102" i="121"/>
  <c r="O103" i="121"/>
  <c r="R102" i="121"/>
  <c r="S102" i="121" s="1"/>
  <c r="E109" i="121"/>
  <c r="N102" i="121" l="1"/>
  <c r="O104" i="121"/>
  <c r="Q103" i="121"/>
  <c r="R103" i="121"/>
  <c r="S103" i="121" s="1"/>
  <c r="E110" i="121"/>
  <c r="E111" i="121" l="1"/>
  <c r="N103" i="121"/>
  <c r="Q104" i="121"/>
  <c r="R104" i="121"/>
  <c r="S104" i="121" s="1"/>
  <c r="O105" i="121"/>
  <c r="O106" i="121" l="1"/>
  <c r="R105" i="121"/>
  <c r="S105" i="121" s="1"/>
  <c r="Q105" i="121"/>
  <c r="E112" i="121"/>
  <c r="N104" i="121"/>
  <c r="E113" i="121" l="1"/>
  <c r="N105" i="121"/>
  <c r="Q106" i="121"/>
  <c r="R106" i="121"/>
  <c r="S106" i="121" s="1"/>
  <c r="O107" i="121"/>
  <c r="N106" i="121" l="1"/>
  <c r="O108" i="121"/>
  <c r="R107" i="121"/>
  <c r="S107" i="121" s="1"/>
  <c r="Q107" i="121"/>
  <c r="E114" i="121"/>
  <c r="N107" i="121" l="1"/>
  <c r="O109" i="121"/>
  <c r="R108" i="121"/>
  <c r="S108" i="121" s="1"/>
  <c r="Q108" i="121"/>
  <c r="E115" i="121"/>
  <c r="E116" i="121" l="1"/>
  <c r="N108" i="121"/>
  <c r="Q109" i="121"/>
  <c r="O110" i="121"/>
  <c r="R109" i="121"/>
  <c r="S109" i="121" s="1"/>
  <c r="R110" i="121" l="1"/>
  <c r="S110" i="121" s="1"/>
  <c r="Q110" i="121"/>
  <c r="O111" i="121"/>
  <c r="N109" i="121"/>
  <c r="E117" i="121"/>
  <c r="N110" i="121" l="1"/>
  <c r="E118" i="121"/>
  <c r="R111" i="121"/>
  <c r="S111" i="121" s="1"/>
  <c r="Q111" i="121"/>
  <c r="O112" i="121"/>
  <c r="O113" i="121" l="1"/>
  <c r="R112" i="121"/>
  <c r="S112" i="121" s="1"/>
  <c r="Q112" i="121"/>
  <c r="N111" i="121"/>
  <c r="E119" i="121"/>
  <c r="N112" i="121" l="1"/>
  <c r="R113" i="121"/>
  <c r="S113" i="121" s="1"/>
  <c r="Q113" i="121"/>
  <c r="O114" i="121"/>
  <c r="E120" i="121"/>
  <c r="Q114" i="121" l="1"/>
  <c r="R114" i="121"/>
  <c r="S114" i="121" s="1"/>
  <c r="O115" i="121"/>
  <c r="N113" i="121"/>
  <c r="E121" i="121"/>
  <c r="E122" i="121" l="1"/>
  <c r="O116" i="121"/>
  <c r="R115" i="121"/>
  <c r="S115" i="121" s="1"/>
  <c r="Q115" i="121"/>
  <c r="N114" i="121"/>
  <c r="O117" i="121" l="1"/>
  <c r="Q116" i="121"/>
  <c r="R116" i="121"/>
  <c r="S116" i="121" s="1"/>
  <c r="E123" i="121"/>
  <c r="N115" i="121"/>
  <c r="N116" i="121" l="1"/>
  <c r="Q117" i="121"/>
  <c r="R117" i="121"/>
  <c r="S117" i="121" s="1"/>
  <c r="O118" i="121"/>
  <c r="E124" i="121"/>
  <c r="Q118" i="121" l="1"/>
  <c r="O119" i="121"/>
  <c r="R118" i="121"/>
  <c r="S118" i="121" s="1"/>
  <c r="N117" i="121"/>
  <c r="E125" i="121"/>
  <c r="E126" i="121" l="1"/>
  <c r="R119" i="121"/>
  <c r="S119" i="121" s="1"/>
  <c r="Q119" i="121"/>
  <c r="O120" i="121"/>
  <c r="N118" i="121"/>
  <c r="E127" i="121" l="1"/>
  <c r="Q120" i="121"/>
  <c r="R120" i="121"/>
  <c r="S120" i="121" s="1"/>
  <c r="O121" i="121"/>
  <c r="N119" i="121"/>
  <c r="N120" i="121" l="1"/>
  <c r="Q121" i="121"/>
  <c r="O122" i="121"/>
  <c r="R121" i="121"/>
  <c r="S121" i="121" s="1"/>
  <c r="E128" i="121"/>
  <c r="E129" i="121" l="1"/>
  <c r="Q122" i="121"/>
  <c r="R122" i="121"/>
  <c r="S122" i="121" s="1"/>
  <c r="O123" i="121"/>
  <c r="N121" i="121"/>
  <c r="E130" i="121" l="1"/>
  <c r="N122" i="121"/>
  <c r="Q123" i="121"/>
  <c r="O124" i="121"/>
  <c r="R123" i="121"/>
  <c r="S123" i="121" s="1"/>
  <c r="Q124" i="121" l="1"/>
  <c r="O125" i="121"/>
  <c r="R124" i="121"/>
  <c r="S124" i="121" s="1"/>
  <c r="E131" i="121"/>
  <c r="N123" i="121"/>
  <c r="E132" i="121" l="1"/>
  <c r="N124" i="121"/>
  <c r="Q125" i="121"/>
  <c r="O126" i="121"/>
  <c r="R125" i="121"/>
  <c r="S125" i="121" s="1"/>
  <c r="Q126" i="121" l="1"/>
  <c r="R126" i="121"/>
  <c r="S126" i="121" s="1"/>
  <c r="O127" i="121"/>
  <c r="N125" i="121"/>
  <c r="E133" i="121"/>
  <c r="E134" i="121" l="1"/>
  <c r="O128" i="121"/>
  <c r="R127" i="121"/>
  <c r="S127" i="121" s="1"/>
  <c r="Q127" i="121"/>
  <c r="N126" i="121"/>
  <c r="E135" i="121" l="1"/>
  <c r="N127" i="121"/>
  <c r="R128" i="121"/>
  <c r="S128" i="121" s="1"/>
  <c r="Q128" i="121"/>
  <c r="O129" i="121"/>
  <c r="N128" i="121" l="1"/>
  <c r="R129" i="121"/>
  <c r="S129" i="121" s="1"/>
  <c r="Q129" i="121"/>
  <c r="O130" i="121"/>
  <c r="E136" i="121"/>
  <c r="N129" i="121" l="1"/>
  <c r="O131" i="121"/>
  <c r="Q130" i="121"/>
  <c r="R130" i="121"/>
  <c r="S130" i="121" s="1"/>
  <c r="E137" i="121"/>
  <c r="N130" i="121" l="1"/>
  <c r="R131" i="121"/>
  <c r="S131" i="121" s="1"/>
  <c r="Q131" i="121"/>
  <c r="O132" i="121"/>
  <c r="E138" i="121"/>
  <c r="E139" i="121" l="1"/>
  <c r="N131" i="121"/>
  <c r="R132" i="121"/>
  <c r="S132" i="121" s="1"/>
  <c r="O133" i="121"/>
  <c r="Q132" i="121"/>
  <c r="N132" i="121" l="1"/>
  <c r="Q133" i="121"/>
  <c r="R133" i="121"/>
  <c r="S133" i="121" s="1"/>
  <c r="O134" i="121"/>
  <c r="E140" i="121"/>
  <c r="E141" i="121" l="1"/>
  <c r="O135" i="121"/>
  <c r="R134" i="121"/>
  <c r="S134" i="121" s="1"/>
  <c r="Q134" i="121"/>
  <c r="N133" i="121"/>
  <c r="N134" i="121" l="1"/>
  <c r="Q135" i="121"/>
  <c r="O136" i="121"/>
  <c r="R135" i="121"/>
  <c r="S135" i="121" s="1"/>
  <c r="E142" i="121"/>
  <c r="N135" i="121" l="1"/>
  <c r="R136" i="121"/>
  <c r="S136" i="121" s="1"/>
  <c r="O137" i="121"/>
  <c r="Q136" i="121"/>
  <c r="E143" i="121"/>
  <c r="N136" i="121" l="1"/>
  <c r="Q137" i="121"/>
  <c r="R137" i="121"/>
  <c r="S137" i="121" s="1"/>
  <c r="O138" i="121"/>
  <c r="E144" i="121"/>
  <c r="N137" i="121" l="1"/>
  <c r="O139" i="121"/>
  <c r="R138" i="121"/>
  <c r="S138" i="121" s="1"/>
  <c r="Q138" i="121"/>
  <c r="E145" i="121"/>
  <c r="N138" i="121" l="1"/>
  <c r="R139" i="121"/>
  <c r="S139" i="121" s="1"/>
  <c r="Q139" i="121"/>
  <c r="O140" i="121"/>
  <c r="E146" i="121"/>
  <c r="R140" i="121" l="1"/>
  <c r="S140" i="121" s="1"/>
  <c r="Q140" i="121"/>
  <c r="O141" i="121"/>
  <c r="N139" i="121"/>
  <c r="E147" i="121"/>
  <c r="O142" i="121" l="1"/>
  <c r="R141" i="121"/>
  <c r="S141" i="121" s="1"/>
  <c r="Q141" i="121"/>
  <c r="N140" i="121"/>
  <c r="E148" i="121"/>
  <c r="O143" i="121" l="1"/>
  <c r="Q142" i="121"/>
  <c r="R142" i="121"/>
  <c r="S142" i="121" s="1"/>
  <c r="N141" i="121"/>
  <c r="E149" i="121"/>
  <c r="N142" i="121" l="1"/>
  <c r="Q143" i="121"/>
  <c r="O144" i="121"/>
  <c r="R143" i="121"/>
  <c r="S143" i="121" s="1"/>
  <c r="E150" i="121"/>
  <c r="N143" i="121" l="1"/>
  <c r="Q144" i="121"/>
  <c r="O145" i="121"/>
  <c r="R144" i="121"/>
  <c r="S144" i="121" s="1"/>
  <c r="E151" i="121"/>
  <c r="Q145" i="121" l="1"/>
  <c r="R145" i="121"/>
  <c r="S145" i="121" s="1"/>
  <c r="O146" i="121"/>
  <c r="N144" i="121"/>
  <c r="E152" i="121"/>
  <c r="Q146" i="121" l="1"/>
  <c r="R146" i="121"/>
  <c r="S146" i="121" s="1"/>
  <c r="O147" i="121"/>
  <c r="N145" i="121"/>
  <c r="E153" i="121"/>
  <c r="N146" i="121" l="1"/>
  <c r="O148" i="121"/>
  <c r="Q147" i="121"/>
  <c r="R147" i="121"/>
  <c r="S147" i="121" s="1"/>
  <c r="E154" i="121"/>
  <c r="N147" i="121" l="1"/>
  <c r="R148" i="121"/>
  <c r="S148" i="121" s="1"/>
  <c r="O149" i="121"/>
  <c r="Q148" i="121"/>
  <c r="E155" i="121"/>
  <c r="E156" i="121" l="1"/>
  <c r="N148" i="121"/>
  <c r="Q149" i="121"/>
  <c r="R149" i="121"/>
  <c r="S149" i="121" s="1"/>
  <c r="O150" i="121"/>
  <c r="E157" i="121" l="1"/>
  <c r="O151" i="121"/>
  <c r="R150" i="121"/>
  <c r="S150" i="121" s="1"/>
  <c r="Q150" i="121"/>
  <c r="N149" i="121"/>
  <c r="E158" i="121" l="1"/>
  <c r="N150" i="121"/>
  <c r="O152" i="121"/>
  <c r="R151" i="121"/>
  <c r="S151" i="121" s="1"/>
  <c r="Q151" i="121"/>
  <c r="N151" i="121" l="1"/>
  <c r="Q152" i="121"/>
  <c r="O153" i="121"/>
  <c r="R152" i="121"/>
  <c r="S152" i="121" s="1"/>
  <c r="E159" i="121"/>
  <c r="N152" i="121" l="1"/>
  <c r="E160" i="121"/>
  <c r="O154" i="121"/>
  <c r="R153" i="121"/>
  <c r="S153" i="121" s="1"/>
  <c r="Q153" i="121"/>
  <c r="N153" i="121" l="1"/>
  <c r="O155" i="121"/>
  <c r="R154" i="121"/>
  <c r="S154" i="121" s="1"/>
  <c r="Q154" i="121"/>
  <c r="E161" i="121"/>
  <c r="N154" i="121" l="1"/>
  <c r="Q155" i="121"/>
  <c r="O156" i="121"/>
  <c r="R155" i="121"/>
  <c r="S155" i="121" s="1"/>
  <c r="E162" i="121"/>
  <c r="E163" i="121" l="1"/>
  <c r="R156" i="121"/>
  <c r="S156" i="121" s="1"/>
  <c r="Q156" i="121"/>
  <c r="O157" i="121"/>
  <c r="N155" i="121"/>
  <c r="N156" i="121" l="1"/>
  <c r="E164" i="121"/>
  <c r="R157" i="121"/>
  <c r="S157" i="121" s="1"/>
  <c r="O158" i="121"/>
  <c r="Q157" i="121"/>
  <c r="N157" i="121" l="1"/>
  <c r="Q158" i="121"/>
  <c r="O159" i="121"/>
  <c r="R158" i="121"/>
  <c r="S158" i="121" s="1"/>
  <c r="E165" i="121"/>
  <c r="N158" i="121" l="1"/>
  <c r="Q159" i="121"/>
  <c r="O160" i="121"/>
  <c r="R159" i="121"/>
  <c r="S159" i="121" s="1"/>
  <c r="E166" i="121"/>
  <c r="N159" i="121" l="1"/>
  <c r="O161" i="121"/>
  <c r="Q160" i="121"/>
  <c r="R160" i="121"/>
  <c r="S160" i="121" s="1"/>
  <c r="E167" i="121"/>
  <c r="N160" i="121" l="1"/>
  <c r="O162" i="121"/>
  <c r="Q161" i="121"/>
  <c r="R161" i="121"/>
  <c r="S161" i="121" s="1"/>
  <c r="E168" i="121"/>
  <c r="N161" i="121" l="1"/>
  <c r="O163" i="121"/>
  <c r="R162" i="121"/>
  <c r="S162" i="121" s="1"/>
  <c r="Q162" i="121"/>
  <c r="E169" i="121"/>
  <c r="N162" i="121" l="1"/>
  <c r="Q163" i="121"/>
  <c r="O164" i="121"/>
  <c r="R163" i="121"/>
  <c r="S163" i="121" s="1"/>
  <c r="E170" i="121"/>
  <c r="N163" i="121" l="1"/>
  <c r="Q164" i="121"/>
  <c r="R164" i="121"/>
  <c r="S164" i="121" s="1"/>
  <c r="O165" i="121"/>
  <c r="E171" i="121"/>
  <c r="Q165" i="121" l="1"/>
  <c r="R165" i="121"/>
  <c r="S165" i="121" s="1"/>
  <c r="O166" i="121"/>
  <c r="N164" i="121"/>
  <c r="E172" i="121"/>
  <c r="E173" i="121" l="1"/>
  <c r="O167" i="121"/>
  <c r="R166" i="121"/>
  <c r="S166" i="121" s="1"/>
  <c r="Q166" i="121"/>
  <c r="N165" i="121"/>
  <c r="N166" i="121" l="1"/>
  <c r="Q167" i="121"/>
  <c r="O168" i="121"/>
  <c r="R167" i="121"/>
  <c r="S167" i="121" s="1"/>
  <c r="E174" i="121"/>
  <c r="N167" i="121" l="1"/>
  <c r="E175" i="121"/>
  <c r="Q168" i="121"/>
  <c r="R168" i="121"/>
  <c r="S168" i="121" s="1"/>
  <c r="O169" i="121"/>
  <c r="E176" i="121" l="1"/>
  <c r="N168" i="121"/>
  <c r="R169" i="121"/>
  <c r="S169" i="121" s="1"/>
  <c r="Q169" i="121"/>
  <c r="O170" i="121"/>
  <c r="N169" i="121" l="1"/>
  <c r="E177" i="121"/>
  <c r="R170" i="121"/>
  <c r="S170" i="121" s="1"/>
  <c r="Q170" i="121"/>
  <c r="O171" i="121"/>
  <c r="N170" i="121" l="1"/>
  <c r="E178" i="121"/>
  <c r="Q171" i="121"/>
  <c r="R171" i="121"/>
  <c r="S171" i="121" s="1"/>
  <c r="O172" i="121"/>
  <c r="Q172" i="121" l="1"/>
  <c r="O173" i="121"/>
  <c r="R172" i="121"/>
  <c r="S172" i="121" s="1"/>
  <c r="N171" i="121"/>
  <c r="E179" i="121"/>
  <c r="E180" i="121" l="1"/>
  <c r="Q173" i="121"/>
  <c r="O174" i="121"/>
  <c r="R173" i="121"/>
  <c r="S173" i="121" s="1"/>
  <c r="N172" i="121"/>
  <c r="Q174" i="121" l="1"/>
  <c r="R174" i="121"/>
  <c r="S174" i="121" s="1"/>
  <c r="O175" i="121"/>
  <c r="N173" i="121"/>
  <c r="E181" i="121"/>
  <c r="E182" i="121" l="1"/>
  <c r="Q175" i="121"/>
  <c r="O176" i="121"/>
  <c r="R175" i="121"/>
  <c r="S175" i="121" s="1"/>
  <c r="N174" i="121"/>
  <c r="N175" i="121" l="1"/>
  <c r="E183" i="121"/>
  <c r="R176" i="121"/>
  <c r="S176" i="121" s="1"/>
  <c r="O177" i="121"/>
  <c r="Q176" i="121"/>
  <c r="N176" i="121" l="1"/>
  <c r="O178" i="121"/>
  <c r="R177" i="121"/>
  <c r="S177" i="121" s="1"/>
  <c r="Q177" i="121"/>
  <c r="E184" i="121"/>
  <c r="N177" i="121" l="1"/>
  <c r="Q178" i="121"/>
  <c r="R178" i="121"/>
  <c r="S178" i="121" s="1"/>
  <c r="O179" i="121"/>
  <c r="E185" i="121"/>
  <c r="N178" i="121" l="1"/>
  <c r="O180" i="121"/>
  <c r="R179" i="121"/>
  <c r="S179" i="121" s="1"/>
  <c r="Q179" i="121"/>
  <c r="E186" i="121"/>
  <c r="N179" i="121" l="1"/>
  <c r="E187" i="121"/>
  <c r="Q180" i="121"/>
  <c r="R180" i="121"/>
  <c r="S180" i="121" s="1"/>
  <c r="O181" i="121"/>
  <c r="O182" i="121" l="1"/>
  <c r="Q181" i="121"/>
  <c r="R181" i="121"/>
  <c r="S181" i="121" s="1"/>
  <c r="N180" i="121"/>
  <c r="E188" i="121"/>
  <c r="E189" i="121" l="1"/>
  <c r="N181" i="121"/>
  <c r="O183" i="121"/>
  <c r="R182" i="121"/>
  <c r="S182" i="121" s="1"/>
  <c r="Q182" i="121"/>
  <c r="E190" i="121" l="1"/>
  <c r="N182" i="121"/>
  <c r="R183" i="121"/>
  <c r="S183" i="121" s="1"/>
  <c r="O184" i="121"/>
  <c r="Q183" i="121"/>
  <c r="E191" i="121" l="1"/>
  <c r="N183" i="121"/>
  <c r="R184" i="121"/>
  <c r="S184" i="121" s="1"/>
  <c r="O185" i="121"/>
  <c r="Q184" i="121"/>
  <c r="N184" i="121" l="1"/>
  <c r="Q185" i="121"/>
  <c r="R185" i="121"/>
  <c r="S185" i="121" s="1"/>
  <c r="O186" i="121"/>
  <c r="E192" i="121"/>
  <c r="N185" i="121" l="1"/>
  <c r="E193" i="121"/>
  <c r="R186" i="121"/>
  <c r="S186" i="121" s="1"/>
  <c r="Q186" i="121"/>
  <c r="O187" i="121"/>
  <c r="O188" i="121" l="1"/>
  <c r="R187" i="121"/>
  <c r="S187" i="121" s="1"/>
  <c r="Q187" i="121"/>
  <c r="N186" i="121"/>
  <c r="E194" i="121"/>
  <c r="E195" i="121" l="1"/>
  <c r="N187" i="121"/>
  <c r="O189" i="121"/>
  <c r="R188" i="121"/>
  <c r="S188" i="121" s="1"/>
  <c r="Q188" i="121"/>
  <c r="N188" i="121" l="1"/>
  <c r="E196" i="121"/>
  <c r="Q189" i="121"/>
  <c r="O190" i="121"/>
  <c r="R189" i="121"/>
  <c r="S189" i="121" s="1"/>
  <c r="E197" i="121" l="1"/>
  <c r="N189" i="121"/>
  <c r="Q190" i="121"/>
  <c r="O191" i="121"/>
  <c r="R190" i="121"/>
  <c r="S190" i="121" s="1"/>
  <c r="E198" i="121" l="1"/>
  <c r="N190" i="121"/>
  <c r="Q191" i="121"/>
  <c r="O192" i="121"/>
  <c r="R191" i="121"/>
  <c r="S191" i="121" s="1"/>
  <c r="E199" i="121" l="1"/>
  <c r="O193" i="121"/>
  <c r="Q192" i="121"/>
  <c r="R192" i="121"/>
  <c r="S192" i="121" s="1"/>
  <c r="N191" i="121"/>
  <c r="N192" i="121" l="1"/>
  <c r="Q193" i="121"/>
  <c r="R193" i="121"/>
  <c r="S193" i="121" s="1"/>
  <c r="O194" i="121"/>
  <c r="E200" i="121"/>
  <c r="E201" i="121" l="1"/>
  <c r="Q194" i="121"/>
  <c r="O195" i="121"/>
  <c r="R194" i="121"/>
  <c r="S194" i="121" s="1"/>
  <c r="N193" i="121"/>
  <c r="N194" i="121" l="1"/>
  <c r="E202" i="121"/>
  <c r="O196" i="121"/>
  <c r="Q195" i="121"/>
  <c r="R195" i="121"/>
  <c r="S195" i="121" s="1"/>
  <c r="E203" i="121" l="1"/>
  <c r="N195" i="121"/>
  <c r="R196" i="121"/>
  <c r="S196" i="121" s="1"/>
  <c r="Q196" i="121"/>
  <c r="O197" i="121"/>
  <c r="N196" i="121" l="1"/>
  <c r="R197" i="121"/>
  <c r="S197" i="121" s="1"/>
  <c r="O198" i="121"/>
  <c r="Q197" i="121"/>
  <c r="E204" i="121"/>
  <c r="N197" i="121" l="1"/>
  <c r="E205" i="121"/>
  <c r="Q198" i="121"/>
  <c r="O199" i="121"/>
  <c r="R198" i="121"/>
  <c r="S198" i="121" s="1"/>
  <c r="N198" i="121" l="1"/>
  <c r="Q199" i="121"/>
  <c r="R199" i="121"/>
  <c r="S199" i="121" s="1"/>
  <c r="O200" i="121"/>
  <c r="E206" i="121"/>
  <c r="E207" i="121" l="1"/>
  <c r="O201" i="121"/>
  <c r="R200" i="121"/>
  <c r="S200" i="121" s="1"/>
  <c r="Q200" i="121"/>
  <c r="N199" i="121"/>
  <c r="E208" i="121" l="1"/>
  <c r="N200" i="121"/>
  <c r="O202" i="121"/>
  <c r="R201" i="121"/>
  <c r="S201" i="121" s="1"/>
  <c r="Q201" i="121"/>
  <c r="E209" i="121" l="1"/>
  <c r="N201" i="121"/>
  <c r="R202" i="121"/>
  <c r="S202" i="121" s="1"/>
  <c r="Q202" i="121"/>
  <c r="O203" i="121"/>
  <c r="O204" i="121" l="1"/>
  <c r="R203" i="121"/>
  <c r="S203" i="121" s="1"/>
  <c r="Q203" i="121"/>
  <c r="N202" i="121"/>
  <c r="E210" i="121"/>
  <c r="E211" i="121" l="1"/>
  <c r="N203" i="121"/>
  <c r="O205" i="121"/>
  <c r="Q204" i="121"/>
  <c r="R204" i="121"/>
  <c r="S204" i="121" s="1"/>
  <c r="N204" i="121" l="1"/>
  <c r="E212" i="121"/>
  <c r="O206" i="121"/>
  <c r="R205" i="121"/>
  <c r="S205" i="121" s="1"/>
  <c r="Q205" i="121"/>
  <c r="E213" i="121" l="1"/>
  <c r="N205" i="121"/>
  <c r="Q206" i="121"/>
  <c r="R206" i="121"/>
  <c r="S206" i="121" s="1"/>
  <c r="O207" i="121"/>
  <c r="N206" i="121" l="1"/>
  <c r="O208" i="121"/>
  <c r="R207" i="121"/>
  <c r="S207" i="121" s="1"/>
  <c r="Q207" i="121"/>
  <c r="E214" i="121"/>
  <c r="N207" i="121" l="1"/>
  <c r="R208" i="121"/>
  <c r="S208" i="121" s="1"/>
  <c r="Q208" i="121"/>
  <c r="O209" i="121"/>
  <c r="E215" i="121"/>
  <c r="R209" i="121" l="1"/>
  <c r="S209" i="121" s="1"/>
  <c r="O210" i="121"/>
  <c r="Q209" i="121"/>
  <c r="N208" i="121"/>
  <c r="E216" i="121"/>
  <c r="E217" i="121" l="1"/>
  <c r="N209" i="121"/>
  <c r="Q210" i="121"/>
  <c r="R210" i="121"/>
  <c r="S210" i="121" s="1"/>
  <c r="O211" i="121"/>
  <c r="E218" i="121" l="1"/>
  <c r="Q211" i="121"/>
  <c r="O212" i="121"/>
  <c r="R211" i="121"/>
  <c r="S211" i="121" s="1"/>
  <c r="N210" i="121"/>
  <c r="Q212" i="121" l="1"/>
  <c r="R212" i="121"/>
  <c r="S212" i="121" s="1"/>
  <c r="O213" i="121"/>
  <c r="N211" i="121"/>
  <c r="E219" i="121"/>
  <c r="Q213" i="121" l="1"/>
  <c r="R213" i="121"/>
  <c r="S213" i="121" s="1"/>
  <c r="O214" i="121"/>
  <c r="N212" i="121"/>
  <c r="E220" i="121"/>
  <c r="E221" i="121" l="1"/>
  <c r="Q214" i="121"/>
  <c r="R214" i="121"/>
  <c r="S214" i="121" s="1"/>
  <c r="O215" i="121"/>
  <c r="N213" i="121"/>
  <c r="N214" i="121" l="1"/>
  <c r="E222" i="121"/>
  <c r="Q215" i="121"/>
  <c r="O216" i="121"/>
  <c r="R215" i="121"/>
  <c r="S215" i="121" s="1"/>
  <c r="E223" i="121" l="1"/>
  <c r="N215" i="121"/>
  <c r="Q216" i="121"/>
  <c r="O217" i="121"/>
  <c r="R216" i="121"/>
  <c r="S216" i="121" s="1"/>
  <c r="Q217" i="121" l="1"/>
  <c r="O218" i="121"/>
  <c r="R217" i="121"/>
  <c r="S217" i="121" s="1"/>
  <c r="N216" i="121"/>
  <c r="E224" i="121"/>
  <c r="E225" i="121" l="1"/>
  <c r="Q218" i="121"/>
  <c r="O219" i="121"/>
  <c r="R218" i="121"/>
  <c r="S218" i="121" s="1"/>
  <c r="N217" i="121"/>
  <c r="N218" i="121" l="1"/>
  <c r="O220" i="121"/>
  <c r="Q219" i="121"/>
  <c r="R219" i="121"/>
  <c r="S219" i="121" s="1"/>
  <c r="E226" i="121"/>
  <c r="N219" i="121" l="1"/>
  <c r="R220" i="121"/>
  <c r="S220" i="121" s="1"/>
  <c r="Q220" i="121"/>
  <c r="O221" i="121"/>
  <c r="E227" i="121"/>
  <c r="N220" i="121" l="1"/>
  <c r="O222" i="121"/>
  <c r="R221" i="121"/>
  <c r="S221" i="121" s="1"/>
  <c r="Q221" i="121"/>
  <c r="E228" i="121"/>
  <c r="E229" i="121" l="1"/>
  <c r="N221" i="121"/>
  <c r="Q222" i="121"/>
  <c r="R222" i="121"/>
  <c r="S222" i="121" s="1"/>
  <c r="O223" i="121"/>
  <c r="N222" i="121" l="1"/>
  <c r="Q223" i="121"/>
  <c r="R223" i="121"/>
  <c r="S223" i="121" s="1"/>
  <c r="O224" i="121"/>
  <c r="E230" i="121"/>
  <c r="Q224" i="121" l="1"/>
  <c r="R224" i="121"/>
  <c r="S224" i="121" s="1"/>
  <c r="O225" i="121"/>
  <c r="N223" i="121"/>
  <c r="E231" i="121"/>
  <c r="E232" i="121" l="1"/>
  <c r="N224" i="121"/>
  <c r="Q225" i="121"/>
  <c r="R225" i="121"/>
  <c r="S225" i="121" s="1"/>
  <c r="O226" i="121"/>
  <c r="R226" i="121" l="1"/>
  <c r="S226" i="121" s="1"/>
  <c r="O227" i="121"/>
  <c r="Q226" i="121"/>
  <c r="N225" i="121"/>
  <c r="E233" i="121"/>
  <c r="N226" i="121" l="1"/>
  <c r="O228" i="121"/>
  <c r="R227" i="121"/>
  <c r="S227" i="121" s="1"/>
  <c r="Q227" i="121"/>
  <c r="E234" i="121"/>
  <c r="N227" i="121" l="1"/>
  <c r="Q228" i="121"/>
  <c r="R228" i="121"/>
  <c r="S228" i="121" s="1"/>
  <c r="O229" i="121"/>
  <c r="E235" i="121"/>
  <c r="N228" i="121" l="1"/>
  <c r="O230" i="121"/>
  <c r="Q229" i="121"/>
  <c r="R229" i="121"/>
  <c r="S229" i="121" s="1"/>
  <c r="E236" i="121"/>
  <c r="N229" i="121" l="1"/>
  <c r="O231" i="121"/>
  <c r="R230" i="121"/>
  <c r="S230" i="121" s="1"/>
  <c r="Q230" i="121"/>
  <c r="E237" i="121"/>
  <c r="N230" i="121" l="1"/>
  <c r="R231" i="121"/>
  <c r="S231" i="121" s="1"/>
  <c r="Q231" i="121"/>
  <c r="O232" i="121"/>
  <c r="E238" i="121"/>
  <c r="Q232" i="121" l="1"/>
  <c r="R232" i="121"/>
  <c r="S232" i="121" s="1"/>
  <c r="O233" i="121"/>
  <c r="E239" i="121"/>
  <c r="N231" i="121"/>
  <c r="O234" i="121" l="1"/>
  <c r="R233" i="121"/>
  <c r="S233" i="121" s="1"/>
  <c r="Q233" i="121"/>
  <c r="N232" i="121"/>
  <c r="E240" i="121"/>
  <c r="N233" i="121" l="1"/>
  <c r="O235" i="121"/>
  <c r="Q234" i="121"/>
  <c r="R234" i="121"/>
  <c r="S234" i="121" s="1"/>
  <c r="E241" i="121"/>
  <c r="N234" i="121" l="1"/>
  <c r="O236" i="121"/>
  <c r="R235" i="121"/>
  <c r="S235" i="121" s="1"/>
  <c r="Q235" i="121"/>
  <c r="E242" i="121"/>
  <c r="N235" i="121" l="1"/>
  <c r="E243" i="121"/>
  <c r="Q236" i="121"/>
  <c r="O237" i="121"/>
  <c r="R236" i="121"/>
  <c r="S236" i="121" s="1"/>
  <c r="R237" i="121" l="1"/>
  <c r="S237" i="121" s="1"/>
  <c r="O238" i="121"/>
  <c r="Q237" i="121"/>
  <c r="E244" i="121"/>
  <c r="N236" i="121"/>
  <c r="N237" i="121" l="1"/>
  <c r="Q238" i="121"/>
  <c r="R238" i="121"/>
  <c r="S238" i="121" s="1"/>
  <c r="O239" i="121"/>
  <c r="E245" i="121"/>
  <c r="N238" i="121" l="1"/>
  <c r="R239" i="121"/>
  <c r="S239" i="121" s="1"/>
  <c r="O240" i="121"/>
  <c r="Q239" i="121"/>
  <c r="E246" i="121"/>
  <c r="E247" i="121" l="1"/>
  <c r="N239" i="121"/>
  <c r="Q240" i="121"/>
  <c r="O241" i="121"/>
  <c r="R240" i="121"/>
  <c r="S240" i="121" s="1"/>
  <c r="R241" i="121" l="1"/>
  <c r="S241" i="121" s="1"/>
  <c r="O242" i="121"/>
  <c r="Q241" i="121"/>
  <c r="N240" i="121"/>
  <c r="E248" i="121"/>
  <c r="N241" i="121" l="1"/>
  <c r="Q242" i="121"/>
  <c r="R242" i="121"/>
  <c r="S242" i="121" s="1"/>
  <c r="O243" i="121"/>
  <c r="E249" i="121"/>
  <c r="E250" i="121" l="1"/>
  <c r="O244" i="121"/>
  <c r="Q243" i="121"/>
  <c r="R243" i="121"/>
  <c r="S243" i="121" s="1"/>
  <c r="N242" i="121"/>
  <c r="E251" i="121" l="1"/>
  <c r="N243" i="121"/>
  <c r="O245" i="121"/>
  <c r="R244" i="121"/>
  <c r="S244" i="121" s="1"/>
  <c r="Q244" i="121"/>
  <c r="E252" i="121" l="1"/>
  <c r="N244" i="121"/>
  <c r="Q245" i="121"/>
  <c r="O246" i="121"/>
  <c r="R245" i="121"/>
  <c r="S245" i="121" s="1"/>
  <c r="N245" i="121" l="1"/>
  <c r="Q246" i="121"/>
  <c r="O247" i="121"/>
  <c r="R246" i="121"/>
  <c r="S246" i="121" s="1"/>
  <c r="E253" i="121"/>
  <c r="E254" i="121" l="1"/>
  <c r="R247" i="121"/>
  <c r="S247" i="121" s="1"/>
  <c r="O248" i="121"/>
  <c r="Q247" i="121"/>
  <c r="N246" i="121"/>
  <c r="N247" i="121" l="1"/>
  <c r="O249" i="121"/>
  <c r="R248" i="121"/>
  <c r="S248" i="121" s="1"/>
  <c r="Q248" i="121"/>
  <c r="E255" i="121"/>
  <c r="N248" i="121" l="1"/>
  <c r="E256" i="121"/>
  <c r="Q249" i="121"/>
  <c r="O250" i="121"/>
  <c r="R249" i="121"/>
  <c r="S249" i="121" s="1"/>
  <c r="N249" i="121" l="1"/>
  <c r="R250" i="121"/>
  <c r="S250" i="121" s="1"/>
  <c r="Q250" i="121"/>
  <c r="O251" i="121"/>
  <c r="E257" i="121"/>
  <c r="N250" i="121" l="1"/>
  <c r="Q251" i="121"/>
  <c r="O252" i="121"/>
  <c r="R251" i="121"/>
  <c r="S251" i="121" s="1"/>
  <c r="E258" i="121"/>
  <c r="R252" i="121" l="1"/>
  <c r="S252" i="121" s="1"/>
  <c r="Q252" i="121"/>
  <c r="O253" i="121"/>
  <c r="N251" i="121"/>
  <c r="E259" i="121"/>
  <c r="R253" i="121" l="1"/>
  <c r="S253" i="121" s="1"/>
  <c r="O254" i="121"/>
  <c r="Q253" i="121"/>
  <c r="N252" i="121"/>
  <c r="E260" i="121"/>
  <c r="N253" i="121" l="1"/>
  <c r="Q254" i="121"/>
  <c r="O255" i="121"/>
  <c r="R254" i="121"/>
  <c r="S254" i="121" s="1"/>
  <c r="E261" i="121"/>
  <c r="N254" i="121" l="1"/>
  <c r="R255" i="121"/>
  <c r="S255" i="121" s="1"/>
  <c r="Q255" i="121"/>
  <c r="O256" i="121"/>
  <c r="E262" i="121"/>
  <c r="N255" i="121" l="1"/>
  <c r="E263" i="121"/>
  <c r="R256" i="121"/>
  <c r="S256" i="121" s="1"/>
  <c r="Q256" i="121"/>
  <c r="O257" i="121"/>
  <c r="N256" i="121" l="1"/>
  <c r="Q257" i="121"/>
  <c r="R257" i="121"/>
  <c r="S257" i="121" s="1"/>
  <c r="O258" i="121"/>
  <c r="E264" i="121"/>
  <c r="O259" i="121" l="1"/>
  <c r="Q258" i="121"/>
  <c r="R258" i="121"/>
  <c r="S258" i="121" s="1"/>
  <c r="N257" i="121"/>
  <c r="E265" i="121"/>
  <c r="N258" i="121" l="1"/>
  <c r="Q259" i="121"/>
  <c r="O260" i="121"/>
  <c r="R259" i="121"/>
  <c r="S259" i="121" s="1"/>
  <c r="E266" i="121"/>
  <c r="O261" i="121" l="1"/>
  <c r="Q260" i="121"/>
  <c r="R260" i="121"/>
  <c r="S260" i="121" s="1"/>
  <c r="N259" i="121"/>
  <c r="E267" i="121"/>
  <c r="N260" i="121" l="1"/>
  <c r="Q261" i="121"/>
  <c r="R261" i="121"/>
  <c r="S261" i="121" s="1"/>
  <c r="O262" i="121"/>
  <c r="E268" i="121"/>
  <c r="E269" i="121" l="1"/>
  <c r="Q262" i="121"/>
  <c r="O263" i="121"/>
  <c r="R262" i="121"/>
  <c r="S262" i="121" s="1"/>
  <c r="N261" i="121"/>
  <c r="R263" i="121" l="1"/>
  <c r="S263" i="121" s="1"/>
  <c r="Q263" i="121"/>
  <c r="O264" i="121"/>
  <c r="N262" i="121"/>
  <c r="E270" i="121"/>
  <c r="E271" i="121" l="1"/>
  <c r="Q264" i="121"/>
  <c r="R264" i="121"/>
  <c r="S264" i="121" s="1"/>
  <c r="O265" i="121"/>
  <c r="N263" i="121"/>
  <c r="O266" i="121" l="1"/>
  <c r="R265" i="121"/>
  <c r="S265" i="121" s="1"/>
  <c r="Q265" i="121"/>
  <c r="N264" i="121"/>
  <c r="E272" i="121"/>
  <c r="N265" i="121" l="1"/>
  <c r="Q266" i="121"/>
  <c r="O267" i="121"/>
  <c r="R266" i="121"/>
  <c r="S266" i="121" s="1"/>
  <c r="E273" i="121"/>
  <c r="E274" i="121" l="1"/>
  <c r="Q267" i="121"/>
  <c r="R267" i="121"/>
  <c r="S267" i="121" s="1"/>
  <c r="O268" i="121"/>
  <c r="N266" i="121"/>
  <c r="E275" i="121" l="1"/>
  <c r="O269" i="121"/>
  <c r="Q268" i="121"/>
  <c r="R268" i="121"/>
  <c r="S268" i="121" s="1"/>
  <c r="N267" i="121"/>
  <c r="N268" i="121" l="1"/>
  <c r="O270" i="121"/>
  <c r="R269" i="121"/>
  <c r="S269" i="121" s="1"/>
  <c r="Q269" i="121"/>
  <c r="E276" i="121"/>
  <c r="N269" i="121" l="1"/>
  <c r="O271" i="121"/>
  <c r="Q270" i="121"/>
  <c r="R270" i="121"/>
  <c r="S270" i="121" s="1"/>
  <c r="E277" i="121"/>
  <c r="E278" i="121" l="1"/>
  <c r="N270" i="121"/>
  <c r="R271" i="121"/>
  <c r="S271" i="121" s="1"/>
  <c r="Q271" i="121"/>
  <c r="O272" i="121"/>
  <c r="N271" i="121" l="1"/>
  <c r="Q272" i="121"/>
  <c r="O273" i="121"/>
  <c r="R272" i="121"/>
  <c r="S272" i="121" s="1"/>
  <c r="E279" i="121"/>
  <c r="N272" i="121" l="1"/>
  <c r="E280" i="121"/>
  <c r="Q273" i="121"/>
  <c r="R273" i="121"/>
  <c r="S273" i="121" s="1"/>
  <c r="O274" i="121"/>
  <c r="O275" i="121" l="1"/>
  <c r="Q274" i="121"/>
  <c r="R274" i="121"/>
  <c r="S274" i="121" s="1"/>
  <c r="N273" i="121"/>
  <c r="E281" i="121"/>
  <c r="N274" i="121" l="1"/>
  <c r="Q275" i="121"/>
  <c r="R275" i="121"/>
  <c r="S275" i="121" s="1"/>
  <c r="O276" i="121"/>
  <c r="E282" i="121"/>
  <c r="Q276" i="121" l="1"/>
  <c r="R276" i="121"/>
  <c r="S276" i="121" s="1"/>
  <c r="O277" i="121"/>
  <c r="E283" i="121"/>
  <c r="N275" i="121"/>
  <c r="N276" i="121" l="1"/>
  <c r="Q277" i="121"/>
  <c r="R277" i="121"/>
  <c r="S277" i="121" s="1"/>
  <c r="O278" i="121"/>
  <c r="E284" i="121"/>
  <c r="N277" i="121" l="1"/>
  <c r="E285" i="121"/>
  <c r="R278" i="121"/>
  <c r="S278" i="121" s="1"/>
  <c r="O279" i="121"/>
  <c r="Q278" i="121"/>
  <c r="N278" i="121" l="1"/>
  <c r="Q279" i="121"/>
  <c r="O280" i="121"/>
  <c r="R279" i="121"/>
  <c r="S279" i="121" s="1"/>
  <c r="E286" i="121"/>
  <c r="E287" i="121" l="1"/>
  <c r="R280" i="121"/>
  <c r="S280" i="121" s="1"/>
  <c r="O281" i="121"/>
  <c r="Q280" i="121"/>
  <c r="N279" i="121"/>
  <c r="N280" i="121" l="1"/>
  <c r="Q281" i="121"/>
  <c r="O282" i="121"/>
  <c r="R281" i="121"/>
  <c r="S281" i="121" s="1"/>
  <c r="E288" i="121"/>
  <c r="Q282" i="121" l="1"/>
  <c r="O283" i="121"/>
  <c r="R282" i="121"/>
  <c r="S282" i="121" s="1"/>
  <c r="N281" i="121"/>
  <c r="E289" i="121"/>
  <c r="R283" i="121" l="1"/>
  <c r="S283" i="121" s="1"/>
  <c r="Q283" i="121"/>
  <c r="O284" i="121"/>
  <c r="N282" i="121"/>
  <c r="E290" i="121"/>
  <c r="N283" i="121" l="1"/>
  <c r="R284" i="121"/>
  <c r="S284" i="121" s="1"/>
  <c r="Q284" i="121"/>
  <c r="O285" i="121"/>
  <c r="E291" i="121"/>
  <c r="N284" i="121" l="1"/>
  <c r="R285" i="121"/>
  <c r="S285" i="121" s="1"/>
  <c r="Q285" i="121"/>
  <c r="O286" i="121"/>
  <c r="E292" i="121"/>
  <c r="N285" i="121" l="1"/>
  <c r="R286" i="121"/>
  <c r="S286" i="121" s="1"/>
  <c r="O287" i="121"/>
  <c r="Q286" i="121"/>
  <c r="E293" i="121"/>
  <c r="N286" i="121" l="1"/>
  <c r="O288" i="121"/>
  <c r="R287" i="121"/>
  <c r="S287" i="121" s="1"/>
  <c r="Q287" i="121"/>
  <c r="E294" i="121"/>
  <c r="N287" i="121" l="1"/>
  <c r="O289" i="121"/>
  <c r="Q288" i="121"/>
  <c r="R288" i="121"/>
  <c r="S288" i="121" s="1"/>
  <c r="E295" i="121"/>
  <c r="N288" i="121" l="1"/>
  <c r="Q289" i="121"/>
  <c r="R289" i="121"/>
  <c r="S289" i="121" s="1"/>
  <c r="O290" i="121"/>
  <c r="E296" i="121"/>
  <c r="R290" i="121" l="1"/>
  <c r="S290" i="121" s="1"/>
  <c r="Q290" i="121"/>
  <c r="O291" i="121"/>
  <c r="N289" i="121"/>
  <c r="E297" i="121"/>
  <c r="E298" i="121" l="1"/>
  <c r="Q291" i="121"/>
  <c r="R291" i="121"/>
  <c r="S291" i="121" s="1"/>
  <c r="O292" i="121"/>
  <c r="N290" i="121"/>
  <c r="N291" i="121" l="1"/>
  <c r="R292" i="121"/>
  <c r="S292" i="121" s="1"/>
  <c r="O293" i="121"/>
  <c r="Q292" i="121"/>
  <c r="E299" i="121"/>
  <c r="N292" i="121" l="1"/>
  <c r="E300" i="121"/>
  <c r="Q293" i="121"/>
  <c r="O294" i="121"/>
  <c r="R293" i="121"/>
  <c r="S293" i="121" s="1"/>
  <c r="N293" i="121" l="1"/>
  <c r="Q294" i="121"/>
  <c r="R294" i="121"/>
  <c r="S294" i="121" s="1"/>
  <c r="O295" i="121"/>
  <c r="E301" i="121"/>
  <c r="E302" i="121" l="1"/>
  <c r="O296" i="121"/>
  <c r="R295" i="121"/>
  <c r="S295" i="121" s="1"/>
  <c r="Q295" i="121"/>
  <c r="N294" i="121"/>
  <c r="N295" i="121" l="1"/>
  <c r="O297" i="121"/>
  <c r="R296" i="121"/>
  <c r="S296" i="121" s="1"/>
  <c r="Q296" i="121"/>
  <c r="E303" i="121"/>
  <c r="N296" i="121" l="1"/>
  <c r="E304" i="121"/>
  <c r="R297" i="121"/>
  <c r="S297" i="121" s="1"/>
  <c r="Q297" i="121"/>
  <c r="O298" i="121"/>
  <c r="N297" i="121" l="1"/>
  <c r="R298" i="121"/>
  <c r="S298" i="121" s="1"/>
  <c r="Q298" i="121"/>
  <c r="O299" i="121"/>
  <c r="E305" i="121"/>
  <c r="E306" i="121" l="1"/>
  <c r="N298" i="121"/>
  <c r="Q299" i="121"/>
  <c r="O300" i="121"/>
  <c r="R299" i="121"/>
  <c r="S299" i="121" s="1"/>
  <c r="Q300" i="121" l="1"/>
  <c r="R300" i="121"/>
  <c r="S300" i="121" s="1"/>
  <c r="O301" i="121"/>
  <c r="N299" i="121"/>
  <c r="E307" i="121"/>
  <c r="E308" i="121" l="1"/>
  <c r="Q301" i="121"/>
  <c r="O302" i="121"/>
  <c r="R301" i="121"/>
  <c r="S301" i="121" s="1"/>
  <c r="N300" i="121"/>
  <c r="O303" i="121" l="1"/>
  <c r="Q302" i="121"/>
  <c r="R302" i="121"/>
  <c r="S302" i="121" s="1"/>
  <c r="N301" i="121"/>
  <c r="E309" i="121"/>
  <c r="N302" i="121" l="1"/>
  <c r="E310" i="121"/>
  <c r="Q303" i="121"/>
  <c r="O304" i="121"/>
  <c r="R303" i="121"/>
  <c r="S303" i="121" s="1"/>
  <c r="N303" i="121" l="1"/>
  <c r="O305" i="121"/>
  <c r="R304" i="121"/>
  <c r="S304" i="121" s="1"/>
  <c r="Q304" i="121"/>
  <c r="E311" i="121"/>
  <c r="E312" i="121" l="1"/>
  <c r="N304" i="121"/>
  <c r="O306" i="121"/>
  <c r="Q305" i="121"/>
  <c r="R305" i="121"/>
  <c r="S305" i="121" s="1"/>
  <c r="E313" i="121" l="1"/>
  <c r="N305" i="121"/>
  <c r="Q306" i="121"/>
  <c r="R306" i="121"/>
  <c r="S306" i="121" s="1"/>
  <c r="O307" i="121"/>
  <c r="Q307" i="121" l="1"/>
  <c r="O308" i="121"/>
  <c r="R307" i="121"/>
  <c r="S307" i="121" s="1"/>
  <c r="N306" i="121"/>
  <c r="E314" i="121"/>
  <c r="N307" i="121" l="1"/>
  <c r="E315" i="121"/>
  <c r="Q308" i="121"/>
  <c r="O309" i="121"/>
  <c r="R308" i="121"/>
  <c r="S308" i="121" s="1"/>
  <c r="N308" i="121" l="1"/>
  <c r="E316" i="121"/>
  <c r="O310" i="121"/>
  <c r="Q309" i="121"/>
  <c r="R309" i="121"/>
  <c r="S309" i="121" s="1"/>
  <c r="N309" i="121" l="1"/>
  <c r="Q310" i="121"/>
  <c r="O311" i="121"/>
  <c r="R310" i="121"/>
  <c r="S310" i="121" s="1"/>
  <c r="E317" i="121"/>
  <c r="N310" i="121" l="1"/>
  <c r="E318" i="121"/>
  <c r="R311" i="121"/>
  <c r="S311" i="121" s="1"/>
  <c r="Q311" i="121"/>
  <c r="O312" i="121"/>
  <c r="E319" i="121" l="1"/>
  <c r="R312" i="121"/>
  <c r="S312" i="121" s="1"/>
  <c r="Q312" i="121"/>
  <c r="O313" i="121"/>
  <c r="N311" i="121"/>
  <c r="E320" i="121" l="1"/>
  <c r="N312" i="121"/>
  <c r="R313" i="121"/>
  <c r="S313" i="121" s="1"/>
  <c r="Q313" i="121"/>
  <c r="O314" i="121"/>
  <c r="N313" i="121" l="1"/>
  <c r="E321" i="121"/>
  <c r="R314" i="121"/>
  <c r="S314" i="121" s="1"/>
  <c r="Q314" i="121"/>
  <c r="O315" i="121"/>
  <c r="E322" i="121" l="1"/>
  <c r="N314" i="121"/>
  <c r="R315" i="121"/>
  <c r="S315" i="121" s="1"/>
  <c r="Q315" i="121"/>
  <c r="O316" i="121"/>
  <c r="N315" i="121" l="1"/>
  <c r="O317" i="121"/>
  <c r="Q316" i="121"/>
  <c r="R316" i="121"/>
  <c r="S316" i="121" s="1"/>
  <c r="E323" i="121"/>
  <c r="N316" i="121" l="1"/>
  <c r="Q317" i="121"/>
  <c r="O318" i="121"/>
  <c r="R317" i="121"/>
  <c r="S317" i="121" s="1"/>
  <c r="E324" i="121"/>
  <c r="Q318" i="121" l="1"/>
  <c r="O319" i="121"/>
  <c r="R318" i="121"/>
  <c r="S318" i="121" s="1"/>
  <c r="N317" i="121"/>
  <c r="E325" i="121"/>
  <c r="N318" i="121" l="1"/>
  <c r="O320" i="121"/>
  <c r="R319" i="121"/>
  <c r="S319" i="121" s="1"/>
  <c r="Q319" i="121"/>
  <c r="E326" i="121"/>
  <c r="E327" i="121" l="1"/>
  <c r="N319" i="121"/>
  <c r="Q320" i="121"/>
  <c r="O321" i="121"/>
  <c r="R320" i="121"/>
  <c r="S320" i="121" s="1"/>
  <c r="E328" i="121" l="1"/>
  <c r="N320" i="121"/>
  <c r="R321" i="121"/>
  <c r="S321" i="121" s="1"/>
  <c r="O322" i="121"/>
  <c r="Q321" i="121"/>
  <c r="N321" i="121" l="1"/>
  <c r="E329" i="121"/>
  <c r="R322" i="121"/>
  <c r="S322" i="121" s="1"/>
  <c r="Q322" i="121"/>
  <c r="O323" i="121"/>
  <c r="E330" i="121" l="1"/>
  <c r="N322" i="121"/>
  <c r="O324" i="121"/>
  <c r="R323" i="121"/>
  <c r="S323" i="121" s="1"/>
  <c r="Q323" i="121"/>
  <c r="N323" i="121" l="1"/>
  <c r="R324" i="121"/>
  <c r="S324" i="121" s="1"/>
  <c r="O325" i="121"/>
  <c r="Q324" i="121"/>
  <c r="E331" i="121"/>
  <c r="N324" i="121" l="1"/>
  <c r="R325" i="121"/>
  <c r="S325" i="121" s="1"/>
  <c r="O326" i="121"/>
  <c r="Q325" i="121"/>
  <c r="E332" i="121"/>
  <c r="E333" i="121" l="1"/>
  <c r="N325" i="121"/>
  <c r="Q326" i="121"/>
  <c r="O327" i="121"/>
  <c r="R326" i="121"/>
  <c r="S326" i="121" s="1"/>
  <c r="N326" i="121" l="1"/>
  <c r="Q327" i="121"/>
  <c r="O328" i="121"/>
  <c r="R327" i="121"/>
  <c r="S327" i="121" s="1"/>
  <c r="E334" i="121"/>
  <c r="Q328" i="121" l="1"/>
  <c r="R328" i="121"/>
  <c r="S328" i="121" s="1"/>
  <c r="O329" i="121"/>
  <c r="N327" i="121"/>
  <c r="E335" i="121"/>
  <c r="E336" i="121" l="1"/>
  <c r="O330" i="121"/>
  <c r="R329" i="121"/>
  <c r="S329" i="121" s="1"/>
  <c r="Q329" i="121"/>
  <c r="N328" i="121"/>
  <c r="N329" i="121" l="1"/>
  <c r="O331" i="121"/>
  <c r="R330" i="121"/>
  <c r="S330" i="121" s="1"/>
  <c r="Q330" i="121"/>
  <c r="E337" i="121"/>
  <c r="E338" i="121" l="1"/>
  <c r="N330" i="121"/>
  <c r="Q331" i="121"/>
  <c r="R331" i="121"/>
  <c r="S331" i="121" s="1"/>
  <c r="O332" i="121"/>
  <c r="N331" i="121" l="1"/>
  <c r="R332" i="121"/>
  <c r="S332" i="121" s="1"/>
  <c r="O333" i="121"/>
  <c r="Q332" i="121"/>
  <c r="E339" i="121"/>
  <c r="N332" i="121" l="1"/>
  <c r="O334" i="121"/>
  <c r="Q333" i="121"/>
  <c r="R333" i="121"/>
  <c r="S333" i="121" s="1"/>
  <c r="E340" i="121"/>
  <c r="N333" i="121" l="1"/>
  <c r="R334" i="121"/>
  <c r="S334" i="121" s="1"/>
  <c r="Q334" i="121"/>
  <c r="O335" i="121"/>
  <c r="E341" i="121"/>
  <c r="N334" i="121" l="1"/>
  <c r="Q335" i="121"/>
  <c r="R335" i="121"/>
  <c r="S335" i="121" s="1"/>
  <c r="O336" i="121"/>
  <c r="E342" i="121"/>
  <c r="R336" i="121" l="1"/>
  <c r="S336" i="121" s="1"/>
  <c r="Q336" i="121"/>
  <c r="O337" i="121"/>
  <c r="N335" i="121"/>
  <c r="E343" i="121"/>
  <c r="N336" i="121" l="1"/>
  <c r="O338" i="121"/>
  <c r="Q337" i="121"/>
  <c r="R337" i="121"/>
  <c r="S337" i="121" s="1"/>
  <c r="E344" i="121"/>
  <c r="N337" i="121" l="1"/>
  <c r="E345" i="121"/>
  <c r="Q338" i="121"/>
  <c r="R338" i="121"/>
  <c r="S338" i="121" s="1"/>
  <c r="O339" i="121"/>
  <c r="N338" i="121" l="1"/>
  <c r="O340" i="121"/>
  <c r="Q339" i="121"/>
  <c r="R339" i="121"/>
  <c r="S339" i="121" s="1"/>
  <c r="E346" i="121"/>
  <c r="N339" i="121" l="1"/>
  <c r="Q340" i="121"/>
  <c r="R340" i="121"/>
  <c r="S340" i="121" s="1"/>
  <c r="O341" i="121"/>
  <c r="E347" i="121"/>
  <c r="R341" i="121" l="1"/>
  <c r="S341" i="121" s="1"/>
  <c r="Q341" i="121"/>
  <c r="O342" i="121"/>
  <c r="N340" i="121"/>
  <c r="E348" i="121"/>
  <c r="N341" i="121" l="1"/>
  <c r="R342" i="121"/>
  <c r="S342" i="121" s="1"/>
  <c r="O343" i="121"/>
  <c r="Q342" i="121"/>
  <c r="E349" i="121"/>
  <c r="N342" i="121" l="1"/>
  <c r="O344" i="121"/>
  <c r="Q343" i="121"/>
  <c r="R343" i="121"/>
  <c r="S343" i="121" s="1"/>
  <c r="E350" i="121"/>
  <c r="N343" i="121" l="1"/>
  <c r="R344" i="121"/>
  <c r="S344" i="121" s="1"/>
  <c r="Q344" i="121"/>
  <c r="O345" i="121"/>
  <c r="E351" i="121"/>
  <c r="E352" i="121" l="1"/>
  <c r="Q345" i="121"/>
  <c r="R345" i="121"/>
  <c r="S345" i="121" s="1"/>
  <c r="O346" i="121"/>
  <c r="N344" i="121"/>
  <c r="R346" i="121" l="1"/>
  <c r="S346" i="121" s="1"/>
  <c r="O347" i="121"/>
  <c r="Q346" i="121"/>
  <c r="N345" i="121"/>
  <c r="E353" i="121"/>
  <c r="N346" i="121" l="1"/>
  <c r="Q347" i="121"/>
  <c r="O348" i="121"/>
  <c r="R347" i="121"/>
  <c r="S347" i="121" s="1"/>
  <c r="E354" i="121"/>
  <c r="Q348" i="121" l="1"/>
  <c r="R348" i="121"/>
  <c r="S348" i="121" s="1"/>
  <c r="O349" i="121"/>
  <c r="N347" i="121"/>
  <c r="E355" i="121"/>
  <c r="Q349" i="121" l="1"/>
  <c r="R349" i="121"/>
  <c r="S349" i="121" s="1"/>
  <c r="O350" i="121"/>
  <c r="N348" i="121"/>
  <c r="E356" i="121"/>
  <c r="N349" i="121" l="1"/>
  <c r="R350" i="121"/>
  <c r="S350" i="121" s="1"/>
  <c r="Q350" i="121"/>
  <c r="O351" i="121"/>
  <c r="E357" i="121"/>
  <c r="E358" i="121" l="1"/>
  <c r="N350" i="121"/>
  <c r="R351" i="121"/>
  <c r="S351" i="121" s="1"/>
  <c r="Q351" i="121"/>
  <c r="O352" i="121"/>
  <c r="N351" i="121" l="1"/>
  <c r="O353" i="121"/>
  <c r="Q352" i="121"/>
  <c r="R352" i="121"/>
  <c r="S352" i="121" s="1"/>
  <c r="E359" i="121"/>
  <c r="E360" i="121" l="1"/>
  <c r="N352" i="121"/>
  <c r="Q353" i="121"/>
  <c r="R353" i="121"/>
  <c r="S353" i="121" s="1"/>
  <c r="O354" i="121"/>
  <c r="Q354" i="121" l="1"/>
  <c r="R354" i="121"/>
  <c r="S354" i="121" s="1"/>
  <c r="O355" i="121"/>
  <c r="N353" i="121"/>
  <c r="E361" i="121"/>
  <c r="E362" i="121" l="1"/>
  <c r="N354" i="121"/>
  <c r="O356" i="121"/>
  <c r="Q355" i="121"/>
  <c r="R355" i="121"/>
  <c r="S355" i="121" s="1"/>
  <c r="N355" i="121" l="1"/>
  <c r="O357" i="121"/>
  <c r="Q356" i="121"/>
  <c r="R356" i="121"/>
  <c r="S356" i="121" s="1"/>
  <c r="E363" i="121"/>
  <c r="N356" i="121" l="1"/>
  <c r="Q357" i="121"/>
  <c r="R357" i="121"/>
  <c r="S357" i="121" s="1"/>
  <c r="O358" i="121"/>
  <c r="E364" i="121"/>
  <c r="E365" i="121" l="1"/>
  <c r="N357" i="121"/>
  <c r="R358" i="121"/>
  <c r="S358" i="121" s="1"/>
  <c r="Q358" i="121"/>
  <c r="O359" i="121"/>
  <c r="Q359" i="121" l="1"/>
  <c r="R359" i="121"/>
  <c r="S359" i="121" s="1"/>
  <c r="O360" i="121"/>
  <c r="N358" i="121"/>
  <c r="E366" i="121"/>
  <c r="N359" i="121" l="1"/>
  <c r="O361" i="121"/>
  <c r="R360" i="121"/>
  <c r="S360" i="121" s="1"/>
  <c r="Q360" i="121"/>
  <c r="E367" i="121"/>
  <c r="E368" i="121" l="1"/>
  <c r="N360" i="121"/>
  <c r="R361" i="121"/>
  <c r="S361" i="121" s="1"/>
  <c r="Q361" i="121"/>
  <c r="O362" i="121"/>
  <c r="N361" i="121" l="1"/>
  <c r="R362" i="121"/>
  <c r="S362" i="121" s="1"/>
  <c r="Q362" i="121"/>
  <c r="O363" i="121"/>
  <c r="E369" i="121"/>
  <c r="N362" i="121" l="1"/>
  <c r="O364" i="121"/>
  <c r="R363" i="121"/>
  <c r="S363" i="121" s="1"/>
  <c r="Q363" i="121"/>
  <c r="E370" i="121"/>
  <c r="N363" i="121" l="1"/>
  <c r="R364" i="121"/>
  <c r="S364" i="121" s="1"/>
  <c r="Q364" i="121"/>
  <c r="O365" i="121"/>
  <c r="E371" i="121"/>
  <c r="R365" i="121" l="1"/>
  <c r="S365" i="121" s="1"/>
  <c r="O366" i="121"/>
  <c r="Q365" i="121"/>
  <c r="N364" i="121"/>
  <c r="E372" i="121"/>
  <c r="N365" i="121" l="1"/>
  <c r="R366" i="121"/>
  <c r="S366" i="121" s="1"/>
  <c r="O367" i="121"/>
  <c r="Q366" i="121"/>
  <c r="E373" i="121"/>
  <c r="N366" i="121" l="1"/>
  <c r="Q367" i="121"/>
  <c r="R367" i="121"/>
  <c r="S367" i="121" s="1"/>
  <c r="O368" i="121"/>
  <c r="E374" i="121"/>
  <c r="N367" i="121" l="1"/>
  <c r="O369" i="121"/>
  <c r="R368" i="121"/>
  <c r="S368" i="121" s="1"/>
  <c r="Q368" i="121"/>
  <c r="E375" i="121"/>
  <c r="N368" i="121" l="1"/>
  <c r="R369" i="121"/>
  <c r="S369" i="121" s="1"/>
  <c r="Q369" i="121"/>
  <c r="O370" i="121"/>
  <c r="E376" i="121"/>
  <c r="Q370" i="121" l="1"/>
  <c r="O371" i="121"/>
  <c r="R370" i="121"/>
  <c r="S370" i="121" s="1"/>
  <c r="N369" i="121"/>
  <c r="E377" i="121"/>
  <c r="Q371" i="121" l="1"/>
  <c r="O372" i="121"/>
  <c r="R371" i="121"/>
  <c r="S371" i="121" s="1"/>
  <c r="N370" i="121"/>
  <c r="E378" i="121"/>
  <c r="N371" i="121" l="1"/>
  <c r="E379" i="121"/>
  <c r="O373" i="121"/>
  <c r="R372" i="121"/>
  <c r="S372" i="121" s="1"/>
  <c r="Q372" i="121"/>
  <c r="N372" i="121" l="1"/>
  <c r="R373" i="121"/>
  <c r="S373" i="121" s="1"/>
  <c r="Q373" i="121"/>
  <c r="O374" i="121"/>
  <c r="E380" i="121"/>
  <c r="N373" i="121" l="1"/>
  <c r="R374" i="121"/>
  <c r="S374" i="121" s="1"/>
  <c r="O375" i="121"/>
  <c r="Q374" i="121"/>
  <c r="E381" i="121"/>
  <c r="N374" i="121" l="1"/>
  <c r="O376" i="121"/>
  <c r="Q375" i="121"/>
  <c r="R375" i="121"/>
  <c r="S375" i="121" s="1"/>
  <c r="E382" i="121"/>
  <c r="N375" i="121" l="1"/>
  <c r="O377" i="121"/>
  <c r="Q376" i="121"/>
  <c r="R376" i="121"/>
  <c r="S376" i="121" s="1"/>
  <c r="E383" i="121"/>
  <c r="N376" i="121" l="1"/>
  <c r="Q377" i="121"/>
  <c r="R377" i="121"/>
  <c r="S377" i="121" s="1"/>
  <c r="O378" i="121"/>
  <c r="E384" i="121"/>
  <c r="Q378" i="121" l="1"/>
  <c r="R378" i="121"/>
  <c r="S378" i="121" s="1"/>
  <c r="O379" i="121"/>
  <c r="N377" i="121"/>
  <c r="E385" i="121"/>
  <c r="N378" i="121" l="1"/>
  <c r="E386" i="121"/>
  <c r="Q379" i="121"/>
  <c r="O380" i="121"/>
  <c r="R379" i="121"/>
  <c r="S379" i="121" s="1"/>
  <c r="N379" i="121" l="1"/>
  <c r="O381" i="121"/>
  <c r="Q380" i="121"/>
  <c r="R380" i="121"/>
  <c r="S380" i="121" s="1"/>
  <c r="E387" i="121"/>
  <c r="N380" i="121" l="1"/>
  <c r="R381" i="121"/>
  <c r="S381" i="121" s="1"/>
  <c r="O382" i="121"/>
  <c r="Q381" i="121"/>
  <c r="E388" i="121"/>
  <c r="N381" i="121" l="1"/>
  <c r="O383" i="121"/>
  <c r="R382" i="121"/>
  <c r="S382" i="121" s="1"/>
  <c r="Q382" i="121"/>
  <c r="E389" i="121"/>
  <c r="N382" i="121" l="1"/>
  <c r="R383" i="121"/>
  <c r="S383" i="121" s="1"/>
  <c r="Q383" i="121"/>
  <c r="O384" i="121"/>
  <c r="E390" i="121"/>
  <c r="N383" i="121" l="1"/>
  <c r="E391" i="121"/>
  <c r="O385" i="121"/>
  <c r="Q384" i="121"/>
  <c r="R384" i="121"/>
  <c r="S384" i="121" s="1"/>
  <c r="N384" i="121" l="1"/>
  <c r="E392" i="121"/>
  <c r="R385" i="121"/>
  <c r="S385" i="121" s="1"/>
  <c r="Q385" i="121"/>
  <c r="O386" i="121"/>
  <c r="N385" i="121" l="1"/>
  <c r="E393" i="121"/>
  <c r="R386" i="121"/>
  <c r="S386" i="121" s="1"/>
  <c r="Q386" i="121"/>
  <c r="O387" i="121"/>
  <c r="E394" i="121" l="1"/>
  <c r="O388" i="121"/>
  <c r="Q387" i="121"/>
  <c r="R387" i="121"/>
  <c r="S387" i="121" s="1"/>
  <c r="N386" i="121"/>
  <c r="N387" i="121" l="1"/>
  <c r="R388" i="121"/>
  <c r="S388" i="121" s="1"/>
  <c r="O389" i="121"/>
  <c r="Q388" i="121"/>
  <c r="E395" i="121"/>
  <c r="N388" i="121" l="1"/>
  <c r="Q389" i="121"/>
  <c r="O390" i="121"/>
  <c r="R389" i="121"/>
  <c r="S389" i="121" s="1"/>
  <c r="E396" i="121"/>
  <c r="R390" i="121" l="1"/>
  <c r="S390" i="121" s="1"/>
  <c r="O391" i="121"/>
  <c r="Q390" i="121"/>
  <c r="N389" i="121"/>
  <c r="E397" i="121"/>
  <c r="N390" i="121" l="1"/>
  <c r="O392" i="121"/>
  <c r="Q391" i="121"/>
  <c r="R391" i="121"/>
  <c r="S391" i="121" s="1"/>
  <c r="E398" i="121"/>
  <c r="N391" i="121" l="1"/>
  <c r="O393" i="121"/>
  <c r="R392" i="121"/>
  <c r="S392" i="121" s="1"/>
  <c r="Q392" i="121"/>
  <c r="E399" i="121"/>
  <c r="N392" i="121" l="1"/>
  <c r="R393" i="121"/>
  <c r="S393" i="121" s="1"/>
  <c r="Q393" i="121"/>
  <c r="O394" i="121"/>
  <c r="E400" i="121"/>
  <c r="O395" i="121" l="1"/>
  <c r="Q394" i="121"/>
  <c r="R394" i="121"/>
  <c r="S394" i="121" s="1"/>
  <c r="N393" i="121"/>
  <c r="E401" i="121"/>
  <c r="N394" i="121" l="1"/>
  <c r="O396" i="121"/>
  <c r="Q395" i="121"/>
  <c r="R395" i="121"/>
  <c r="S395" i="121" s="1"/>
  <c r="E402" i="121"/>
  <c r="N395" i="121" l="1"/>
  <c r="O397" i="121"/>
  <c r="Q396" i="121"/>
  <c r="R396" i="121"/>
  <c r="S396" i="121" s="1"/>
  <c r="E403" i="121"/>
  <c r="N396" i="121" l="1"/>
  <c r="Q397" i="121"/>
  <c r="R397" i="121"/>
  <c r="S397" i="121" s="1"/>
  <c r="O398" i="121"/>
  <c r="E404" i="121"/>
  <c r="N397" i="121" l="1"/>
  <c r="O399" i="121"/>
  <c r="R398" i="121"/>
  <c r="S398" i="121" s="1"/>
  <c r="Q398" i="121"/>
  <c r="E405" i="121"/>
  <c r="N398" i="121" l="1"/>
  <c r="O400" i="121"/>
  <c r="R399" i="121"/>
  <c r="S399" i="121" s="1"/>
  <c r="Q399" i="121"/>
  <c r="E406" i="121"/>
  <c r="N399" i="121" l="1"/>
  <c r="O401" i="121"/>
  <c r="Q400" i="121"/>
  <c r="R400" i="121"/>
  <c r="S400" i="121" s="1"/>
  <c r="E407" i="121"/>
  <c r="N400" i="121" l="1"/>
  <c r="Q401" i="121"/>
  <c r="O402" i="121"/>
  <c r="R401" i="121"/>
  <c r="S401" i="121" s="1"/>
  <c r="E408" i="121"/>
  <c r="O403" i="121" l="1"/>
  <c r="Q402" i="121"/>
  <c r="R402" i="121"/>
  <c r="S402" i="121" s="1"/>
  <c r="N401" i="121"/>
  <c r="E409" i="121"/>
  <c r="N402" i="121" l="1"/>
  <c r="R403" i="121"/>
  <c r="S403" i="121" s="1"/>
  <c r="O404" i="121"/>
  <c r="Q403" i="121"/>
  <c r="E410" i="121"/>
  <c r="N403" i="121" l="1"/>
  <c r="Q404" i="121"/>
  <c r="R404" i="121"/>
  <c r="S404" i="121" s="1"/>
  <c r="O405" i="121"/>
  <c r="E411" i="121"/>
  <c r="N404" i="121" l="1"/>
  <c r="R405" i="121"/>
  <c r="S405" i="121" s="1"/>
  <c r="O406" i="121"/>
  <c r="Q405" i="121"/>
  <c r="E412" i="121"/>
  <c r="N405" i="121" l="1"/>
  <c r="O407" i="121"/>
  <c r="Q406" i="121"/>
  <c r="R406" i="121"/>
  <c r="S406" i="121" s="1"/>
  <c r="E413" i="121"/>
  <c r="N406" i="121" l="1"/>
  <c r="R407" i="121"/>
  <c r="S407" i="121" s="1"/>
  <c r="O408" i="121"/>
  <c r="Q407" i="121"/>
  <c r="E414" i="121"/>
  <c r="N407" i="121" l="1"/>
  <c r="Q408" i="121"/>
  <c r="R408" i="121"/>
  <c r="S408" i="121" s="1"/>
  <c r="O409" i="121"/>
  <c r="E415" i="121"/>
  <c r="E416" i="121" l="1"/>
  <c r="Q409" i="121"/>
  <c r="O410" i="121"/>
  <c r="R409" i="121"/>
  <c r="S409" i="121" s="1"/>
  <c r="N408" i="121"/>
  <c r="N409" i="121" l="1"/>
  <c r="Q410" i="121"/>
  <c r="R410" i="121"/>
  <c r="S410" i="121" s="1"/>
  <c r="O411" i="121"/>
  <c r="E417" i="121"/>
  <c r="N410" i="121" l="1"/>
  <c r="Q411" i="121"/>
  <c r="O412" i="121"/>
  <c r="R411" i="121"/>
  <c r="S411" i="121" s="1"/>
  <c r="E418" i="121"/>
  <c r="O413" i="121" l="1"/>
  <c r="Q412" i="121"/>
  <c r="R412" i="121"/>
  <c r="S412" i="121" s="1"/>
  <c r="N411" i="121"/>
  <c r="E419" i="121"/>
  <c r="N412" i="121" l="1"/>
  <c r="E420" i="121"/>
  <c r="O414" i="121"/>
  <c r="R413" i="121"/>
  <c r="S413" i="121" s="1"/>
  <c r="Q413" i="121"/>
  <c r="N413" i="121" l="1"/>
  <c r="R414" i="121"/>
  <c r="S414" i="121" s="1"/>
  <c r="Q414" i="121"/>
  <c r="O415" i="121"/>
  <c r="E421" i="121"/>
  <c r="N414" i="121" l="1"/>
  <c r="O416" i="121"/>
  <c r="Q415" i="121"/>
  <c r="R415" i="121"/>
  <c r="S415" i="121" s="1"/>
  <c r="E422" i="121"/>
  <c r="N415" i="121" l="1"/>
  <c r="R416" i="121"/>
  <c r="S416" i="121" s="1"/>
  <c r="O417" i="121"/>
  <c r="Q416" i="121"/>
  <c r="E423" i="121"/>
  <c r="N416" i="121" l="1"/>
  <c r="E424" i="121"/>
  <c r="R417" i="121"/>
  <c r="S417" i="121" s="1"/>
  <c r="Q417" i="121"/>
  <c r="O418" i="121"/>
  <c r="N417" i="121" l="1"/>
  <c r="R418" i="121"/>
  <c r="S418" i="121" s="1"/>
  <c r="Q418" i="121"/>
  <c r="O419" i="121"/>
  <c r="E425" i="121"/>
  <c r="N418" i="121" l="1"/>
  <c r="O420" i="121"/>
  <c r="R419" i="121"/>
  <c r="S419" i="121" s="1"/>
  <c r="Q419" i="121"/>
  <c r="E426" i="121"/>
  <c r="N419" i="121" l="1"/>
  <c r="Q420" i="121"/>
  <c r="R420" i="121"/>
  <c r="S420" i="121" s="1"/>
  <c r="O421" i="121"/>
  <c r="E427" i="121"/>
  <c r="N420" i="121" l="1"/>
  <c r="Q421" i="121"/>
  <c r="R421" i="121"/>
  <c r="S421" i="121" s="1"/>
  <c r="O422" i="121"/>
  <c r="E428" i="121"/>
  <c r="R422" i="121" l="1"/>
  <c r="S422" i="121" s="1"/>
  <c r="O423" i="121"/>
  <c r="Q422" i="121"/>
  <c r="N421" i="121"/>
  <c r="E429" i="121"/>
  <c r="N422" i="121" l="1"/>
  <c r="O424" i="121"/>
  <c r="R423" i="121"/>
  <c r="S423" i="121" s="1"/>
  <c r="Q423" i="121"/>
  <c r="E430" i="121"/>
  <c r="E431" i="121" l="1"/>
  <c r="N423" i="121"/>
  <c r="O425" i="121"/>
  <c r="Q424" i="121"/>
  <c r="R424" i="121"/>
  <c r="S424" i="121" s="1"/>
  <c r="N424" i="121" l="1"/>
  <c r="R425" i="121"/>
  <c r="S425" i="121" s="1"/>
  <c r="O426" i="121"/>
  <c r="Q425" i="121"/>
  <c r="E432" i="121"/>
  <c r="N425" i="121" l="1"/>
  <c r="O427" i="121"/>
  <c r="Q426" i="121"/>
  <c r="R426" i="121"/>
  <c r="S426" i="121" s="1"/>
  <c r="E433" i="121"/>
  <c r="N426" i="121" l="1"/>
  <c r="R427" i="121"/>
  <c r="S427" i="121" s="1"/>
  <c r="Q427" i="121"/>
  <c r="O428" i="121"/>
  <c r="E434" i="121"/>
  <c r="Q428" i="121" l="1"/>
  <c r="O429" i="121"/>
  <c r="R428" i="121"/>
  <c r="S428" i="121" s="1"/>
  <c r="N427" i="121"/>
  <c r="E435" i="121"/>
  <c r="Q429" i="121" l="1"/>
  <c r="R429" i="121"/>
  <c r="S429" i="121" s="1"/>
  <c r="O430" i="121"/>
  <c r="N428" i="121"/>
  <c r="E436" i="121"/>
  <c r="R430" i="121" l="1"/>
  <c r="S430" i="121" s="1"/>
  <c r="O431" i="121"/>
  <c r="Q430" i="121"/>
  <c r="N429" i="121"/>
  <c r="E437" i="121"/>
  <c r="N430" i="121" l="1"/>
  <c r="Q431" i="121"/>
  <c r="O432" i="121"/>
  <c r="R431" i="121"/>
  <c r="S431" i="121" s="1"/>
  <c r="E438" i="121"/>
  <c r="Q432" i="121" l="1"/>
  <c r="R432" i="121"/>
  <c r="S432" i="121" s="1"/>
  <c r="O433" i="121"/>
  <c r="N431" i="121"/>
  <c r="E439" i="121"/>
  <c r="O434" i="121" l="1"/>
  <c r="R433" i="121"/>
  <c r="S433" i="121" s="1"/>
  <c r="Q433" i="121"/>
  <c r="N432" i="121"/>
  <c r="E440" i="121"/>
  <c r="N433" i="121" l="1"/>
  <c r="R434" i="121"/>
  <c r="S434" i="121" s="1"/>
  <c r="Q434" i="121"/>
  <c r="O435" i="121"/>
  <c r="E441" i="121"/>
  <c r="O436" i="121" l="1"/>
  <c r="R435" i="121"/>
  <c r="S435" i="121" s="1"/>
  <c r="Q435" i="121"/>
  <c r="N434" i="121"/>
  <c r="E442" i="121"/>
  <c r="N435" i="121" l="1"/>
  <c r="Q436" i="121"/>
  <c r="R436" i="121"/>
  <c r="S436" i="121" s="1"/>
  <c r="O437" i="121"/>
  <c r="E443" i="121"/>
  <c r="O438" i="121" l="1"/>
  <c r="R437" i="121"/>
  <c r="S437" i="121" s="1"/>
  <c r="Q437" i="121"/>
  <c r="N436" i="121"/>
  <c r="E444" i="121"/>
  <c r="N437" i="121" l="1"/>
  <c r="O439" i="121"/>
  <c r="Q438" i="121"/>
  <c r="R438" i="121"/>
  <c r="S438" i="121" s="1"/>
  <c r="E445" i="121"/>
  <c r="N438" i="121" l="1"/>
  <c r="Q439" i="121"/>
  <c r="R439" i="121"/>
  <c r="S439" i="121" s="1"/>
  <c r="O440" i="121"/>
  <c r="E446" i="121"/>
  <c r="N439" i="121" l="1"/>
  <c r="R440" i="121"/>
  <c r="S440" i="121" s="1"/>
  <c r="O441" i="121"/>
  <c r="Q440" i="121"/>
  <c r="E447" i="121"/>
  <c r="N440" i="121" l="1"/>
  <c r="O442" i="121"/>
  <c r="R441" i="121"/>
  <c r="S441" i="121" s="1"/>
  <c r="Q441" i="121"/>
  <c r="E448" i="121"/>
  <c r="N441" i="121" l="1"/>
  <c r="Q442" i="121"/>
  <c r="R442" i="121"/>
  <c r="S442" i="121" s="1"/>
  <c r="O443" i="121"/>
  <c r="E449" i="121"/>
  <c r="N442" i="121" l="1"/>
  <c r="O444" i="121"/>
  <c r="R443" i="121"/>
  <c r="S443" i="121" s="1"/>
  <c r="Q443" i="121"/>
  <c r="E450" i="121"/>
  <c r="E451" i="121" l="1"/>
  <c r="N443" i="121"/>
  <c r="Q444" i="121"/>
  <c r="R444" i="121"/>
  <c r="S444" i="121" s="1"/>
  <c r="O445" i="121"/>
  <c r="N444" i="121" l="1"/>
  <c r="Q445" i="121"/>
  <c r="R445" i="121"/>
  <c r="S445" i="121" s="1"/>
  <c r="O446" i="121"/>
  <c r="E452" i="121"/>
  <c r="N445" i="121" l="1"/>
  <c r="Q446" i="121"/>
  <c r="O447" i="121"/>
  <c r="R446" i="121"/>
  <c r="S446" i="121" s="1"/>
  <c r="E453" i="121"/>
  <c r="R447" i="121" l="1"/>
  <c r="S447" i="121" s="1"/>
  <c r="O448" i="121"/>
  <c r="Q447" i="121"/>
  <c r="N446" i="121"/>
  <c r="E454" i="121"/>
  <c r="N447" i="121" l="1"/>
  <c r="O449" i="121"/>
  <c r="Q448" i="121"/>
  <c r="R448" i="121"/>
  <c r="S448" i="121" s="1"/>
  <c r="E455" i="121"/>
  <c r="N448" i="121" l="1"/>
  <c r="R449" i="121"/>
  <c r="S449" i="121" s="1"/>
  <c r="O450" i="121"/>
  <c r="Q449" i="121"/>
  <c r="E456" i="121"/>
  <c r="N449" i="121" l="1"/>
  <c r="O451" i="121"/>
  <c r="R450" i="121"/>
  <c r="S450" i="121" s="1"/>
  <c r="Q450" i="121"/>
  <c r="E457" i="121"/>
  <c r="N450" i="121" l="1"/>
  <c r="Q451" i="121"/>
  <c r="R451" i="121"/>
  <c r="S451" i="121" s="1"/>
  <c r="O452" i="121"/>
  <c r="E458" i="121"/>
  <c r="N451" i="121" l="1"/>
  <c r="O453" i="121"/>
  <c r="R452" i="121"/>
  <c r="S452" i="121" s="1"/>
  <c r="Q452" i="121"/>
  <c r="E459" i="121"/>
  <c r="N452" i="121" l="1"/>
  <c r="R453" i="121"/>
  <c r="S453" i="121" s="1"/>
  <c r="Q453" i="121"/>
  <c r="O454" i="121"/>
  <c r="E460" i="121"/>
  <c r="N453" i="121" l="1"/>
  <c r="E461" i="121"/>
  <c r="O455" i="121"/>
  <c r="R454" i="121"/>
  <c r="S454" i="121" s="1"/>
  <c r="Q454" i="121"/>
  <c r="N454" i="121" l="1"/>
  <c r="O456" i="121"/>
  <c r="R455" i="121"/>
  <c r="S455" i="121" s="1"/>
  <c r="Q455" i="121"/>
  <c r="E462" i="121"/>
  <c r="N455" i="121" l="1"/>
  <c r="O457" i="121"/>
  <c r="Q456" i="121"/>
  <c r="R456" i="121"/>
  <c r="S456" i="121" s="1"/>
  <c r="E463" i="121"/>
  <c r="N456" i="121" l="1"/>
  <c r="E464" i="121"/>
  <c r="O458" i="121"/>
  <c r="Q457" i="121"/>
  <c r="R457" i="121"/>
  <c r="S457" i="121" s="1"/>
  <c r="N457" i="121" l="1"/>
  <c r="E465" i="121"/>
  <c r="R458" i="121"/>
  <c r="S458" i="121" s="1"/>
  <c r="O459" i="121"/>
  <c r="Q458" i="121"/>
  <c r="N458" i="121" l="1"/>
  <c r="R459" i="121"/>
  <c r="S459" i="121" s="1"/>
  <c r="Q459" i="121"/>
  <c r="O460" i="121"/>
  <c r="E466" i="121"/>
  <c r="O461" i="121" l="1"/>
  <c r="Q460" i="121"/>
  <c r="R460" i="121"/>
  <c r="S460" i="121" s="1"/>
  <c r="N459" i="121"/>
  <c r="E467" i="121"/>
  <c r="N460" i="121" l="1"/>
  <c r="Q461" i="121"/>
  <c r="R461" i="121"/>
  <c r="S461" i="121" s="1"/>
  <c r="O462" i="121"/>
  <c r="E468" i="121"/>
  <c r="O463" i="121" l="1"/>
  <c r="Q462" i="121"/>
  <c r="R462" i="121"/>
  <c r="S462" i="121" s="1"/>
  <c r="N461" i="121"/>
  <c r="E469" i="121"/>
  <c r="N462" i="121" l="1"/>
  <c r="E470" i="121"/>
  <c r="R463" i="121"/>
  <c r="S463" i="121" s="1"/>
  <c r="O464" i="121"/>
  <c r="Q463" i="121"/>
  <c r="N463" i="121" l="1"/>
  <c r="Q464" i="121"/>
  <c r="O465" i="121"/>
  <c r="R464" i="121"/>
  <c r="S464" i="121" s="1"/>
  <c r="E471" i="121"/>
  <c r="O466" i="121" l="1"/>
  <c r="R465" i="121"/>
  <c r="S465" i="121" s="1"/>
  <c r="Q465" i="121"/>
  <c r="N464" i="121"/>
  <c r="E472" i="121"/>
  <c r="N465" i="121" l="1"/>
  <c r="O467" i="121"/>
  <c r="Q466" i="121"/>
  <c r="R466" i="121"/>
  <c r="S466" i="121" s="1"/>
  <c r="E473" i="121"/>
  <c r="N466" i="121" l="1"/>
  <c r="R467" i="121"/>
  <c r="S467" i="121" s="1"/>
  <c r="Q467" i="121"/>
  <c r="O468" i="121"/>
  <c r="E474" i="121"/>
  <c r="O469" i="121" l="1"/>
  <c r="Q468" i="121"/>
  <c r="R468" i="121"/>
  <c r="S468" i="121" s="1"/>
  <c r="N467" i="121"/>
  <c r="E475" i="121"/>
  <c r="N468" i="121" l="1"/>
  <c r="R469" i="121"/>
  <c r="S469" i="121" s="1"/>
  <c r="O470" i="121"/>
  <c r="Q469" i="121"/>
  <c r="E476" i="121"/>
  <c r="N469" i="121" l="1"/>
  <c r="Q470" i="121"/>
  <c r="R470" i="121"/>
  <c r="S470" i="121" s="1"/>
  <c r="O471" i="121"/>
  <c r="E477" i="121"/>
  <c r="R471" i="121" l="1"/>
  <c r="S471" i="121" s="1"/>
  <c r="Q471" i="121"/>
  <c r="O472" i="121"/>
  <c r="N470" i="121"/>
  <c r="E478" i="121"/>
  <c r="N471" i="121" l="1"/>
  <c r="O473" i="121"/>
  <c r="R472" i="121"/>
  <c r="S472" i="121" s="1"/>
  <c r="Q472" i="121"/>
  <c r="E479" i="121"/>
  <c r="N472" i="121" l="1"/>
  <c r="O474" i="121"/>
  <c r="R473" i="121"/>
  <c r="S473" i="121" s="1"/>
  <c r="Q473" i="121"/>
  <c r="E480" i="121"/>
  <c r="N473" i="121" l="1"/>
  <c r="R474" i="121"/>
  <c r="S474" i="121" s="1"/>
  <c r="O475" i="121"/>
  <c r="Q474" i="121"/>
  <c r="E481" i="121"/>
  <c r="N474" i="121" l="1"/>
  <c r="E482" i="121"/>
  <c r="R475" i="121"/>
  <c r="S475" i="121" s="1"/>
  <c r="Q475" i="121"/>
  <c r="O476" i="121"/>
  <c r="Q476" i="121" l="1"/>
  <c r="R476" i="121"/>
  <c r="S476" i="121" s="1"/>
  <c r="O477" i="121"/>
  <c r="N475" i="121"/>
  <c r="E483" i="121"/>
  <c r="O478" i="121" l="1"/>
  <c r="R477" i="121"/>
  <c r="S477" i="121" s="1"/>
  <c r="Q477" i="121"/>
  <c r="N476" i="121"/>
  <c r="E484" i="121"/>
  <c r="N477" i="121" l="1"/>
  <c r="Q478" i="121"/>
  <c r="O479" i="121"/>
  <c r="R478" i="121"/>
  <c r="S478" i="121" s="1"/>
  <c r="E485" i="121"/>
  <c r="N478" i="121" l="1"/>
  <c r="O480" i="121"/>
  <c r="R479" i="121"/>
  <c r="S479" i="121" s="1"/>
  <c r="Q479" i="121"/>
  <c r="E486" i="121"/>
  <c r="N479" i="121" l="1"/>
  <c r="O481" i="121"/>
  <c r="Q480" i="121"/>
  <c r="R480" i="121"/>
  <c r="S480" i="121" s="1"/>
  <c r="E487" i="121"/>
  <c r="N480" i="121" l="1"/>
  <c r="Q481" i="121"/>
  <c r="O482" i="121"/>
  <c r="R481" i="121"/>
  <c r="S481" i="121" s="1"/>
  <c r="E488" i="121"/>
  <c r="O483" i="121" l="1"/>
  <c r="Q482" i="121"/>
  <c r="R482" i="121"/>
  <c r="S482" i="121" s="1"/>
  <c r="N481" i="121"/>
  <c r="E489" i="121"/>
  <c r="N482" i="121" l="1"/>
  <c r="O484" i="121"/>
  <c r="Q483" i="121"/>
  <c r="R483" i="121"/>
  <c r="S483" i="121" s="1"/>
  <c r="E490" i="121"/>
  <c r="N483" i="121" l="1"/>
  <c r="Q484" i="121"/>
  <c r="R484" i="121"/>
  <c r="S484" i="121" s="1"/>
  <c r="O485" i="121"/>
  <c r="E491" i="121"/>
  <c r="O486" i="121" l="1"/>
  <c r="Q485" i="121"/>
  <c r="R485" i="121"/>
  <c r="S485" i="121" s="1"/>
  <c r="N484" i="121"/>
  <c r="E492" i="121"/>
  <c r="N485" i="121" l="1"/>
  <c r="Q486" i="121"/>
  <c r="O487" i="121"/>
  <c r="R486" i="121"/>
  <c r="S486" i="121" s="1"/>
  <c r="E493" i="121"/>
  <c r="N486" i="121" l="1"/>
  <c r="O488" i="121"/>
  <c r="R487" i="121"/>
  <c r="S487" i="121" s="1"/>
  <c r="Q487" i="121"/>
  <c r="E494" i="121"/>
  <c r="N487" i="121" l="1"/>
  <c r="O489" i="121"/>
  <c r="Q488" i="121"/>
  <c r="R488" i="121"/>
  <c r="S488" i="121" s="1"/>
  <c r="E495" i="121"/>
  <c r="N488" i="121" l="1"/>
  <c r="Q489" i="121"/>
  <c r="R489" i="121"/>
  <c r="S489" i="121" s="1"/>
  <c r="O490" i="121"/>
  <c r="E496" i="121"/>
  <c r="N489" i="121" l="1"/>
  <c r="O491" i="121"/>
  <c r="R490" i="121"/>
  <c r="S490" i="121" s="1"/>
  <c r="Q490" i="121"/>
  <c r="E497" i="121"/>
  <c r="N490" i="121" l="1"/>
  <c r="Q491" i="121"/>
  <c r="O492" i="121"/>
  <c r="R491" i="121"/>
  <c r="S491" i="121" s="1"/>
  <c r="E498" i="121"/>
  <c r="N491" i="121" l="1"/>
  <c r="O493" i="121"/>
  <c r="Q492" i="121"/>
  <c r="R492" i="121"/>
  <c r="S492" i="121" s="1"/>
  <c r="E499" i="121"/>
  <c r="N492" i="121" l="1"/>
  <c r="R493" i="121"/>
  <c r="S493" i="121" s="1"/>
  <c r="Q493" i="121"/>
  <c r="O494" i="121"/>
  <c r="E500" i="121"/>
  <c r="N493" i="121" l="1"/>
  <c r="R494" i="121"/>
  <c r="S494" i="121" s="1"/>
  <c r="Q494" i="121"/>
  <c r="O495" i="121"/>
  <c r="E501" i="121"/>
  <c r="N494" i="121" l="1"/>
  <c r="O496" i="121"/>
  <c r="R495" i="121"/>
  <c r="S495" i="121" s="1"/>
  <c r="Q495" i="121"/>
  <c r="E502" i="121"/>
  <c r="N495" i="121" l="1"/>
  <c r="O497" i="121"/>
  <c r="Q496" i="121"/>
  <c r="R496" i="121"/>
  <c r="S496" i="121" s="1"/>
  <c r="E503" i="121"/>
  <c r="N496" i="121" l="1"/>
  <c r="O498" i="121"/>
  <c r="R497" i="121"/>
  <c r="S497" i="121" s="1"/>
  <c r="Q497" i="121"/>
  <c r="E504" i="121"/>
  <c r="N497" i="121" l="1"/>
  <c r="O499" i="121"/>
  <c r="R498" i="121"/>
  <c r="S498" i="121" s="1"/>
  <c r="Q498" i="121"/>
  <c r="E505" i="121"/>
  <c r="N498" i="121" l="1"/>
  <c r="R499" i="121"/>
  <c r="S499" i="121" s="1"/>
  <c r="O500" i="121"/>
  <c r="Q499" i="121"/>
  <c r="E506" i="121"/>
  <c r="N499" i="121" l="1"/>
  <c r="O501" i="121"/>
  <c r="Q500" i="121"/>
  <c r="R500" i="121"/>
  <c r="S500" i="121" s="1"/>
  <c r="E507" i="121"/>
  <c r="E508" i="121" l="1"/>
  <c r="N500" i="121"/>
  <c r="R501" i="121"/>
  <c r="S501" i="121" s="1"/>
  <c r="O502" i="121"/>
  <c r="Q501" i="121"/>
  <c r="N501" i="121" l="1"/>
  <c r="O503" i="121"/>
  <c r="R502" i="121"/>
  <c r="S502" i="121" s="1"/>
  <c r="Q502" i="121"/>
  <c r="E509" i="121"/>
  <c r="N502" i="121" l="1"/>
  <c r="O504" i="121"/>
  <c r="R503" i="121"/>
  <c r="S503" i="121" s="1"/>
  <c r="Q503" i="121"/>
  <c r="E510" i="121"/>
  <c r="N503" i="121" l="1"/>
  <c r="Q504" i="121"/>
  <c r="O505" i="121"/>
  <c r="R504" i="121"/>
  <c r="S504" i="121" s="1"/>
  <c r="E511" i="121"/>
  <c r="Q505" i="121" l="1"/>
  <c r="R505" i="121"/>
  <c r="S505" i="121" s="1"/>
  <c r="O506" i="121"/>
  <c r="N504" i="121"/>
  <c r="E512" i="121"/>
  <c r="N505" i="121" l="1"/>
  <c r="O507" i="121"/>
  <c r="Q506" i="121"/>
  <c r="R506" i="121"/>
  <c r="S506" i="121" s="1"/>
  <c r="E513" i="121"/>
  <c r="N506" i="121" l="1"/>
  <c r="O508" i="121"/>
  <c r="R507" i="121"/>
  <c r="S507" i="121" s="1"/>
  <c r="Q507" i="121"/>
  <c r="E514" i="121"/>
  <c r="N507" i="121" l="1"/>
  <c r="O509" i="121"/>
  <c r="Q508" i="121"/>
  <c r="R508" i="121"/>
  <c r="S508" i="121" s="1"/>
  <c r="E515" i="121"/>
  <c r="N508" i="121" l="1"/>
  <c r="Q509" i="121"/>
  <c r="R509" i="121"/>
  <c r="S509" i="121" s="1"/>
  <c r="O510" i="121"/>
  <c r="E516" i="121"/>
  <c r="N509" i="121" l="1"/>
  <c r="O511" i="121"/>
  <c r="R510" i="121"/>
  <c r="S510" i="121" s="1"/>
  <c r="Q510" i="121"/>
  <c r="E517" i="121"/>
  <c r="N510" i="121" l="1"/>
  <c r="Q511" i="121"/>
  <c r="O512" i="121"/>
  <c r="R511" i="121"/>
  <c r="S511" i="121" s="1"/>
  <c r="E518" i="121"/>
  <c r="N511" i="121" l="1"/>
  <c r="Q512" i="121"/>
  <c r="R512" i="121"/>
  <c r="S512" i="121" s="1"/>
  <c r="O513" i="121"/>
  <c r="E519" i="121"/>
  <c r="R513" i="121" l="1"/>
  <c r="S513" i="121" s="1"/>
  <c r="Q513" i="121"/>
  <c r="O514" i="121"/>
  <c r="N512" i="121"/>
  <c r="E520" i="121"/>
  <c r="N513" i="121" l="1"/>
  <c r="R514" i="121"/>
  <c r="S514" i="121" s="1"/>
  <c r="Q514" i="121"/>
  <c r="O515" i="121"/>
  <c r="E521" i="121"/>
  <c r="N514" i="121" l="1"/>
  <c r="R515" i="121"/>
  <c r="S515" i="121" s="1"/>
  <c r="O516" i="121"/>
  <c r="Q515" i="121"/>
  <c r="E522" i="121"/>
  <c r="N515" i="121" l="1"/>
  <c r="Q516" i="121"/>
  <c r="O517" i="121"/>
  <c r="R516" i="121"/>
  <c r="S516" i="121" s="1"/>
  <c r="E523" i="121"/>
  <c r="R517" i="121" l="1"/>
  <c r="S517" i="121" s="1"/>
  <c r="O518" i="121"/>
  <c r="Q517" i="121"/>
  <c r="N516" i="121"/>
  <c r="E524" i="121"/>
  <c r="N517" i="121" l="1"/>
  <c r="R518" i="121"/>
  <c r="S518" i="121" s="1"/>
  <c r="Q518" i="121"/>
  <c r="O519" i="121"/>
  <c r="E525" i="121"/>
  <c r="N518" i="121" l="1"/>
  <c r="Q519" i="121"/>
  <c r="O520" i="121"/>
  <c r="R519" i="121"/>
  <c r="S519" i="121" s="1"/>
  <c r="E526" i="121"/>
  <c r="O521" i="121" l="1"/>
  <c r="Q520" i="121"/>
  <c r="R520" i="121"/>
  <c r="S520" i="121" s="1"/>
  <c r="N519" i="121"/>
  <c r="E527" i="121"/>
  <c r="N520" i="121" l="1"/>
  <c r="Q521" i="121"/>
  <c r="R521" i="121"/>
  <c r="S521" i="121" s="1"/>
  <c r="O522" i="121"/>
  <c r="E528" i="121"/>
  <c r="Q522" i="121" l="1"/>
  <c r="R522" i="121"/>
  <c r="S522" i="121" s="1"/>
  <c r="O523" i="121"/>
  <c r="N521" i="121"/>
  <c r="E529" i="121"/>
  <c r="R523" i="121" l="1"/>
  <c r="S523" i="121" s="1"/>
  <c r="Q523" i="121"/>
  <c r="O524" i="121"/>
  <c r="N522" i="121"/>
  <c r="E530" i="121"/>
  <c r="N523" i="121" l="1"/>
  <c r="Q524" i="121"/>
  <c r="R524" i="121"/>
  <c r="S524" i="121" s="1"/>
  <c r="O525" i="121"/>
  <c r="E531" i="121"/>
  <c r="Q525" i="121" l="1"/>
  <c r="O526" i="121"/>
  <c r="R525" i="121"/>
  <c r="S525" i="121" s="1"/>
  <c r="N524" i="121"/>
  <c r="E532" i="121"/>
  <c r="R526" i="121" l="1"/>
  <c r="S526" i="121" s="1"/>
  <c r="Q526" i="121"/>
  <c r="O527" i="121"/>
  <c r="N525" i="121"/>
  <c r="E533" i="121"/>
  <c r="N526" i="121" l="1"/>
  <c r="R527" i="121"/>
  <c r="S527" i="121" s="1"/>
  <c r="Q527" i="121"/>
  <c r="O528" i="121"/>
  <c r="E534" i="121"/>
  <c r="O529" i="121" l="1"/>
  <c r="R528" i="121"/>
  <c r="S528" i="121" s="1"/>
  <c r="Q528" i="121"/>
  <c r="N527" i="121"/>
  <c r="E535" i="121"/>
  <c r="N528" i="121" l="1"/>
  <c r="O530" i="121"/>
  <c r="R529" i="121"/>
  <c r="S529" i="121" s="1"/>
  <c r="Q529" i="121"/>
  <c r="E536" i="121"/>
  <c r="N529" i="121" l="1"/>
  <c r="Q530" i="121"/>
  <c r="R530" i="121"/>
  <c r="S530" i="121" s="1"/>
  <c r="O531" i="121"/>
  <c r="E537" i="121"/>
  <c r="R531" i="121" l="1"/>
  <c r="S531" i="121" s="1"/>
  <c r="O532" i="121"/>
  <c r="Q531" i="121"/>
  <c r="N530" i="121"/>
  <c r="E538" i="121"/>
  <c r="N531" i="121" l="1"/>
  <c r="R532" i="121"/>
  <c r="S532" i="121" s="1"/>
  <c r="O533" i="121"/>
  <c r="Q532" i="121"/>
  <c r="E539" i="121"/>
  <c r="N532" i="121" l="1"/>
  <c r="R533" i="121"/>
  <c r="S533" i="121" s="1"/>
  <c r="Q533" i="121"/>
  <c r="O534" i="121"/>
  <c r="E540" i="121"/>
  <c r="N533" i="121" l="1"/>
  <c r="O535" i="121"/>
  <c r="R534" i="121"/>
  <c r="S534" i="121" s="1"/>
  <c r="Q534" i="121"/>
  <c r="E541" i="121"/>
  <c r="N534" i="121" l="1"/>
  <c r="Q535" i="121"/>
  <c r="R535" i="121"/>
  <c r="S535" i="121" s="1"/>
  <c r="O536" i="121"/>
  <c r="E542" i="121"/>
  <c r="N535" i="121" l="1"/>
  <c r="R536" i="121"/>
  <c r="S536" i="121" s="1"/>
  <c r="O537" i="121"/>
  <c r="Q536" i="121"/>
  <c r="E543" i="121"/>
  <c r="N536" i="121" l="1"/>
  <c r="R537" i="121"/>
  <c r="S537" i="121" s="1"/>
  <c r="Q537" i="121"/>
  <c r="O538" i="121"/>
  <c r="E544" i="121"/>
  <c r="N537" i="121" l="1"/>
  <c r="O539" i="121"/>
  <c r="R538" i="121"/>
  <c r="S538" i="121" s="1"/>
  <c r="Q538" i="121"/>
  <c r="E545" i="121"/>
  <c r="N538" i="121" l="1"/>
  <c r="Q539" i="121"/>
  <c r="O540" i="121"/>
  <c r="R539" i="121"/>
  <c r="S539" i="121" s="1"/>
  <c r="E546" i="121"/>
  <c r="E547" i="121" l="1"/>
  <c r="N539" i="121"/>
  <c r="R540" i="121"/>
  <c r="S540" i="121" s="1"/>
  <c r="O541" i="121"/>
  <c r="Q540" i="121"/>
  <c r="N540" i="121" l="1"/>
  <c r="O542" i="121"/>
  <c r="Q541" i="121"/>
  <c r="R541" i="121"/>
  <c r="S541" i="121" s="1"/>
  <c r="E548" i="121"/>
  <c r="N541" i="121" l="1"/>
  <c r="O543" i="121"/>
  <c r="R542" i="121"/>
  <c r="S542" i="121" s="1"/>
  <c r="Q542" i="121"/>
  <c r="E549" i="121"/>
  <c r="N542" i="121" l="1"/>
  <c r="R543" i="121"/>
  <c r="S543" i="121" s="1"/>
  <c r="Q543" i="121"/>
  <c r="O544" i="121"/>
  <c r="E550" i="121"/>
  <c r="N543" i="121" l="1"/>
  <c r="Q544" i="121"/>
  <c r="R544" i="121"/>
  <c r="S544" i="121" s="1"/>
  <c r="O545" i="121"/>
  <c r="E551" i="121"/>
  <c r="O546" i="121" l="1"/>
  <c r="R545" i="121"/>
  <c r="S545" i="121" s="1"/>
  <c r="Q545" i="121"/>
  <c r="N544" i="121"/>
  <c r="E552" i="121"/>
  <c r="N545" i="121" l="1"/>
  <c r="Q546" i="121"/>
  <c r="R546" i="121"/>
  <c r="S546" i="121" s="1"/>
  <c r="O547" i="121"/>
  <c r="E553" i="121"/>
  <c r="N546" i="121" l="1"/>
  <c r="O548" i="121"/>
  <c r="R547" i="121"/>
  <c r="S547" i="121" s="1"/>
  <c r="Q547" i="121"/>
  <c r="E554" i="121"/>
  <c r="N547" i="121" l="1"/>
  <c r="O549" i="121"/>
  <c r="R548" i="121"/>
  <c r="S548" i="121" s="1"/>
  <c r="Q548" i="121"/>
  <c r="E555" i="121"/>
  <c r="N548" i="121" l="1"/>
  <c r="Q549" i="121"/>
  <c r="R549" i="121"/>
  <c r="S549" i="121" s="1"/>
  <c r="O550" i="121"/>
  <c r="E556" i="121"/>
  <c r="O551" i="121" l="1"/>
  <c r="R550" i="121"/>
  <c r="S550" i="121" s="1"/>
  <c r="Q550" i="121"/>
  <c r="N549" i="121"/>
  <c r="E557" i="121"/>
  <c r="N550" i="121" l="1"/>
  <c r="O552" i="121"/>
  <c r="R551" i="121"/>
  <c r="S551" i="121" s="1"/>
  <c r="Q551" i="121"/>
  <c r="E558" i="121"/>
  <c r="N551" i="121" l="1"/>
  <c r="Q552" i="121"/>
  <c r="R552" i="121"/>
  <c r="S552" i="121" s="1"/>
  <c r="O553" i="121"/>
  <c r="E559" i="121"/>
  <c r="O554" i="121" l="1"/>
  <c r="R553" i="121"/>
  <c r="S553" i="121" s="1"/>
  <c r="Q553" i="121"/>
  <c r="N552" i="121"/>
  <c r="E560" i="121"/>
  <c r="N553" i="121" l="1"/>
  <c r="R554" i="121"/>
  <c r="S554" i="121" s="1"/>
  <c r="O555" i="121"/>
  <c r="Q554" i="121"/>
  <c r="E561" i="121"/>
  <c r="N554" i="121" l="1"/>
  <c r="O556" i="121"/>
  <c r="R555" i="121"/>
  <c r="S555" i="121" s="1"/>
  <c r="Q555" i="121"/>
  <c r="E562" i="121"/>
  <c r="N555" i="121" l="1"/>
  <c r="Q556" i="121"/>
  <c r="R556" i="121"/>
  <c r="S556" i="121" s="1"/>
  <c r="O557" i="121"/>
  <c r="E563" i="121"/>
  <c r="N556" i="121" l="1"/>
  <c r="Q557" i="121"/>
  <c r="R557" i="121"/>
  <c r="S557" i="121" s="1"/>
  <c r="O558" i="121"/>
  <c r="E564" i="121"/>
  <c r="O559" i="121" l="1"/>
  <c r="R558" i="121"/>
  <c r="S558" i="121" s="1"/>
  <c r="Q558" i="121"/>
  <c r="N557" i="121"/>
  <c r="E565" i="121"/>
  <c r="N558" i="121" l="1"/>
  <c r="O560" i="121"/>
  <c r="R559" i="121"/>
  <c r="S559" i="121" s="1"/>
  <c r="Q559" i="121"/>
  <c r="T33" i="121"/>
  <c r="U33" i="121" s="1"/>
  <c r="E566" i="121"/>
  <c r="T368" i="121" s="1"/>
  <c r="U368" i="121" s="1"/>
  <c r="T34" i="121" l="1"/>
  <c r="U34" i="121" s="1"/>
  <c r="T32" i="121"/>
  <c r="U32" i="121" s="1"/>
  <c r="T554" i="121"/>
  <c r="U554" i="121" s="1"/>
  <c r="T550" i="121"/>
  <c r="U550" i="121" s="1"/>
  <c r="T547" i="121"/>
  <c r="U547" i="121" s="1"/>
  <c r="T542" i="121"/>
  <c r="U542" i="121" s="1"/>
  <c r="T539" i="121"/>
  <c r="U539" i="121" s="1"/>
  <c r="T535" i="121"/>
  <c r="U535" i="121" s="1"/>
  <c r="T530" i="121"/>
  <c r="U530" i="121" s="1"/>
  <c r="T526" i="121"/>
  <c r="U526" i="121" s="1"/>
  <c r="T522" i="121"/>
  <c r="U522" i="121" s="1"/>
  <c r="T518" i="121"/>
  <c r="U518" i="121" s="1"/>
  <c r="T513" i="121"/>
  <c r="U513" i="121" s="1"/>
  <c r="T510" i="121"/>
  <c r="U510" i="121" s="1"/>
  <c r="T506" i="121"/>
  <c r="U506" i="121" s="1"/>
  <c r="T504" i="121"/>
  <c r="U504" i="121" s="1"/>
  <c r="T499" i="121"/>
  <c r="U499" i="121" s="1"/>
  <c r="T495" i="121"/>
  <c r="U495" i="121" s="1"/>
  <c r="T490" i="121"/>
  <c r="U490" i="121" s="1"/>
  <c r="T485" i="121"/>
  <c r="U485" i="121" s="1"/>
  <c r="T483" i="121"/>
  <c r="U483" i="121" s="1"/>
  <c r="T479" i="121"/>
  <c r="U479" i="121" s="1"/>
  <c r="T473" i="121"/>
  <c r="U473" i="121" s="1"/>
  <c r="T469" i="121"/>
  <c r="U469" i="121" s="1"/>
  <c r="T466" i="121"/>
  <c r="U466" i="121" s="1"/>
  <c r="T462" i="121"/>
  <c r="U462" i="121" s="1"/>
  <c r="T457" i="121"/>
  <c r="U457" i="121" s="1"/>
  <c r="T454" i="121"/>
  <c r="U454" i="121" s="1"/>
  <c r="T449" i="121"/>
  <c r="U449" i="121" s="1"/>
  <c r="T445" i="121"/>
  <c r="U445" i="121" s="1"/>
  <c r="T444" i="121"/>
  <c r="U444" i="121" s="1"/>
  <c r="T440" i="121"/>
  <c r="U440" i="121" s="1"/>
  <c r="T435" i="121"/>
  <c r="U435" i="121" s="1"/>
  <c r="T430" i="121"/>
  <c r="U430" i="121" s="1"/>
  <c r="T427" i="121"/>
  <c r="U427" i="121" s="1"/>
  <c r="T422" i="121"/>
  <c r="U422" i="121" s="1"/>
  <c r="T417" i="121"/>
  <c r="U417" i="121" s="1"/>
  <c r="T413" i="121"/>
  <c r="U413" i="121" s="1"/>
  <c r="T409" i="121"/>
  <c r="U409" i="121" s="1"/>
  <c r="T406" i="121"/>
  <c r="U406" i="121" s="1"/>
  <c r="T404" i="121"/>
  <c r="U404" i="121" s="1"/>
  <c r="T398" i="121"/>
  <c r="U398" i="121" s="1"/>
  <c r="T394" i="121"/>
  <c r="U394" i="121" s="1"/>
  <c r="T390" i="121"/>
  <c r="U390" i="121" s="1"/>
  <c r="T384" i="121"/>
  <c r="U384" i="121" s="1"/>
  <c r="T382" i="121"/>
  <c r="U382" i="121" s="1"/>
  <c r="T377" i="121"/>
  <c r="U377" i="121" s="1"/>
  <c r="T372" i="121"/>
  <c r="U372" i="121" s="1"/>
  <c r="T549" i="121"/>
  <c r="U549" i="121" s="1"/>
  <c r="T544" i="121"/>
  <c r="U544" i="121" s="1"/>
  <c r="T541" i="121"/>
  <c r="U541" i="121" s="1"/>
  <c r="T534" i="121"/>
  <c r="U534" i="121" s="1"/>
  <c r="T532" i="121"/>
  <c r="U532" i="121" s="1"/>
  <c r="T529" i="121"/>
  <c r="U529" i="121" s="1"/>
  <c r="T524" i="121"/>
  <c r="U524" i="121" s="1"/>
  <c r="T520" i="121"/>
  <c r="U520" i="121" s="1"/>
  <c r="T517" i="121"/>
  <c r="U517" i="121" s="1"/>
  <c r="T514" i="121"/>
  <c r="U514" i="121" s="1"/>
  <c r="T509" i="121"/>
  <c r="U509" i="121" s="1"/>
  <c r="T505" i="121"/>
  <c r="U505" i="121" s="1"/>
  <c r="T501" i="121"/>
  <c r="U501" i="121" s="1"/>
  <c r="T496" i="121"/>
  <c r="U496" i="121" s="1"/>
  <c r="T492" i="121"/>
  <c r="U492" i="121" s="1"/>
  <c r="T488" i="121"/>
  <c r="U488" i="121" s="1"/>
  <c r="T486" i="121"/>
  <c r="U486" i="121" s="1"/>
  <c r="T481" i="121"/>
  <c r="U481" i="121" s="1"/>
  <c r="T477" i="121"/>
  <c r="U477" i="121" s="1"/>
  <c r="T474" i="121"/>
  <c r="U474" i="121" s="1"/>
  <c r="T468" i="121"/>
  <c r="U468" i="121" s="1"/>
  <c r="T465" i="121"/>
  <c r="U465" i="121" s="1"/>
  <c r="T461" i="121"/>
  <c r="U461" i="121" s="1"/>
  <c r="T459" i="121"/>
  <c r="U459" i="121" s="1"/>
  <c r="T453" i="121"/>
  <c r="U453" i="121" s="1"/>
  <c r="T450" i="121"/>
  <c r="U450" i="121" s="1"/>
  <c r="T446" i="121"/>
  <c r="U446" i="121" s="1"/>
  <c r="T441" i="121"/>
  <c r="U441" i="121" s="1"/>
  <c r="T437" i="121"/>
  <c r="U437" i="121" s="1"/>
  <c r="T433" i="121"/>
  <c r="U433" i="121" s="1"/>
  <c r="T428" i="121"/>
  <c r="U428" i="121" s="1"/>
  <c r="T425" i="121"/>
  <c r="U425" i="121" s="1"/>
  <c r="T421" i="121"/>
  <c r="U421" i="121" s="1"/>
  <c r="T416" i="121"/>
  <c r="U416" i="121" s="1"/>
  <c r="T414" i="121"/>
  <c r="U414" i="121" s="1"/>
  <c r="T411" i="121"/>
  <c r="U411" i="121" s="1"/>
  <c r="T405" i="121"/>
  <c r="U405" i="121" s="1"/>
  <c r="T401" i="121"/>
  <c r="U401" i="121" s="1"/>
  <c r="T397" i="121"/>
  <c r="U397" i="121" s="1"/>
  <c r="T393" i="121"/>
  <c r="U393" i="121" s="1"/>
  <c r="T388" i="121"/>
  <c r="U388" i="121" s="1"/>
  <c r="T386" i="121"/>
  <c r="U386" i="121" s="1"/>
  <c r="T380" i="121"/>
  <c r="U380" i="121" s="1"/>
  <c r="T378" i="121"/>
  <c r="U378" i="121" s="1"/>
  <c r="T21" i="121"/>
  <c r="U21" i="121" s="1"/>
  <c r="T553" i="121"/>
  <c r="U553" i="121" s="1"/>
  <c r="T556" i="121"/>
  <c r="U556" i="121" s="1"/>
  <c r="T557" i="121"/>
  <c r="U557" i="121" s="1"/>
  <c r="T18" i="121"/>
  <c r="U18" i="121" s="1"/>
  <c r="T41" i="121"/>
  <c r="U41" i="121" s="1"/>
  <c r="T47" i="121"/>
  <c r="U47" i="121" s="1"/>
  <c r="T52" i="121"/>
  <c r="U52" i="121" s="1"/>
  <c r="T57" i="121"/>
  <c r="U57" i="121" s="1"/>
  <c r="T60" i="121"/>
  <c r="U60" i="121" s="1"/>
  <c r="T65" i="121"/>
  <c r="U65" i="121" s="1"/>
  <c r="T71" i="121"/>
  <c r="U71" i="121" s="1"/>
  <c r="T74" i="121"/>
  <c r="U74" i="121" s="1"/>
  <c r="T75" i="121"/>
  <c r="U75" i="121" s="1"/>
  <c r="T81" i="121"/>
  <c r="U81" i="121" s="1"/>
  <c r="T86" i="121"/>
  <c r="U86" i="121" s="1"/>
  <c r="T89" i="121"/>
  <c r="U89" i="121" s="1"/>
  <c r="T94" i="121"/>
  <c r="U94" i="121" s="1"/>
  <c r="T98" i="121"/>
  <c r="U98" i="121" s="1"/>
  <c r="T99" i="121"/>
  <c r="U99" i="121" s="1"/>
  <c r="T106" i="121"/>
  <c r="U106" i="121" s="1"/>
  <c r="T110" i="121"/>
  <c r="U110" i="121" s="1"/>
  <c r="T113" i="121"/>
  <c r="U113" i="121" s="1"/>
  <c r="T117" i="121"/>
  <c r="U117" i="121" s="1"/>
  <c r="T121" i="121"/>
  <c r="U121" i="121" s="1"/>
  <c r="T124" i="121"/>
  <c r="U124" i="121" s="1"/>
  <c r="T130" i="121"/>
  <c r="U130" i="121" s="1"/>
  <c r="T133" i="121"/>
  <c r="U133" i="121" s="1"/>
  <c r="T139" i="121"/>
  <c r="U139" i="121" s="1"/>
  <c r="T140" i="121"/>
  <c r="U140" i="121" s="1"/>
  <c r="T145" i="121"/>
  <c r="U145" i="121" s="1"/>
  <c r="T149" i="121"/>
  <c r="U149" i="121" s="1"/>
  <c r="T152" i="121"/>
  <c r="U152" i="121" s="1"/>
  <c r="T156" i="121"/>
  <c r="U156" i="121" s="1"/>
  <c r="T160" i="121"/>
  <c r="U160" i="121" s="1"/>
  <c r="T166" i="121"/>
  <c r="U166" i="121" s="1"/>
  <c r="T169" i="121"/>
  <c r="U169" i="121" s="1"/>
  <c r="T172" i="121"/>
  <c r="U172" i="121" s="1"/>
  <c r="T176" i="121"/>
  <c r="U176" i="121" s="1"/>
  <c r="T180" i="121"/>
  <c r="U180" i="121" s="1"/>
  <c r="T185" i="121"/>
  <c r="U185" i="121" s="1"/>
  <c r="T189" i="121"/>
  <c r="U189" i="121" s="1"/>
  <c r="T193" i="121"/>
  <c r="U193" i="121" s="1"/>
  <c r="T198" i="121"/>
  <c r="U198" i="121" s="1"/>
  <c r="T200" i="121"/>
  <c r="U200" i="121" s="1"/>
  <c r="T205" i="121"/>
  <c r="U205" i="121" s="1"/>
  <c r="T209" i="121"/>
  <c r="U209" i="121" s="1"/>
  <c r="T212" i="121"/>
  <c r="U212" i="121" s="1"/>
  <c r="T219" i="121"/>
  <c r="U219" i="121" s="1"/>
  <c r="T221" i="121"/>
  <c r="U221" i="121" s="1"/>
  <c r="T226" i="121"/>
  <c r="U226" i="121" s="1"/>
  <c r="T228" i="121"/>
  <c r="U228" i="121" s="1"/>
  <c r="T232" i="121"/>
  <c r="U232" i="121" s="1"/>
  <c r="T237" i="121"/>
  <c r="U237" i="121" s="1"/>
  <c r="T241" i="121"/>
  <c r="U241" i="121" s="1"/>
  <c r="T248" i="121"/>
  <c r="U248" i="121" s="1"/>
  <c r="T250" i="121"/>
  <c r="U250" i="121" s="1"/>
  <c r="T252" i="121"/>
  <c r="U252" i="121" s="1"/>
  <c r="T257" i="121"/>
  <c r="U257" i="121" s="1"/>
  <c r="T263" i="121"/>
  <c r="U263" i="121" s="1"/>
  <c r="T266" i="121"/>
  <c r="U266" i="121" s="1"/>
  <c r="T268" i="121"/>
  <c r="U268" i="121" s="1"/>
  <c r="T272" i="121"/>
  <c r="U272" i="121" s="1"/>
  <c r="T277" i="121"/>
  <c r="U277" i="121" s="1"/>
  <c r="T280" i="121"/>
  <c r="U280" i="121" s="1"/>
  <c r="T286" i="121"/>
  <c r="U286" i="121" s="1"/>
  <c r="T287" i="121"/>
  <c r="U287" i="121" s="1"/>
  <c r="T294" i="121"/>
  <c r="U294" i="121" s="1"/>
  <c r="T295" i="121"/>
  <c r="U295" i="121" s="1"/>
  <c r="T302" i="121"/>
  <c r="U302" i="121" s="1"/>
  <c r="T305" i="121"/>
  <c r="U305" i="121" s="1"/>
  <c r="T308" i="121"/>
  <c r="U308" i="121" s="1"/>
  <c r="T314" i="121"/>
  <c r="U314" i="121" s="1"/>
  <c r="T317" i="121"/>
  <c r="U317" i="121" s="1"/>
  <c r="T320" i="121"/>
  <c r="U320" i="121" s="1"/>
  <c r="T323" i="121"/>
  <c r="U323" i="121" s="1"/>
  <c r="T327" i="121"/>
  <c r="U327" i="121" s="1"/>
  <c r="T333" i="121"/>
  <c r="U333" i="121" s="1"/>
  <c r="T336" i="121"/>
  <c r="U336" i="121" s="1"/>
  <c r="T340" i="121"/>
  <c r="U340" i="121" s="1"/>
  <c r="T346" i="121"/>
  <c r="U346" i="121" s="1"/>
  <c r="T349" i="121"/>
  <c r="U349" i="121" s="1"/>
  <c r="T355" i="121"/>
  <c r="U355" i="121" s="1"/>
  <c r="T356" i="121"/>
  <c r="U356" i="121" s="1"/>
  <c r="T360" i="121"/>
  <c r="U360" i="121" s="1"/>
  <c r="T364" i="121"/>
  <c r="U364" i="121" s="1"/>
  <c r="T555" i="121"/>
  <c r="U555" i="121" s="1"/>
  <c r="T31" i="121"/>
  <c r="U31" i="121" s="1"/>
  <c r="T42" i="121"/>
  <c r="U42" i="121" s="1"/>
  <c r="T51" i="121"/>
  <c r="U51" i="121" s="1"/>
  <c r="T54" i="121"/>
  <c r="U54" i="121" s="1"/>
  <c r="T58" i="121"/>
  <c r="U58" i="121" s="1"/>
  <c r="T64" i="121"/>
  <c r="U64" i="121" s="1"/>
  <c r="T67" i="121"/>
  <c r="U67" i="121" s="1"/>
  <c r="T69" i="121"/>
  <c r="U69" i="121" s="1"/>
  <c r="T73" i="121"/>
  <c r="U73" i="121" s="1"/>
  <c r="T79" i="121"/>
  <c r="U79" i="121" s="1"/>
  <c r="T82" i="121"/>
  <c r="U82" i="121" s="1"/>
  <c r="T85" i="121"/>
  <c r="U85" i="121" s="1"/>
  <c r="T91" i="121"/>
  <c r="U91" i="121" s="1"/>
  <c r="T95" i="121"/>
  <c r="U95" i="121" s="1"/>
  <c r="T101" i="121"/>
  <c r="U101" i="121" s="1"/>
  <c r="T104" i="121"/>
  <c r="U104" i="121" s="1"/>
  <c r="T105" i="121"/>
  <c r="U105" i="121" s="1"/>
  <c r="T109" i="121"/>
  <c r="U109" i="121" s="1"/>
  <c r="T114" i="121"/>
  <c r="U114" i="121" s="1"/>
  <c r="T118" i="121"/>
  <c r="U118" i="121" s="1"/>
  <c r="T122" i="121"/>
  <c r="U122" i="121" s="1"/>
  <c r="T127" i="121"/>
  <c r="U127" i="121" s="1"/>
  <c r="T129" i="121"/>
  <c r="U129" i="121" s="1"/>
  <c r="T132" i="121"/>
  <c r="U132" i="121" s="1"/>
  <c r="T137" i="121"/>
  <c r="U137" i="121" s="1"/>
  <c r="T142" i="121"/>
  <c r="U142" i="121" s="1"/>
  <c r="T146" i="121"/>
  <c r="U146" i="121" s="1"/>
  <c r="T150" i="121"/>
  <c r="U150" i="121" s="1"/>
  <c r="T154" i="121"/>
  <c r="U154" i="121" s="1"/>
  <c r="T159" i="121"/>
  <c r="U159" i="121" s="1"/>
  <c r="T162" i="121"/>
  <c r="U162" i="121" s="1"/>
  <c r="T165" i="121"/>
  <c r="U165" i="121" s="1"/>
  <c r="T171" i="121"/>
  <c r="U171" i="121" s="1"/>
  <c r="T175" i="121"/>
  <c r="U175" i="121" s="1"/>
  <c r="T178" i="121"/>
  <c r="U178" i="121" s="1"/>
  <c r="T184" i="121"/>
  <c r="U184" i="121" s="1"/>
  <c r="T187" i="121"/>
  <c r="U187" i="121" s="1"/>
  <c r="T190" i="121"/>
  <c r="U190" i="121" s="1"/>
  <c r="T194" i="121"/>
  <c r="U194" i="121" s="1"/>
  <c r="T197" i="121"/>
  <c r="U197" i="121" s="1"/>
  <c r="T204" i="121"/>
  <c r="U204" i="121" s="1"/>
  <c r="T206" i="121"/>
  <c r="U206" i="121" s="1"/>
  <c r="T208" i="121"/>
  <c r="U208" i="121" s="1"/>
  <c r="T217" i="121"/>
  <c r="U217" i="121" s="1"/>
  <c r="T215" i="121"/>
  <c r="U215" i="121" s="1"/>
  <c r="T224" i="121"/>
  <c r="U224" i="121" s="1"/>
  <c r="T225" i="121"/>
  <c r="U225" i="121" s="1"/>
  <c r="T231" i="121"/>
  <c r="U231" i="121" s="1"/>
  <c r="T234" i="121"/>
  <c r="U234" i="121" s="1"/>
  <c r="T240" i="121"/>
  <c r="U240" i="121" s="1"/>
  <c r="T243" i="121"/>
  <c r="U243" i="121" s="1"/>
  <c r="T245" i="121"/>
  <c r="U245" i="121" s="1"/>
  <c r="T249" i="121"/>
  <c r="U249" i="121" s="1"/>
  <c r="T256" i="121"/>
  <c r="U256" i="121" s="1"/>
  <c r="T260" i="121"/>
  <c r="U260" i="121" s="1"/>
  <c r="T261" i="121"/>
  <c r="U261" i="121" s="1"/>
  <c r="T267" i="121"/>
  <c r="U267" i="121" s="1"/>
  <c r="T273" i="121"/>
  <c r="U273" i="121" s="1"/>
  <c r="T274" i="121"/>
  <c r="U274" i="121" s="1"/>
  <c r="T278" i="121"/>
  <c r="U278" i="121" s="1"/>
  <c r="T284" i="121"/>
  <c r="U284" i="121" s="1"/>
  <c r="T285" i="121"/>
  <c r="U285" i="121" s="1"/>
  <c r="T290" i="121"/>
  <c r="U290" i="121" s="1"/>
  <c r="T292" i="121"/>
  <c r="U292" i="121" s="1"/>
  <c r="T300" i="121"/>
  <c r="U300" i="121" s="1"/>
  <c r="T301" i="121"/>
  <c r="U301" i="121" s="1"/>
  <c r="T307" i="121"/>
  <c r="U307" i="121" s="1"/>
  <c r="T310" i="121"/>
  <c r="U310" i="121" s="1"/>
  <c r="T313" i="121"/>
  <c r="U313" i="121" s="1"/>
  <c r="T318" i="121"/>
  <c r="U318" i="121" s="1"/>
  <c r="T324" i="121"/>
  <c r="U324" i="121" s="1"/>
  <c r="T326" i="121"/>
  <c r="U326" i="121" s="1"/>
  <c r="T329" i="121"/>
  <c r="U329" i="121" s="1"/>
  <c r="T334" i="121"/>
  <c r="U334" i="121" s="1"/>
  <c r="T338" i="121"/>
  <c r="U338" i="121" s="1"/>
  <c r="T344" i="121"/>
  <c r="U344" i="121" s="1"/>
  <c r="T345" i="121"/>
  <c r="U345" i="121" s="1"/>
  <c r="T350" i="121"/>
  <c r="U350" i="121" s="1"/>
  <c r="T352" i="121"/>
  <c r="U352" i="121" s="1"/>
  <c r="T357" i="121"/>
  <c r="U357" i="121" s="1"/>
  <c r="T363" i="121"/>
  <c r="U363" i="121" s="1"/>
  <c r="T366" i="121"/>
  <c r="U366" i="121" s="1"/>
  <c r="T370" i="121"/>
  <c r="U370" i="121" s="1"/>
  <c r="T374" i="121"/>
  <c r="U374" i="121" s="1"/>
  <c r="T551" i="121"/>
  <c r="U551" i="121" s="1"/>
  <c r="T27" i="121"/>
  <c r="U27" i="121" s="1"/>
  <c r="T49" i="121"/>
  <c r="U49" i="121" s="1"/>
  <c r="T50" i="121"/>
  <c r="U50" i="121" s="1"/>
  <c r="T55" i="121"/>
  <c r="U55" i="121" s="1"/>
  <c r="T61" i="121"/>
  <c r="U61" i="121" s="1"/>
  <c r="T62" i="121"/>
  <c r="U62" i="121" s="1"/>
  <c r="T66" i="121"/>
  <c r="U66" i="121" s="1"/>
  <c r="T70" i="121"/>
  <c r="U70" i="121" s="1"/>
  <c r="T76" i="121"/>
  <c r="U76" i="121" s="1"/>
  <c r="T78" i="121"/>
  <c r="U78" i="121" s="1"/>
  <c r="T83" i="121"/>
  <c r="U83" i="121" s="1"/>
  <c r="T88" i="121"/>
  <c r="U88" i="121" s="1"/>
  <c r="T90" i="121"/>
  <c r="U90" i="121" s="1"/>
  <c r="T93" i="121"/>
  <c r="U93" i="121" s="1"/>
  <c r="T97" i="121"/>
  <c r="U97" i="121" s="1"/>
  <c r="T102" i="121"/>
  <c r="U102" i="121" s="1"/>
  <c r="T108" i="121"/>
  <c r="U108" i="121" s="1"/>
  <c r="T112" i="121"/>
  <c r="U112" i="121" s="1"/>
  <c r="T116" i="121"/>
  <c r="U116" i="121" s="1"/>
  <c r="T120" i="121"/>
  <c r="U120" i="121" s="1"/>
  <c r="T123" i="121"/>
  <c r="U123" i="121" s="1"/>
  <c r="T125" i="121"/>
  <c r="U125" i="121" s="1"/>
  <c r="T134" i="121"/>
  <c r="U134" i="121" s="1"/>
  <c r="T136" i="121"/>
  <c r="U136" i="121" s="1"/>
  <c r="T138" i="121"/>
  <c r="U138" i="121" s="1"/>
  <c r="T144" i="121"/>
  <c r="U144" i="121" s="1"/>
  <c r="T147" i="121"/>
  <c r="U147" i="121" s="1"/>
  <c r="T153" i="121"/>
  <c r="U153" i="121" s="1"/>
  <c r="T157" i="121"/>
  <c r="U157" i="121" s="1"/>
  <c r="T158" i="121"/>
  <c r="U158" i="121" s="1"/>
  <c r="T163" i="121"/>
  <c r="U163" i="121" s="1"/>
  <c r="T168" i="121"/>
  <c r="U168" i="121" s="1"/>
  <c r="T170" i="121"/>
  <c r="U170" i="121" s="1"/>
  <c r="T174" i="121"/>
  <c r="U174" i="121" s="1"/>
  <c r="T179" i="121"/>
  <c r="U179" i="121" s="1"/>
  <c r="T182" i="121"/>
  <c r="U182" i="121" s="1"/>
  <c r="T186" i="121"/>
  <c r="U186" i="121" s="1"/>
  <c r="T191" i="121"/>
  <c r="U191" i="121" s="1"/>
  <c r="T196" i="121"/>
  <c r="U196" i="121" s="1"/>
  <c r="T201" i="121"/>
  <c r="U201" i="121" s="1"/>
  <c r="T203" i="121"/>
  <c r="U203" i="121" s="1"/>
  <c r="T210" i="121"/>
  <c r="U210" i="121" s="1"/>
  <c r="T211" i="121"/>
  <c r="U211" i="121" s="1"/>
  <c r="T214" i="121"/>
  <c r="U214" i="121" s="1"/>
  <c r="T218" i="121"/>
  <c r="U218" i="121" s="1"/>
  <c r="T222" i="121"/>
  <c r="U222" i="121" s="1"/>
  <c r="T227" i="121"/>
  <c r="U227" i="121" s="1"/>
  <c r="T233" i="121"/>
  <c r="U233" i="121" s="1"/>
  <c r="T236" i="121"/>
  <c r="U236" i="121" s="1"/>
  <c r="T239" i="121"/>
  <c r="U239" i="121" s="1"/>
  <c r="T242" i="121"/>
  <c r="U242" i="121" s="1"/>
  <c r="T246" i="121"/>
  <c r="U246" i="121" s="1"/>
  <c r="T251" i="121"/>
  <c r="U251" i="121" s="1"/>
  <c r="T255" i="121"/>
  <c r="U255" i="121" s="1"/>
  <c r="T258" i="121"/>
  <c r="U258" i="121" s="1"/>
  <c r="T262" i="121"/>
  <c r="U262" i="121" s="1"/>
  <c r="T269" i="121"/>
  <c r="U269" i="121" s="1"/>
  <c r="T271" i="121"/>
  <c r="U271" i="121" s="1"/>
  <c r="T275" i="121"/>
  <c r="U275" i="121" s="1"/>
  <c r="T279" i="121"/>
  <c r="U279" i="121" s="1"/>
  <c r="T282" i="121"/>
  <c r="U282" i="121" s="1"/>
  <c r="T288" i="121"/>
  <c r="U288" i="121" s="1"/>
  <c r="T293" i="121"/>
  <c r="U293" i="121" s="1"/>
  <c r="T298" i="121"/>
  <c r="U298" i="121" s="1"/>
  <c r="T297" i="121"/>
  <c r="U297" i="121" s="1"/>
  <c r="T303" i="121"/>
  <c r="U303" i="121" s="1"/>
  <c r="T306" i="121"/>
  <c r="U306" i="121" s="1"/>
  <c r="T312" i="121"/>
  <c r="U312" i="121" s="1"/>
  <c r="T316" i="121"/>
  <c r="U316" i="121" s="1"/>
  <c r="T321" i="121"/>
  <c r="U321" i="121" s="1"/>
  <c r="T322" i="121"/>
  <c r="U322" i="121" s="1"/>
  <c r="T330" i="121"/>
  <c r="U330" i="121" s="1"/>
  <c r="T331" i="121"/>
  <c r="U331" i="121" s="1"/>
  <c r="T337" i="121"/>
  <c r="U337" i="121" s="1"/>
  <c r="T339" i="121"/>
  <c r="U339" i="121" s="1"/>
  <c r="T342" i="121"/>
  <c r="U342" i="121" s="1"/>
  <c r="T347" i="121"/>
  <c r="U347" i="121" s="1"/>
  <c r="T351" i="121"/>
  <c r="U351" i="121" s="1"/>
  <c r="T354" i="121"/>
  <c r="U354" i="121" s="1"/>
  <c r="T359" i="121"/>
  <c r="U359" i="121" s="1"/>
  <c r="T362" i="121"/>
  <c r="U362" i="121" s="1"/>
  <c r="T367" i="121"/>
  <c r="U367" i="121" s="1"/>
  <c r="T369" i="121"/>
  <c r="U369" i="121" s="1"/>
  <c r="T375" i="121"/>
  <c r="U375" i="121" s="1"/>
  <c r="T552" i="121"/>
  <c r="U552" i="121" s="1"/>
  <c r="T28" i="121"/>
  <c r="U28" i="121" s="1"/>
  <c r="T48" i="121"/>
  <c r="U48" i="121" s="1"/>
  <c r="T53" i="121"/>
  <c r="U53" i="121" s="1"/>
  <c r="T56" i="121"/>
  <c r="U56" i="121" s="1"/>
  <c r="T59" i="121"/>
  <c r="U59" i="121" s="1"/>
  <c r="T63" i="121"/>
  <c r="U63" i="121" s="1"/>
  <c r="T68" i="121"/>
  <c r="U68" i="121" s="1"/>
  <c r="T72" i="121"/>
  <c r="U72" i="121" s="1"/>
  <c r="T77" i="121"/>
  <c r="U77" i="121" s="1"/>
  <c r="T80" i="121"/>
  <c r="U80" i="121" s="1"/>
  <c r="T84" i="121"/>
  <c r="U84" i="121" s="1"/>
  <c r="T87" i="121"/>
  <c r="U87" i="121" s="1"/>
  <c r="T92" i="121"/>
  <c r="U92" i="121" s="1"/>
  <c r="T96" i="121"/>
  <c r="U96" i="121" s="1"/>
  <c r="T100" i="121"/>
  <c r="U100" i="121" s="1"/>
  <c r="T103" i="121"/>
  <c r="U103" i="121" s="1"/>
  <c r="T107" i="121"/>
  <c r="U107" i="121" s="1"/>
  <c r="T111" i="121"/>
  <c r="U111" i="121" s="1"/>
  <c r="T115" i="121"/>
  <c r="U115" i="121" s="1"/>
  <c r="T119" i="121"/>
  <c r="U119" i="121" s="1"/>
  <c r="T126" i="121"/>
  <c r="U126" i="121" s="1"/>
  <c r="T128" i="121"/>
  <c r="U128" i="121" s="1"/>
  <c r="T131" i="121"/>
  <c r="U131" i="121" s="1"/>
  <c r="T135" i="121"/>
  <c r="U135" i="121" s="1"/>
  <c r="T141" i="121"/>
  <c r="U141" i="121" s="1"/>
  <c r="T143" i="121"/>
  <c r="U143" i="121" s="1"/>
  <c r="T148" i="121"/>
  <c r="U148" i="121" s="1"/>
  <c r="T151" i="121"/>
  <c r="U151" i="121" s="1"/>
  <c r="T155" i="121"/>
  <c r="U155" i="121" s="1"/>
  <c r="T161" i="121"/>
  <c r="U161" i="121" s="1"/>
  <c r="T164" i="121"/>
  <c r="U164" i="121" s="1"/>
  <c r="T167" i="121"/>
  <c r="U167" i="121" s="1"/>
  <c r="T173" i="121"/>
  <c r="U173" i="121" s="1"/>
  <c r="T177" i="121"/>
  <c r="U177" i="121" s="1"/>
  <c r="T181" i="121"/>
  <c r="U181" i="121" s="1"/>
  <c r="T183" i="121"/>
  <c r="U183" i="121" s="1"/>
  <c r="T188" i="121"/>
  <c r="U188" i="121" s="1"/>
  <c r="T192" i="121"/>
  <c r="U192" i="121" s="1"/>
  <c r="T195" i="121"/>
  <c r="U195" i="121" s="1"/>
  <c r="T199" i="121"/>
  <c r="U199" i="121" s="1"/>
  <c r="T202" i="121"/>
  <c r="U202" i="121" s="1"/>
  <c r="T207" i="121"/>
  <c r="U207" i="121" s="1"/>
  <c r="T213" i="121"/>
  <c r="U213" i="121" s="1"/>
  <c r="T216" i="121"/>
  <c r="U216" i="121" s="1"/>
  <c r="T220" i="121"/>
  <c r="U220" i="121" s="1"/>
  <c r="T223" i="121"/>
  <c r="U223" i="121" s="1"/>
  <c r="T229" i="121"/>
  <c r="U229" i="121" s="1"/>
  <c r="T230" i="121"/>
  <c r="U230" i="121" s="1"/>
  <c r="T235" i="121"/>
  <c r="U235" i="121" s="1"/>
  <c r="T238" i="121"/>
  <c r="U238" i="121" s="1"/>
  <c r="T244" i="121"/>
  <c r="U244" i="121" s="1"/>
  <c r="T247" i="121"/>
  <c r="U247" i="121" s="1"/>
  <c r="T253" i="121"/>
  <c r="U253" i="121" s="1"/>
  <c r="T254" i="121"/>
  <c r="U254" i="121" s="1"/>
  <c r="T259" i="121"/>
  <c r="U259" i="121" s="1"/>
  <c r="T264" i="121"/>
  <c r="U264" i="121" s="1"/>
  <c r="T265" i="121"/>
  <c r="U265" i="121" s="1"/>
  <c r="T270" i="121"/>
  <c r="U270" i="121" s="1"/>
  <c r="T276" i="121"/>
  <c r="U276" i="121" s="1"/>
  <c r="T281" i="121"/>
  <c r="U281" i="121" s="1"/>
  <c r="T283" i="121"/>
  <c r="U283" i="121" s="1"/>
  <c r="T289" i="121"/>
  <c r="U289" i="121" s="1"/>
  <c r="T291" i="121"/>
  <c r="U291" i="121" s="1"/>
  <c r="T296" i="121"/>
  <c r="U296" i="121" s="1"/>
  <c r="T299" i="121"/>
  <c r="U299" i="121" s="1"/>
  <c r="T304" i="121"/>
  <c r="U304" i="121" s="1"/>
  <c r="T309" i="121"/>
  <c r="U309" i="121" s="1"/>
  <c r="T311" i="121"/>
  <c r="U311" i="121" s="1"/>
  <c r="T315" i="121"/>
  <c r="U315" i="121" s="1"/>
  <c r="T319" i="121"/>
  <c r="U319" i="121" s="1"/>
  <c r="T325" i="121"/>
  <c r="U325" i="121" s="1"/>
  <c r="T328" i="121"/>
  <c r="U328" i="121" s="1"/>
  <c r="T332" i="121"/>
  <c r="U332" i="121" s="1"/>
  <c r="T335" i="121"/>
  <c r="U335" i="121" s="1"/>
  <c r="T341" i="121"/>
  <c r="U341" i="121" s="1"/>
  <c r="T343" i="121"/>
  <c r="U343" i="121" s="1"/>
  <c r="T348" i="121"/>
  <c r="U348" i="121" s="1"/>
  <c r="T353" i="121"/>
  <c r="U353" i="121" s="1"/>
  <c r="T358" i="121"/>
  <c r="U358" i="121" s="1"/>
  <c r="T361" i="121"/>
  <c r="U361" i="121" s="1"/>
  <c r="T24" i="121"/>
  <c r="U24" i="121" s="1"/>
  <c r="T558" i="121"/>
  <c r="U558" i="121" s="1"/>
  <c r="T546" i="121"/>
  <c r="U546" i="121" s="1"/>
  <c r="T543" i="121"/>
  <c r="U543" i="121" s="1"/>
  <c r="T540" i="121"/>
  <c r="U540" i="121" s="1"/>
  <c r="T537" i="121"/>
  <c r="U537" i="121" s="1"/>
  <c r="T533" i="121"/>
  <c r="U533" i="121" s="1"/>
  <c r="T528" i="121"/>
  <c r="U528" i="121" s="1"/>
  <c r="T525" i="121"/>
  <c r="U525" i="121" s="1"/>
  <c r="T521" i="121"/>
  <c r="U521" i="121" s="1"/>
  <c r="T516" i="121"/>
  <c r="U516" i="121" s="1"/>
  <c r="T511" i="121"/>
  <c r="U511" i="121" s="1"/>
  <c r="T507" i="121"/>
  <c r="U507" i="121" s="1"/>
  <c r="T503" i="121"/>
  <c r="U503" i="121" s="1"/>
  <c r="T498" i="121"/>
  <c r="U498" i="121" s="1"/>
  <c r="T497" i="121"/>
  <c r="U497" i="121" s="1"/>
  <c r="T491" i="121"/>
  <c r="U491" i="121" s="1"/>
  <c r="T487" i="121"/>
  <c r="U487" i="121" s="1"/>
  <c r="T484" i="121"/>
  <c r="U484" i="121" s="1"/>
  <c r="T480" i="121"/>
  <c r="U480" i="121" s="1"/>
  <c r="T476" i="121"/>
  <c r="U476" i="121" s="1"/>
  <c r="T472" i="121"/>
  <c r="U472" i="121" s="1"/>
  <c r="T470" i="121"/>
  <c r="U470" i="121" s="1"/>
  <c r="T464" i="121"/>
  <c r="U464" i="121" s="1"/>
  <c r="T460" i="121"/>
  <c r="U460" i="121" s="1"/>
  <c r="T455" i="121"/>
  <c r="U455" i="121" s="1"/>
  <c r="T452" i="121"/>
  <c r="U452" i="121" s="1"/>
  <c r="T447" i="121"/>
  <c r="U447" i="121" s="1"/>
  <c r="T443" i="121"/>
  <c r="U443" i="121" s="1"/>
  <c r="T438" i="121"/>
  <c r="U438" i="121" s="1"/>
  <c r="T436" i="121"/>
  <c r="U436" i="121" s="1"/>
  <c r="T432" i="121"/>
  <c r="U432" i="121" s="1"/>
  <c r="T429" i="121"/>
  <c r="U429" i="121" s="1"/>
  <c r="T424" i="121"/>
  <c r="U424" i="121" s="1"/>
  <c r="T420" i="121"/>
  <c r="U420" i="121" s="1"/>
  <c r="T418" i="121"/>
  <c r="U418" i="121" s="1"/>
  <c r="T412" i="121"/>
  <c r="U412" i="121" s="1"/>
  <c r="T407" i="121"/>
  <c r="U407" i="121" s="1"/>
  <c r="T403" i="121"/>
  <c r="U403" i="121" s="1"/>
  <c r="T400" i="121"/>
  <c r="U400" i="121" s="1"/>
  <c r="T396" i="121"/>
  <c r="U396" i="121" s="1"/>
  <c r="T392" i="121"/>
  <c r="U392" i="121" s="1"/>
  <c r="T387" i="121"/>
  <c r="U387" i="121" s="1"/>
  <c r="T385" i="121"/>
  <c r="U385" i="121" s="1"/>
  <c r="T379" i="121"/>
  <c r="U379" i="121" s="1"/>
  <c r="T376" i="121"/>
  <c r="U376" i="121" s="1"/>
  <c r="T371" i="121"/>
  <c r="U371" i="121" s="1"/>
  <c r="T548" i="121"/>
  <c r="U548" i="121" s="1"/>
  <c r="T545" i="121"/>
  <c r="U545" i="121" s="1"/>
  <c r="T538" i="121"/>
  <c r="U538" i="121" s="1"/>
  <c r="T536" i="121"/>
  <c r="U536" i="121" s="1"/>
  <c r="T531" i="121"/>
  <c r="U531" i="121" s="1"/>
  <c r="T527" i="121"/>
  <c r="U527" i="121" s="1"/>
  <c r="T523" i="121"/>
  <c r="U523" i="121" s="1"/>
  <c r="T519" i="121"/>
  <c r="U519" i="121" s="1"/>
  <c r="T515" i="121"/>
  <c r="U515" i="121" s="1"/>
  <c r="T512" i="121"/>
  <c r="U512" i="121" s="1"/>
  <c r="T508" i="121"/>
  <c r="U508" i="121" s="1"/>
  <c r="T502" i="121"/>
  <c r="U502" i="121" s="1"/>
  <c r="T500" i="121"/>
  <c r="U500" i="121" s="1"/>
  <c r="T494" i="121"/>
  <c r="U494" i="121" s="1"/>
  <c r="T493" i="121"/>
  <c r="U493" i="121" s="1"/>
  <c r="T489" i="121"/>
  <c r="U489" i="121" s="1"/>
  <c r="T482" i="121"/>
  <c r="U482" i="121" s="1"/>
  <c r="T478" i="121"/>
  <c r="U478" i="121" s="1"/>
  <c r="T475" i="121"/>
  <c r="U475" i="121" s="1"/>
  <c r="T471" i="121"/>
  <c r="U471" i="121" s="1"/>
  <c r="T467" i="121"/>
  <c r="U467" i="121" s="1"/>
  <c r="T463" i="121"/>
  <c r="U463" i="121" s="1"/>
  <c r="T458" i="121"/>
  <c r="U458" i="121" s="1"/>
  <c r="T456" i="121"/>
  <c r="U456" i="121" s="1"/>
  <c r="T451" i="121"/>
  <c r="U451" i="121" s="1"/>
  <c r="T448" i="121"/>
  <c r="U448" i="121" s="1"/>
  <c r="T442" i="121"/>
  <c r="U442" i="121" s="1"/>
  <c r="T439" i="121"/>
  <c r="U439" i="121" s="1"/>
  <c r="T434" i="121"/>
  <c r="U434" i="121" s="1"/>
  <c r="T431" i="121"/>
  <c r="U431" i="121" s="1"/>
  <c r="T426" i="121"/>
  <c r="U426" i="121" s="1"/>
  <c r="T423" i="121"/>
  <c r="U423" i="121" s="1"/>
  <c r="T419" i="121"/>
  <c r="U419" i="121" s="1"/>
  <c r="T415" i="121"/>
  <c r="U415" i="121" s="1"/>
  <c r="T410" i="121"/>
  <c r="U410" i="121" s="1"/>
  <c r="T408" i="121"/>
  <c r="U408" i="121" s="1"/>
  <c r="T402" i="121"/>
  <c r="U402" i="121" s="1"/>
  <c r="T399" i="121"/>
  <c r="U399" i="121" s="1"/>
  <c r="T395" i="121"/>
  <c r="U395" i="121" s="1"/>
  <c r="T391" i="121"/>
  <c r="U391" i="121" s="1"/>
  <c r="T389" i="121"/>
  <c r="U389" i="121" s="1"/>
  <c r="T383" i="121"/>
  <c r="U383" i="121" s="1"/>
  <c r="T381" i="121"/>
  <c r="U381" i="121" s="1"/>
  <c r="T373" i="121"/>
  <c r="U373" i="121" s="1"/>
  <c r="T365" i="121"/>
  <c r="U365" i="121" s="1"/>
  <c r="N559" i="121"/>
  <c r="T559" i="121" s="1"/>
  <c r="U559" i="121" s="1"/>
  <c r="O561" i="121"/>
  <c r="R560" i="121"/>
  <c r="S560" i="121" s="1"/>
  <c r="Q560" i="121"/>
  <c r="T16" i="121"/>
  <c r="U16" i="121" s="1"/>
  <c r="T44" i="121"/>
  <c r="U44" i="121" s="1"/>
  <c r="T36" i="121"/>
  <c r="U36" i="121" s="1"/>
  <c r="T25" i="121"/>
  <c r="U25" i="121" s="1"/>
  <c r="T35" i="121"/>
  <c r="U35" i="121" s="1"/>
  <c r="T23" i="121"/>
  <c r="U23" i="121" s="1"/>
  <c r="T43" i="121"/>
  <c r="U43" i="121" s="1"/>
  <c r="T37" i="121"/>
  <c r="U37" i="121" s="1"/>
  <c r="T19" i="121"/>
  <c r="U19" i="121" s="1"/>
  <c r="T22" i="121"/>
  <c r="U22" i="121" s="1"/>
  <c r="T46" i="121"/>
  <c r="U46" i="121" s="1"/>
  <c r="T40" i="121"/>
  <c r="U40" i="121" s="1"/>
  <c r="T38" i="121"/>
  <c r="U38" i="121" s="1"/>
  <c r="T26" i="121"/>
  <c r="U26" i="121" s="1"/>
  <c r="T17" i="121"/>
  <c r="U17" i="121" s="1"/>
  <c r="T45" i="121"/>
  <c r="U45" i="121" s="1"/>
  <c r="T39" i="121"/>
  <c r="U39" i="121" s="1"/>
  <c r="T29" i="121"/>
  <c r="U29" i="121" s="1"/>
  <c r="T20" i="121"/>
  <c r="U20" i="121" s="1"/>
  <c r="N560" i="121" l="1"/>
  <c r="T560" i="121" s="1"/>
  <c r="U560" i="121" s="1"/>
  <c r="R561" i="121"/>
  <c r="S561" i="121" s="1"/>
  <c r="Q561" i="121"/>
  <c r="O562" i="121"/>
  <c r="N561" i="121" l="1"/>
  <c r="T561" i="121" s="1"/>
  <c r="U561" i="121" s="1"/>
  <c r="Q562" i="121"/>
  <c r="R562" i="121"/>
  <c r="S562" i="121" s="1"/>
  <c r="O563" i="121"/>
  <c r="O564" i="121" l="1"/>
  <c r="R563" i="121"/>
  <c r="S563" i="121" s="1"/>
  <c r="Q563" i="121"/>
  <c r="N562" i="121"/>
  <c r="T562" i="121" s="1"/>
  <c r="U562" i="121" s="1"/>
  <c r="N563" i="121" l="1"/>
  <c r="T563" i="121" s="1"/>
  <c r="U563" i="121" s="1"/>
  <c r="Q564" i="121"/>
  <c r="O565" i="121"/>
  <c r="R564" i="121"/>
  <c r="S564" i="121" s="1"/>
  <c r="R565" i="121" l="1"/>
  <c r="S565" i="121" s="1"/>
  <c r="O566" i="121"/>
  <c r="Q565" i="121"/>
  <c r="N564" i="121"/>
  <c r="T564" i="121" s="1"/>
  <c r="U564" i="121" s="1"/>
  <c r="N565" i="121" l="1"/>
  <c r="T565" i="121" s="1"/>
  <c r="U565" i="121" s="1"/>
  <c r="O567" i="121"/>
  <c r="Q566" i="121"/>
  <c r="R566" i="121"/>
  <c r="S566" i="121" s="1"/>
  <c r="N566" i="121" l="1"/>
  <c r="T566" i="121" s="1"/>
  <c r="U566" i="121" s="1"/>
  <c r="Q567" i="121"/>
  <c r="R567" i="121"/>
  <c r="S567" i="121" s="1"/>
  <c r="O568" i="121"/>
  <c r="O569" i="121" l="1"/>
  <c r="Q568" i="121"/>
  <c r="R568" i="121"/>
  <c r="S568" i="121" s="1"/>
  <c r="N567" i="121"/>
  <c r="T567" i="121" s="1"/>
  <c r="U567" i="121" s="1"/>
  <c r="N568" i="121" l="1"/>
  <c r="T568" i="121" s="1"/>
  <c r="U568" i="121" s="1"/>
  <c r="O570" i="121"/>
  <c r="R569" i="121"/>
  <c r="S569" i="121" s="1"/>
  <c r="Q569" i="121"/>
  <c r="N569" i="121" l="1"/>
  <c r="T569" i="121" s="1"/>
  <c r="U569" i="121" s="1"/>
  <c r="R570" i="121"/>
  <c r="S570" i="121" s="1"/>
  <c r="Q570" i="121"/>
  <c r="N570" i="121" l="1"/>
  <c r="T570" i="121" s="1"/>
  <c r="U570" i="121" s="1"/>
</calcChain>
</file>

<file path=xl/connections.xml><?xml version="1.0" encoding="utf-8"?>
<connections xmlns="http://schemas.openxmlformats.org/spreadsheetml/2006/main">
  <connection id="1" name="CON_KPI_DUPONT_DATA" type="1" refreshedVersion="5" savePassword="1" saveData="1">
    <dbPr connection="DSN=GLOBAL_CCC;ServerName=localhost.1583;UID=Master;PWD=master;ArrayFetchOn=1;ArrayBufferSize=8;TransportHint=TCP;DBQ=GLOBALCCC;OpenMode=0;ClientVersion=11.31.054.000;CodePageConvert=1252;PvClientEncoding=CP1252;PvServerEncoding=CP1252;" command="SELECT CON_KPI_DUPONT_DATA.MONTH, CON_KPI_DUPONT_DATA.YEAR, CON_KPI_DUPONT_DATA.CASH, CON_KPI_DUPONT_DATA.RAW, CON_KPI_DUPONT_DATA.FG, CON_KPI_DUPONT_DATA.WIP, CON_KPI_DUPONT_DATA.AR, CON_KPI_DUPONT_DATA.OTHER_ASSET, CON_KPI_DUPONT_DATA.FIXED_ASSET, CON_KPI_DUPONT_DATA.AP, CON_KPI_DUPONT_DATA.OTHER_CURRENT, CON_KPI_DUPONT_DATA.LONG_TERM_DEBT, CON_KPI_DUPONT_DATA.SALES, CON_KPI_DUPONT_DATA.COGS_FREIGHT, CON_KPI_DUPONT_DATA.COGS_LABOR, CON_KPI_DUPONT_DATA.COGS_OUTSIDE, CON_KPI_DUPONT_DATA.COGS_OVERHEAD, CON_KPI_DUPONT_DATA.COGS_OTHER, CON_KPI_DUPONT_DATA.COGS_MATERIAL, CON_KPI_DUPONT_DATA.VARIABLE_EXPENSES, CON_KPI_DUPONT_DATA.FIXED_EXPENSES, CON_KPI_DUPONT_DATA.TAXES, CON_KPI_DUPONT_DATA.SHARES FROM GLOBALCCC.CON_KPI_DUPONT_DATA CON_KPI_DUPONT_DATA"/>
  </connection>
  <connection id="2" name="CON_KPI_IND_SUM" type="1" refreshedVersion="5" savePassword="1" saveData="1">
    <dbPr connection="DSN=GLOBAL_CCC;ServerName=localhost.1583;UID=Master;PWD=master;ArrayFetchOn=1;ArrayBufferSize=8;TransportHint=TCP;DBQ=GLOBALCCC;OpenMode=0;ClientVersion=11.31.054.000;CodePageConvert=1252;PvClientEncoding=CP1252;PvServerEncoding=CP1252;" command="SELECT CON_KPI_DIR_IND.ID, CON_KPI_DIR_IND.MONTH, CON_KPI_DIR_IND.YEAR, CON_KPI_DIR_IND.HOURS_WORKED, CON_KPI_DIR_IND.DIRECT_INDIRECT FROM GLOBALCCC.CON_KPI_DIR_IND CON_KPI_DIR_IND"/>
  </connection>
  <connection id="3" name="CON_KPI_INDSUM" type="1" refreshedVersion="5" savePassword="1" saveData="1">
    <dbPr connection="DSN=GLOBAL_CCC;ServerName=localhost.1583;UID=Master;PWD=master;ArrayFetchOn=1;ArrayBufferSize=8;TransportHint=TCP;DBQ=GLOBALCCC;OpenMode=0;ClientVersion=11.31.054.000;CodePageConvert=1252;PvClientEncoding=CP1252;PvServerEncoding=CP1252;" command="SELECT CON_KPI_INDIRECT_SUM.ID, CON_KPI_INDIRECT_SUM.JOB, CON_KPI_INDIRECT_SUM.SUFFIX, CON_KPI_INDIRECT_SUM.SEQUENCE, CON_KPI_INDIRECT_SUM.HOURS_WORKED, CON_KPI_INDIRECT_SUM.MONTH, CON_KPI_INDIRECT_SUM.YEAR, CON_KPI_INDIRECT_SUM.DESCRIPTION FROM GLOBALCCC.CON_KPI_INDIRECT_SUM CON_KPI_INDIRECT_SUM"/>
  </connection>
  <connection id="4" name="CON_KPI_RU_0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1.CUSTOMER_NAME, CON_KPI_RU_01.TOTAL_SALES FROM GLOBALCCC.CON_KPI_RU_01 CON_KPI_RU_01"/>
  </connection>
  <connection id="5" name="CON_KPI_RU_0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2.RU_YEAR, CON_KPI_RU_02.RU_MONTH, CON_KPI_RU_02.OPEN_ORDER_TOTAL, CON_KPI_RU_02.OPEN_ORDER_LINES, CON_KPI_RU_02.RU_YEAR, CON_KPI_RU_02.RU_MONTH, CON_KPI_RU_02.MONTH_CHAR,CON_KPI_RU_02.PERIOD, CON_KPI_RU_02.OPEN_ORDER_TOTAL, CON_KPI_RU_02.OPEN_ORDER_LINES FROM GLOBALCCC.CON_KPI_RU_02 CON_KPI_RU_02"/>
  </connection>
  <connection id="6" name="CON_KPI_RU_0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3.RU_YEAR, CON_KPI_RU_03.RU_MONTH,  CON_KPI_RU_03.MONTH_CHAR,CON_KPI_RU_03.PERIOD,CON_KPI_RU_03.SALES, CON_KPI_RU_03.BUDGET, CON_KPI_RU_03.PER_OF_BUDGET FROM GLOBALCCC.CON_KPI_RU_03 CON_KPI_RU_03"/>
  </connection>
  <connection id="7" name="CON_KPI_RU_0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4.RU_YEAR, CON_KPI_RU_04.RU_MONTH,  CON_KPI_RU_04.MONTH_CHAR,CON_KPI_RU_04.PERIOD, CON_KPI_RU_04.SALES, CON_KPI_RU_04.BUDGET, CON_KPI_RU_04.PER_OF_BUDGET FROM GLOBALCCC.CON_KPI_RU_04 CON_KPI_RU_04"/>
  </connection>
  <connection id="8" name="CON_KPI_RU_0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5.RU_YEAR, CON_KPI_RU_05.RU_MONTH,  CON_KPI_RU_05.MONTH_CHAR,CON_KPI_RU_05.PERIOD, CON_KPI_RU_05.SALES, CON_KPI_RU_05.BUDGET, CON_KPI_RU_05.PER_OF_BUDGET FROM GLOBALCCC.CON_KPI_RU_05 CON_KPI_RU_05"/>
  </connection>
  <connection id="9" name="CON_KPI_RU_0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6.RU_YEAR, CON_KPI_RU_06.RU_MONTH,  CON_KPI_RU_06.MONTH_CHAR,CON_KPI_RU_06.PERIOD, CON_KPI_RU_06.GM_PERCENT FROM GLOBALCCC.CON_KPI_RU_06 CON_KPI_RU_06"/>
  </connection>
  <connection id="10" name="CON_KPI_RU_0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7.RU_YEAR, CON_KPI_RU_07.RU_MONTH,  CON_KPI_RU_07.MONTH_CHAR,CON_KPI_RU_07.PERIOD, CON_KPI_RU_07.GM_PERCENT, CON_KPI_RU_07.SALES, CON_KPI_RU_07.COST FROM GLOBALCCC.CON_KPI_RU_07 CON_KPI_RU_07"/>
  </connection>
  <connection id="11" name="CON_KPI_RU_0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8.RU_YEAR, CON_KPI_RU_08.RU_MONTH,  CON_KPI_RU_08.MONTH_CHAR,CON_KPI_RU_08.PERIOD, CON_KPI_RU_08.GM_PERCENT, CON_KPI_RU_08.SALES, CON_KPI_RU_08.COST FROM GLOBALCCC.CON_KPI_RU_08 CON_KPI_RU_08"/>
  </connection>
  <connection id="12" name="CON_KPI_RU_09"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09.RU_YEAR, CON_KPI_RU_09.SIC_CODE,  CON_KPI_RU_09.MONTH_CHAR,CON_KPI_RU_09.PERIOD, CON_KPI_RU_09.SALES, CON_KPI_RU_09.RU_MONTH FROM GLOBALCCC.CON_KPI_RU_09 CON_KPI_RU_09"/>
  </connection>
  <connection id="13" name="CON_KPI_RU_10"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0.RU_YEAR, CON_KPI_RU_10.SIC_CODE, CON_KPI_RU_10.SALES FROM GLOBALCCC.CON_KPI_RU_10 CON_KPI_RU_10"/>
  </connection>
  <connection id="14" name="CON_KPI_RU_1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1.RU_YEAR, CON_KPI_RU_11.SIC_CODE, CON_KPI_RU_11.SALES FROM GLOBALCCC.CON_KPI_RU_11 CON_KPI_RU_11"/>
  </connection>
  <connection id="15" name="CON_KPI_RU_1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2.CUSTOMER_NAME, CON_KPI_RU_12.SALES,CON_KPI_RU_12.RU_YEAR FROM GLOBALCCC.CON_KPI_RU_12 CON_KPI_RU_12"/>
  </connection>
  <connection id="16" name="CON_KPI_RU_1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3.SALESMAN, CON_KPI_RU_13.SALES, CON_KPI_RU_13.RU_YEAR FROM GLOBALCCC.CON_KPI_RU_13 CON_KPI_RU_13"/>
  </connection>
  <connection id="17" name="CON_KPI_RU_1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4.RU_YEAR, CON_KPI_RU_14.RU_MONTH, CON_KPI_RU_14.MONTH_CHAR,CON_KPI_RU_14.PERIOD, CON_KPI_RU_14.AVG_SALES_INV, CON_KPI_RU_14.AVG_SALES_UNIT FROM GLOBALCCC.CON_KPI_RU_14 CON_KPI_RU_14"/>
  </connection>
  <connection id="18" name="CON_KPI_RU_1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5.RU_YEAR, CON_KPI_RU_15.RU_MONTH,  CON_KPI_RU_15.MONTH_CHAR,CON_KPI_RU_15.PERIOD, CON_KPI_RU_15.AVG_SALES_INV, CON_KPI_RU_15.AVG_SALES_UNIT FROM GLOBALCCC.CON_KPI_RU_15 CON_KPI_RU_15"/>
  </connection>
  <connection id="19" name="CON_KPI_RU_1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6.RU_YEAR, CON_KPI_RU_16.RU_MONTH,  CON_KPI_RU_16.MONTH_CHAR,CON_KPI_RU_16.PERIOD, CON_KPI_RU_16.AVG_SALES_INV, CON_KPI_RU_16.AVG_SALES_UNIT FROM GLOBALCCC.CON_KPI_RU_16 CON_KPI_RU_16"/>
  </connection>
  <connection id="20" name="CON_KPI_RU_1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7.PRODUCT_LINE, CON_KPI_RU_17.SALES, CON_KPI_RU_17.RU_YEAR, CON_KPI_RU_17.GM_PERCENT FROM GLOBALCCC.CON_KPI_RU_17 CON_KPI_RU_17"/>
  </connection>
  <connection id="21" name="CON_KPI_RU_1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8.CATEGORY, CON_KPI_RU_18.BUDGET, CON_KPI_RU_18.BUDGET_BELOW, CON_KPI_RU_18.RU_YEAR FROM GLOBALCCC.CON_KPI_RU_18 CON_KPI_RU_18"/>
  </connection>
  <connection id="22" name="CON_KPI_RU_19"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19.CATEGORY, CON_KPI_RU_19.BUDGET, CON_KPI_RU_19.BUDGET_BELOW, CON_KPI_RU_19.RU_YEAR FROM GLOBALCCC.CON_KPI_RU_19 CON_KPI_RU_19"/>
  </connection>
  <connection id="23" name="CON_KPI_RU_20"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0.CATEGORY, CON_KPI_RU_20.BUDGET, CON_KPI_RU_20.BUDGET_BELOW, CON_KPI_RU_20.RU_YEAR FROM GLOBALCCC.CON_KPI_RU_20 CON_KPI_RU_20"/>
  </connection>
  <connection id="24" name="CON_KPI_RU_2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1.CATEGORY, CON_KPI_RU_21.BUDGET, CON_KPI_RU_21.BUDGET_BELOW, CON_KPI_RU_21.RU_YEAR FROM GLOBALCCC.CON_KPI_RU_21 CON_KPI_RU_21"/>
  </connection>
  <connection id="25" name="CON_KPI_RU_2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2.CUSTOMER_NAME, CON_KPI_RU_22.YEAR1, CON_KPI_RU_22.YEAR2, CON_KPI_RU_22.YEAR3, CON_KPI_RU_22.YEAR4, CON_KPI_RU_22.YEAR5, CON_KPI_RU_22.CUSTOMER FROM GLOBALCCC.CON_KPI_RU_22 CON_KPI_RU_22"/>
  </connection>
  <connection id="26" name="CON_KPI_RU_2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3.CUSTOMER_NAME, CON_KPI_RU_23.HIST, CON_KPI_RU_23.OPENA, CON_KPI_RU_23.GRAND_TOTAL, CON_KPI_RU_23.CUSTOMER, CON_KPI_RU_23.RU_YEAR FROM GLOBALCCC.CON_KPI_RU_23 CON_KPI_RU_23"/>
  </connection>
  <connection id="27" name="CON_KPI_RU_2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4.RU_YEAR, CON_KPI_RU_24.RU_MONTH, CON_KPI_RU_24.PERCENT_WON, CON_KPI_RU_24.PERCENT_LOSS, CON_KPI_RU_24.PERCENT_CLOSE, CON_KPI_RU_24.PERCENT_OPEN, CON_KPI_RU_24.CUSTOMER, CON_KPI_RU_24.CUSTOMER_NAME, CON_KPI_RU_24.MONTH_CHAR, CON_KPI_RU_24.PERIOD FROM GLOBALCCC.CON_KPI_RU_24 CON_KPI_RU_24"/>
  </connection>
  <connection id="28" name="CON_KPI_RU_2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5.CUSTOMER_NAME, CON_KPI_RU_25.RU_YEAR, CON_KPI_RU_25.RU_MONTH,  CON_KPI_RU_25.MONTH_CHAR,CON_KPI_RU_25.PERIOD, CON_KPI_RU_25.PERCENT_WON, CON_KPI_RU_25.PERCENT_LOSS, CON_KPI_RU_25.PERCENT_CLOSE, CON_KPI_RU_25.PERCENT_OPEN FROM GLOBALCCC.CON_KPI_RU_25 CON_KPI_RU_25"/>
  </connection>
  <connection id="29" name="CON_KPI_RU_2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6.CUSTOMER_NAME, CON_KPI_RU_26.RU_YEAR, CON_KPI_RU_26.RU_MONTH,  CON_KPI_RU_26.MONTH_CHAR,CON_KPI_RU_26.PERIOD, CON_KPI_RU_26.PERCENT_WON, CON_KPI_RU_26.PERCENT_LOSS, CON_KPI_RU_26.PERCENT_CLOSE, CON_KPI_RU_26.PERCENT_OPEN FROM GLOBALCCC.CON_KPI_RU_26 CON_KPI_RU_26"/>
  </connection>
  <connection id="30" name="CON_KPI_RU_2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7.RU_YEAR, CON_KPI_RU_27.RU_MONTH,  CON_KPI_RU_27.MONTH_CHAR,CON_KPI_RU_27.PERIOD, CON_KPI_RU_27.AVERAGE FROM GLOBALCCC.CON_KPI_RU_27 CON_KPI_RU_27"/>
  </connection>
  <connection id="31" name="CON_KPI_RU_2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8.RU_YEAR, CON_KPI_RU_28.RU_MONTH, CON_KPI_RU_28.MONTH_CHAR,CON_KPI_RU_28.PERIOD, CON_KPI_RU_28.AVERAGE FROM GLOBALCCC.CON_KPI_RU_28 CON_KPI_RU_28"/>
  </connection>
  <connection id="32" name="CON_KPI_RU_29"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29.RU_YEAR, CON_KPI_RU_29.RU_MONTH, CON_KPI_RU_29.MONTH_CHAR,CON_KPI_RU_29.PERIOD, CON_KPI_RU_29.AVERAGE FROM GLOBALCCC.CON_KPI_RU_29 CON_KPI_RU_29"/>
  </connection>
  <connection id="33" name="CON_KPI_RU_30"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0.RU_YEAR, CON_KPI_RU_30.RU_MONTH, CON_KPI_RU_30.MONTH_CHAR,CON_KPI_RU_30.PERIOD, CON_KPI_RU_30.AVERAGE FROM GLOBALCCC.CON_KPI_RU_30 CON_KPI_RU_30"/>
  </connection>
  <connection id="34" name="CON_KPI_RU_3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1.RU_YEAR, CON_KPI_RU_31.RU_MONTH, CON_KPI_RU_31.MONTH_CHAR,CON_KPI_RU_31.PERIOD, CON_KPI_RU_31.AVERAGE FROM GLOBALCCC.CON_KPI_RU_31 CON_KPI_RU_31"/>
  </connection>
  <connection id="35" name="CON_KPI_RU_3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2.RU_YEAR, CON_KPI_RU_32.RU_MONTH, CON_KPI_RU_32.MONTH_CHAR,CON_KPI_RU_32.PERIOD, CON_KPI_RU_32.AVERAGE FROM GLOBALCCC.CON_KPI_RU_32 CON_KPI_RU_32"/>
  </connection>
  <connection id="36" name="CON_KPI_RU_3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3.RU_YEAR, CON_KPI_RU_33.RU_MONTH, CON_KPI_RU_33.MONTH_CHAR,CON_KPI_RU_33.PERIOD, CON_KPI_RU_33.ACTUAL, CON_KPI_RU_33.ESTIMATE, CON_KPI_RU_33.PERCENTAGE FROM GLOBALCCC.CON_KPI_RU_33 CON_KPI_RU_33"/>
  </connection>
  <connection id="37" name="CON_KPI_RU_3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4.RU_YEAR, CON_KPI_RU_34.RU_MONTH, CON_KPI_RU_34.MONTH_CHAR,CON_KPI_RU_34.PERIOD, CON_KPI_RU_34.ACTUAL, CON_KPI_RU_34.ESTIMATE, CON_KPI_RU_34.PERCENTAGE FROM GLOBALCCC.CON_KPI_RU_34 CON_KPI_RU_34"/>
  </connection>
  <connection id="38" name="CON_KPI_RU_3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5.RU_YEAR, CON_KPI_RU_35.RU_MONTH, CON_KPI_RU_35.MONTH_CHAR,CON_KPI_RU_35.PERIOD, CON_KPI_RU_35.ACTUAL, CON_KPI_RU_35.ESTIMATE, CON_KPI_RU_35.PERCENTAGE FROM GLOBALCCC.CON_KPI_RU_35 CON_KPI_RU_35"/>
  </connection>
  <connection id="39" name="CON_KPI_RU_3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6.RU_YEAR, CON_KPI_RU_36.RU_MONTH, CON_KPI_RU_36.MONTH_CHAR,CON_KPI_RU_36.PERIOD, CON_KPI_RU_36.ACTUAL, CON_KPI_RU_36.ESTIMATE, CON_KPI_RU_36.PERCENTAGE FROM GLOBALCCC.CON_KPI_RU_36 CON_KPI_RU_36"/>
  </connection>
  <connection id="40" name="CON_KPI_RU_3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7.RU_YEAR, CON_KPI_RU_37.RU_MONTH, CON_KPI_RU_37.MONTH_CHAR,CON_KPI_RU_37.PERIOD, CON_KPI_RU_37.ACTUAL, CON_KPI_RU_37.ESTIMATE, CON_KPI_RU_37.PERCENTAGE FROM GLOBALCCC.CON_KPI_RU_37 CON_KPI_RU_37"/>
  </connection>
  <connection id="41" name="CON_KPI_RU_3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8.RU_YEAR, CON_KPI_RU_38.RU_MONTH, CON_KPI_RU_38.MONTH_CHAR,CON_KPI_RU_38.PERIOD,  CON_KPI_RU_38.COST FROM GLOBALCCC.CON_KPI_RU_38 CON_KPI_RU_38"/>
  </connection>
  <connection id="42" name="CON_KPI_RU_39"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39.RU_YEAR, CON_KPI_RU_39.RU_MONTH,  CON_KPI_RU_39.MONTH_CHAR,CON_KPI_RU_39.PERIOD, CON_KPI_RU_39.SALES, CON_KPI_RU_39.REWORK, CON_KPI_RU_39.RW_PERCENT_SALES FROM GLOBALCCC.CON_KPI_RU_39 CON_KPI_RU_39"/>
  </connection>
  <connection id="43" name="CON_KPI_RU_40"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0.RU_YEAR, CON_KPI_RU_40.RU_MONTH, CON_KPI_RU_40.MONTH_CHAR,CON_KPI_RU_40.PERIOD, CON_KPI_RU_40.SALES, CON_KPI_RU_40.REWORK, CON_KPI_RU_40.RW_PERCENT_SALES FROM GLOBALCCC.CON_KPI_RU_40 CON_KPI_RU_40"/>
  </connection>
  <connection id="44" name="CON_KPI_RU_4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1.RU_YEAR, CON_KPI_RU_41.RU_MONTH, CON_KPI_RU_41.MONTH_CHAR,CON_KPI_RU_41.PERIOD, CON_KPI_RU_41.SALES, CON_KPI_RU_41.REWORK, CON_KPI_RU_41.RW_PERCENT_SALES FROM GLOBALCCC.CON_KPI_RU_41 CON_KPI_RU_41"/>
  </connection>
  <connection id="45" name="CON_KPI_RU_4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2.RU_YEAR, CON_KPI_RU_42.RU_MONTH, CON_KPI_RU_42.MONTH_CHAR,CON_KPI_RU_42.PERIOD, CON_KPI_RU_42.CODE, CON_KPI_RU_42.COST, CON_KPI_RU_42.QUANTITY FROM GLOBALCCC.CON_KPI_RU_42 CON_KPI_RU_42"/>
  </connection>
  <connection id="46" name="CON_KPI_RU_4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3.RU_YEAR, CON_KPI_RU_43.RU_MONTH, CON_KPI_RU_43.MONTH_CHAR,CON_KPI_RU_43.PERIOD, CON_KPI_RU_43.CODE, CON_KPI_RU_43.COST, CON_KPI_RU_43.QUANTITY FROM GLOBALCCC.CON_KPI_RU_43 CON_KPI_RU_43"/>
  </connection>
  <connection id="47" name="CON_KPI_RU_4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4.RU_YEAR, CON_KPI_RU_44.RU_MONTH, CON_KPI_RU_44.MONTH_CHAR,CON_KPI_RU_44.PERIOD, CON_KPI_RU_44.CODE, CON_KPI_RU_44.COST, CON_KPI_RU_44.QUANTITY FROM GLOBALCCC.CON_KPI_RU_44 CON_KPI_RU_44"/>
  </connection>
  <connection id="48" name="CON_KPI_RU_4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5.RU_YEAR, CON_KPI_RU_45.RU_MONTH, CON_KPI_RU_45.MONTH_CHAR,CON_KPI_RU_45.PERIOD, CON_KPI_RU_45.DEPT, CON_KPI_RU_45.COST, CON_KPI_RU_45.QUANTITY FROM GLOBALCCC.CON_KPI_RU_45 CON_KPI_RU_45"/>
  </connection>
  <connection id="49" name="CON_KPI_RU_4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46.RU_YEAR, CON_KPI_RU_46.RU_MONTH, CON_KPI_RU_46.RMA_COUNT, CON_KPI_RU_46.MONTH_CHAR, CON_KPI_RU_46.PERIOD FROM GLOBALCCC.CON_KPI_RU_46 CON_KPI_RU_46"/>
  </connection>
  <connection id="50" name="CON_KPI_RU_5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56.WC, CON_KPI_RU_56.RU_YEAR, CON_KPI_RU_56.RU_MONTH, CON_KPI_RU_56.HOURS_WORKED, CON_KPI_RU_56.HOURS_AVAIL, CON_KPI_RU_56.WC_UTIL, CON_KPI_RU_56.MONTH_CHAR, CON_KPI_RU_56.PERIOD FROM GLOBALCCC.CON_KPI_RU_56 CON_KPI_RU_56"/>
  </connection>
  <connection id="51" name="CON_KPI_RU_5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57.WC, CON_KPI_RU_57.RU_YEAR, CON_KPI_RU_57.RU_MONTH, CON_KPI_RU_57.HOURS_WORKED, CON_KPI_RU_57.HOURS_AVAIL, CON_KPI_RU_57.WC_UTIL, CON_KPI_RU_57.MONTH_CHAR, CON_KPI_RU_57.PERIOD FROM GLOBALCCC.CON_KPI_RU_57 CON_KPI_RU_57"/>
  </connection>
  <connection id="52" name="CON_KPI_RU_5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58.WC, CON_KPI_RU_58.RU_YEAR, CON_KPI_RU_58.RU_MONTH, CON_KPI_RU_58.HOURS_WORKED, CON_KPI_RU_58.HOURS_AVAIL, CON_KPI_RU_58.WC_UTIL, CON_KPI_RU_58.MONTH_CHAR, CON_KPI_RU_58.PERIOD FROM GLOBALCCC.CON_KPI_RU_58 CON_KPI_RU_58"/>
  </connection>
  <connection id="53" name="CON_KPI_RU_59"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59.WC, CON_KPI_RU_59.RU_YEAR, CON_KPI_RU_59.RU_MONTH, CON_KPI_RU_59.UNITS_PRODUCED, CON_KPI_RU_59.UNITS_SCRAPPED, CON_KPI_RU_59.PERCENT_SCRAP, CON_KPI_RU_59.MONTH_CHAR, CON_KPI_RU_59.PERIOD FROM GLOBALCCC.CON_KPI_RU_59 CON_KPI_RU_59"/>
  </connection>
  <connection id="54" name="CON_KPI_RU_60"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0.WC, CON_KPI_RU_60.RU_YEAR, CON_KPI_RU_60.RU_MONTH, CON_KPI_RU_60.UNITS_PRODUCED, CON_KPI_RU_60.UNITS_SCRAPPED, CON_KPI_RU_60.PERCENT_SCRAP, CON_KPI_RU_60.MONTH_CHAR, CON_KPI_RU_60.PERIOD FROM GLOBALCCC.CON_KPI_RU_60 CON_KPI_RU_60"/>
  </connection>
  <connection id="55" name="CON_KPI_RU_6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1.WC, CON_KPI_RU_61.RU_YEAR, CON_KPI_RU_61.RU_MONTH, CON_KPI_RU_61.UNITS_PRODUCED, CON_KPI_RU_61.UNITS_SCRAPPED, CON_KPI_RU_61.PERCENT_SCRAP, CON_KPI_RU_61.MONTH_CHAR, CON_KPI_RU_61.PERIOD FROM GLOBALCCC.CON_KPI_RU_61 CON_KPI_RU_61"/>
  </connection>
  <connection id="56" name="CON_KPI_RU_6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2.WC, CON_KPI_RU_62.RU_YEAR, CON_KPI_RU_62.ONTIME, CON_KPI_RU_62.LATE, CON_KPI_RU_62.EARLY, CON_KPI_RU_62.PERCENT_ON_TIME, CON_KPI_RU_62.RU_MONTH, CON_KPI_RU_62.MONTH_CHAR, CON_KPI_RU_62.PERIOD FROM GLOBALCCC.CON_KPI_RU_62 CON_KPI_RU_62"/>
  </connection>
  <connection id="57" name="CON_KPI_RU_6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3.WC, CON_KPI_RU_63.RU_YEAR, CON_KPI_RU_63.ONTIME, CON_KPI_RU_63.LATE, CON_KPI_RU_63.EARLY, CON_KPI_RU_63.PERCENT_ON_TIME FROM GLOBALCCC.CON_KPI_RU_63 CON_KPI_RU_63"/>
  </connection>
  <connection id="58" name="CON_KPI_RU_6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4.WC, CON_KPI_RU_64.RU_YEAR, CON_KPI_RU_64.ONTIME, CON_KPI_RU_64.LATE, CON_KPI_RU_64.EARLY, CON_KPI_RU_64.PERCENT_ON_TIME FROM GLOBALCCC.CON_KPI_RU_64 CON_KPI_RU_64"/>
  </connection>
  <connection id="59" name="CON_KPI_RU_6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5.FISCAL, CON_KPI_RU_65.RU_YEAR, CON_KPI_RU_65.RU_MONTH, CON_KPI_RU_65.HOURS_EST, CON_KPI_RU_65.MONTH_CHAR, CON_KPI_RU_65.PERIOD FROM GLOBALCCC.CON_KPI_RU_65 CON_KPI_RU_65"/>
  </connection>
  <connection id="60" name="CON_KPI_RU_6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6.FISCAL, CON_KPI_RU_66.RU_YEAR, CON_KPI_RU_66.RU_MONTH, CON_KPI_RU_66.HOURS_ACT, CON_KPI_RU_66.MONTH_CHAR, CON_KPI_RU_66.PERIOD FROM GLOBALCCC.CON_KPI_RU_66 CON_KPI_RU_66"/>
  </connection>
  <connection id="61" name="CON_KPI_RU_6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7.FISCAL, CON_KPI_RU_67.RU_YEAR, CON_KPI_RU_67.RU_MONTH, CON_KPI_RU_67.HOURS_EST, CON_KPI_RU_67.HOURS_ACT, CON_KPI_RU_67.MONTH_CHAR, CON_KPI_RU_67.PERIOD, CON_KPI_RU_67.PERCENT_OF FROM GLOBALCCC.CON_KPI_RU_67 CON_KPI_RU_67"/>
  </connection>
  <connection id="62" name="CON_KPI_RU_6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8.FISCAL, CON_KPI_RU_68.RU_YEAR, CON_KPI_RU_68.RU_MONTH, CON_KPI_RU_68.HOURS_EST, CON_KPI_RU_68.HOURS_ACT, CON_KPI_RU_68.MONTH_CHAR, CON_KPI_RU_68.PERIOD, CON_KPI_RU_68.PERCENT_OF FROM GLOBALCCC.CON_KPI_RU_68 CON_KPI_RU_68"/>
  </connection>
  <connection id="63" name="CON_KPI_RU_69"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69.FISCAL, CON_KPI_RU_69.RU_YEAR, CON_KPI_RU_69.RU_MONTH, CON_KPI_RU_69.HOURS_EST, CON_KPI_RU_69.HOURS_ACT, CON_KPI_RU_69.PERIOD, CON_KPI_RU_69.MONTH_CHAR, CON_KPI_RU_69.PERCENT_OF FROM GLOBALCCC.CON_KPI_RU_69 CON_KPI_RU_69"/>
  </connection>
  <connection id="64" name="CON_KPI_RU_70"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0.FISCAL, CON_KPI_RU_70.RU_YEAR, CON_KPI_RU_70.RU_MONTH, CON_KPI_RU_70.MONTH_CHAR, CON_KPI_RU_70.PERIOD, CON_KPI_RU_70.AVG_COST FROM GLOBALCCC.CON_KPI_RU_70 CON_KPI_RU_70"/>
  </connection>
  <connection id="65" name="CON_KPI_RU_71"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1.FISCAL, CON_KPI_RU_71.RU_YEAR, CON_KPI_RU_71.RU_MONTH, CON_KPI_RU_71.MONTH_CHAR, CON_KPI_RU_71.PERIOD, CON_KPI_RU_71.AVG_COST FROM GLOBALCCC.CON_KPI_RU_71 CON_KPI_RU_71"/>
  </connection>
  <connection id="66" name="CON_KPI_RU_72"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2.FISCAL, CON_KPI_RU_72.RU_YEAR, CON_KPI_RU_72.RU_MONTH, CON_KPI_RU_72.MONTH_CHAR, CON_KPI_RU_72.PERIOD, CON_KPI_RU_72.AVG_COST FROM GLOBALCCC.CON_KPI_RU_72 CON_KPI_RU_72"/>
  </connection>
  <connection id="67" name="CON_KPI_RU_73"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3.RU_YEAR, CON_KPI_RU_73.RU_MONTH, CON_KPI_RU_73.TOTAL, CON_KPI_RU_73.MONTH_CHAR, CON_KPI_RU_73.PERIOD FROM GLOBALCCC.CON_KPI_RU_73 CON_KPI_RU_73"/>
  </connection>
  <connection id="68" name="CON_KPI_RU_74"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4.RU_YEAR, CON_KPI_RU_74.RU_MONTH, CON_KPI_RU_74.TOTAL, CON_KPI_RU_74.MONTH_CHAR, CON_KPI_RU_74.PERIOD FROM GLOBALCCC.CON_KPI_RU_74 CON_KPI_RU_74"/>
  </connection>
  <connection id="69" name="CON_KPI_RU_75"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5.RU_YEAR, CON_KPI_RU_75.RU_MONTH, CON_KPI_RU_75.TOTAL, CON_KPI_RU_75.MONTH_CHAR, CON_KPI_RU_75.PERIOD FROM GLOBALCCC.CON_KPI_RU_75 CON_KPI_RU_75"/>
  </connection>
  <connection id="70" name="CON_KPI_RU_76"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6.CURRENT_A, CON_KPI_RU_76.DAYS_30, CON_KPI_RU_76.DAYS_60, CON_KPI_RU_76.DAYS_90, CON_KPI_RU_76.TOTAL FROM GLOBALCCC.CON_KPI_RU_76 CON_KPI_RU_76"/>
  </connection>
  <connection id="71" name="CON_KPI_RU_77"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7.VENDOR, CON_KPI_RU_77.NAME_VENDOR_PAY, CON_KPI_RU_77.AMT_YTD_PUR FROM GLOBALCCC.CON_KPI_RU_77 CON_KPI_RU_77"/>
  </connection>
  <connection id="72" name="CON_KPI_RU_78" type="1" refreshedVersion="5" savePassword="1" background="1" saveData="1">
    <dbPr connection="DSN=GLOBAL_CCC;ServerName=localhost.1583;UID=Master;PWD=master;ArrayFetchOn=1;ArrayBufferSize=8;TransportHint=TCP;DBQ=GLOBALCCC;ClientVersion=11.31.060.000;CodePageConvert=1252;PvClientEncoding=CP1252;PvServerEncoding=CP1252;AutoDoubleQuote=0;" command="SELECT CON_KPI_RU_78.CURRENT_A, CON_KPI_RU_78.DAYS_30, CON_KPI_RU_78.DAYS_60, CON_KPI_RU_78.DAYS_90, CON_KPI_RU_78.TOTAL FROM GLOBALCCC.CON_KPI_RU_78 CON_KPI_RU_78"/>
  </connection>
</connections>
</file>

<file path=xl/sharedStrings.xml><?xml version="1.0" encoding="utf-8"?>
<sst xmlns="http://schemas.openxmlformats.org/spreadsheetml/2006/main" count="4635" uniqueCount="1373">
  <si>
    <t>Sales</t>
  </si>
  <si>
    <t>Month</t>
  </si>
  <si>
    <t>Year</t>
  </si>
  <si>
    <t>Target</t>
  </si>
  <si>
    <t>Dec</t>
  </si>
  <si>
    <t>Apr</t>
  </si>
  <si>
    <t>Oct</t>
  </si>
  <si>
    <t>Aug</t>
  </si>
  <si>
    <t>Feb</t>
  </si>
  <si>
    <t>Nov</t>
  </si>
  <si>
    <t>Mar</t>
  </si>
  <si>
    <t>May</t>
  </si>
  <si>
    <t>Jan</t>
  </si>
  <si>
    <t>Jun</t>
  </si>
  <si>
    <t>Jul</t>
  </si>
  <si>
    <t>Sep</t>
  </si>
  <si>
    <t>Row Labels</t>
  </si>
  <si>
    <t>Grand Total</t>
  </si>
  <si>
    <t>Column Labels</t>
  </si>
  <si>
    <t>(All)</t>
  </si>
  <si>
    <t xml:space="preserve">Generate Sales Greater Than or Equal to Profit Plan </t>
  </si>
  <si>
    <t>DuPont Model</t>
  </si>
  <si>
    <t>Description</t>
  </si>
  <si>
    <t>Calculation</t>
  </si>
  <si>
    <t>Unit</t>
  </si>
  <si>
    <t>3531 Industry Ratios</t>
  </si>
  <si>
    <t>DSI</t>
  </si>
  <si>
    <t>Days Sales in Inventory</t>
  </si>
  <si>
    <t>Indicates how quickly a firm sells its inventory. A lower DSI is an indicative of better performance, but too low of a number could indicate stock-outs or shortages.  The company should strive for the lowest DSI without risking stock shortages, loss of sales or loss or customers.</t>
  </si>
  <si>
    <t>=</t>
  </si>
  <si>
    <t>Average Inventory  (Material COGS/365)</t>
  </si>
  <si>
    <t>days</t>
  </si>
  <si>
    <t>The Company, on average, takes _____ days to sell its inventory.</t>
  </si>
  <si>
    <t xml:space="preserve">DSO </t>
  </si>
  <si>
    <t>Days Sales Outstanding</t>
  </si>
  <si>
    <t xml:space="preserve">Indicates how quickly a firm collets cash from their credit customers. A lower DSO is a good indicator that the company is collecting money from its customers more quickly. Higher DSO's mean that customers are taking longer to pay. </t>
  </si>
  <si>
    <t>Average Accounts Receivable / (Annual Net Sales/365)</t>
  </si>
  <si>
    <t>The Company, on average, has ____ days between the day a customer is billed for a purchase and the day the firm receives payment for that purchase.</t>
  </si>
  <si>
    <t>DPO</t>
  </si>
  <si>
    <t>Days Payables Outstanding</t>
  </si>
  <si>
    <t xml:space="preserve">Indicates how quickly a firm pays its suppliers. A high DPO means the company is taking longer to pay off it debts, and a low DSO shows the company is paying of its creditors quicker.  A business should use all the time offered by sellers before paying the amount due. </t>
  </si>
  <si>
    <t>Average Accounts Payable / (Total COGS/365)</t>
  </si>
  <si>
    <t>The Company, on average, takes ____ days to pay a vendor from whom it purchased a good or service from.</t>
  </si>
  <si>
    <t>CC</t>
  </si>
  <si>
    <t>Cash Cycle</t>
  </si>
  <si>
    <t xml:space="preserve">Indicates the time period between the firm's payment for raw materials and the collection of payment from customers. A positive cash cycle shows the company has postive net working capital. Inventory and Accounts Receivable amounts are greater than the Accounts Payable amount. The shorter the cash cycle, the smaller the need for debt or equity financing. </t>
  </si>
  <si>
    <t xml:space="preserve">DSI + DSO - DPO </t>
  </si>
  <si>
    <t>The Company, on average, has a time lag of _____ days between the time cash is paid out to suppliers and cash is received by its customers.</t>
  </si>
  <si>
    <t>TAT</t>
  </si>
  <si>
    <t>Total Asset Turnover</t>
  </si>
  <si>
    <t>Indicates how efficiently a firm leverages all of its assets (fixed &amp; current) to generate sales.</t>
  </si>
  <si>
    <t>Sales / Net Total Assets</t>
  </si>
  <si>
    <t>The Company, on average, earns _____ $ in sales for every $1 in assets the company owns.</t>
  </si>
  <si>
    <t>CR</t>
  </si>
  <si>
    <t>Current Ratio</t>
  </si>
  <si>
    <t>Measures a firm's ability to generate sufficient cash to meet short term obligations. In general, a ratio over 1.0 is good.  It indicates a firm can meet its short-term obligations.  A lower ratio indicates a firm may not have sufficient cash to pay its short term liabilities as they come due.  Too high of a ratio could indicate slow payment on AR and inflated inventories.</t>
  </si>
  <si>
    <t>Current Assets / Current Liabilities</t>
  </si>
  <si>
    <t>times</t>
  </si>
  <si>
    <t>The Company, on average, can cover its current liabilities _____ times using its current assets.</t>
  </si>
  <si>
    <t>FL</t>
  </si>
  <si>
    <t>Financial Leverage</t>
  </si>
  <si>
    <t>Measures the degree to which a business is utilizing borrowed money. A higher number indicates a company at risk - may be unable to make their debt payments or find new lenders.</t>
  </si>
  <si>
    <t>Total Assets / Shareholders Equity</t>
  </si>
  <si>
    <t>ROA</t>
  </si>
  <si>
    <t>Return on Assets</t>
  </si>
  <si>
    <t xml:space="preserve">Calculates the amount of net income that is generated by all the assets that a company employs. The higher the net income generated, the higher the return for every dollar of assets.   Helps managers and investors determine if the assets are yielding the "required" or "projected" return. </t>
  </si>
  <si>
    <t>Net Income / Total Assets</t>
  </si>
  <si>
    <t>The Company generated ______ in net income for every total asset invested in the company.</t>
  </si>
  <si>
    <t>ROE</t>
  </si>
  <si>
    <t>Return on Equity</t>
  </si>
  <si>
    <t>Calculates the amount of net income that is generated by the total equity invested in the company by shareholders.</t>
  </si>
  <si>
    <t>Net Income  / Book Equity</t>
  </si>
  <si>
    <t>The Company generated ______ in net income for every dollar that the shareholders invested in the company.</t>
  </si>
  <si>
    <t>Return on Investment</t>
  </si>
  <si>
    <t>Measures the ratio of money gained or lost (realized and unrealized) on a investment relative to the amount of money invested. If an investment does not have a positive ROI, or if there are opportunities that can earn higher ROI's - then the investment should either not be undertaken or should be exchanged for the higher investment opportunity.</t>
  </si>
  <si>
    <t>Return on Total Assets x Financial Leverage</t>
  </si>
  <si>
    <t>The Company shareholders earned a ______% return on their investment in The Company.</t>
  </si>
  <si>
    <t>Company A</t>
  </si>
  <si>
    <t>Example Corporate Strategy -  5 yr Corporate Strategy - Increase Sales 50%, Increase GM% 5%, Increase EBITDA 10%</t>
  </si>
  <si>
    <t xml:space="preserve">Total </t>
  </si>
  <si>
    <t>Weighting</t>
  </si>
  <si>
    <t>Generate Sales Greater than or equal to Budget</t>
  </si>
  <si>
    <t>Increase Sales in Specific Industries</t>
  </si>
  <si>
    <t>Increase EBITDA - Reduce Unapplied Overhead</t>
  </si>
  <si>
    <t>Improve Quote/Win/Loss Ratios</t>
  </si>
  <si>
    <t>Reduce Quote to Actual Variances</t>
  </si>
  <si>
    <t>Improve On-Time Delivery</t>
  </si>
  <si>
    <t>Improve Quality - Reduce Total Rework Costs</t>
  </si>
  <si>
    <t>Reduce number of RMA's</t>
  </si>
  <si>
    <t>Review and Improve Work Center Utilization</t>
  </si>
  <si>
    <t>Increase Actual Production Time vs Available Production Time</t>
  </si>
  <si>
    <t>Eliminate late costs/inventory adjustments/variances</t>
  </si>
  <si>
    <t>EBITDA</t>
  </si>
  <si>
    <t>Sales/Profitability</t>
  </si>
  <si>
    <t>Division</t>
  </si>
  <si>
    <t>Profitability</t>
  </si>
  <si>
    <t>GM</t>
  </si>
  <si>
    <t>Operations</t>
  </si>
  <si>
    <t>Customer</t>
  </si>
  <si>
    <t>Average Turn Around Days</t>
  </si>
  <si>
    <t>C</t>
  </si>
  <si>
    <t/>
  </si>
  <si>
    <t>Increased Sales &amp; EBITDA, Larger Market Share, Increased Industry Base (protection from declines in specific Industries)</t>
  </si>
  <si>
    <t xml:space="preserve">Generate Gross Margin Percentages Greater Than or Equal to Profit Plan </t>
  </si>
  <si>
    <t>A higher the Gross Margin = more dollars avaialable to pay S, G &amp; A overhead expenses.  Increase GM % and $'s through improved internal processes, LEAN processes, smart purchasing and increased employee efficiencies.</t>
  </si>
  <si>
    <t>Increased EBITDA = Increased Shareholder Value, Incentive Payments, Capital for Future Growth</t>
  </si>
  <si>
    <t>Improve Quote Turn Around Time</t>
  </si>
  <si>
    <t xml:space="preserve">Improves Customer Service.  Increases Quote Win potential. </t>
  </si>
  <si>
    <t>Improve Quote Win/Loss Ratio</t>
  </si>
  <si>
    <t>Improves Customer Service. Increased wins = Increased Sales = Increased EBITDA</t>
  </si>
  <si>
    <t>Performance Measure:</t>
  </si>
  <si>
    <t>Actual Sales vs Planned Sales</t>
  </si>
  <si>
    <t>Target Measure:</t>
  </si>
  <si>
    <t>% of Target met:</t>
  </si>
  <si>
    <t>Ownership:</t>
  </si>
  <si>
    <t>Sales Department</t>
  </si>
  <si>
    <t>Actual GM % vs Planned Gm %</t>
  </si>
  <si>
    <t>Sales &amp; Production Department</t>
  </si>
  <si>
    <t>EBITDA/Sales = EBITDA Contribution</t>
  </si>
  <si>
    <t>Management and each Department</t>
  </si>
  <si>
    <t>Reduces Manufacturing Costs = Improves Profitabily per Job = Increases EBITDA</t>
  </si>
  <si>
    <t>S1</t>
  </si>
  <si>
    <t>S2</t>
  </si>
  <si>
    <t>S3</t>
  </si>
  <si>
    <t>S4</t>
  </si>
  <si>
    <t>Q1</t>
  </si>
  <si>
    <t>Q2</t>
  </si>
  <si>
    <t>Q3</t>
  </si>
  <si>
    <t># of RMA's</t>
  </si>
  <si>
    <t>Reduce/Eliminate Late Cost and Simple Inventory Adjustment</t>
  </si>
  <si>
    <t>Improve Accuracy of Customer Profitability Reports, improve inventory processes, Increase overall profitability</t>
  </si>
  <si>
    <t>I1</t>
  </si>
  <si>
    <t>Reduce # of RMA's</t>
  </si>
  <si>
    <t>L2</t>
  </si>
  <si>
    <t>Increase Chargeable Hours Percentage</t>
  </si>
  <si>
    <t>L3</t>
  </si>
  <si>
    <t>WC</t>
  </si>
  <si>
    <t>L4</t>
  </si>
  <si>
    <t>Inventory</t>
  </si>
  <si>
    <t>Simple Inventory</t>
  </si>
  <si>
    <t>Late Costs</t>
  </si>
  <si>
    <t>Executive Summary</t>
  </si>
  <si>
    <t>Dupont Model &amp; Plug-Play</t>
  </si>
  <si>
    <t>Ratio Summary</t>
  </si>
  <si>
    <t>Financial</t>
  </si>
  <si>
    <t>Finance</t>
  </si>
  <si>
    <t>MACH</t>
  </si>
  <si>
    <t>P1</t>
  </si>
  <si>
    <t>Objective:</t>
  </si>
  <si>
    <t>Benefit:</t>
  </si>
  <si>
    <t>Current Measure:</t>
  </si>
  <si>
    <t>% of Target:</t>
  </si>
  <si>
    <t>Objective</t>
  </si>
  <si>
    <t>Benefit</t>
  </si>
  <si>
    <t>Performance Measure</t>
  </si>
  <si>
    <t>Current Measure</t>
  </si>
  <si>
    <t>Target Measure</t>
  </si>
  <si>
    <t>Ownership</t>
  </si>
  <si>
    <t>Review and improve Work Center utilization percentages</t>
  </si>
  <si>
    <t>Increase Work Center Efficiencies = Reduced Manufacturing GM% &amp; Revenues = Increased EBITDA</t>
  </si>
  <si>
    <t>P2</t>
  </si>
  <si>
    <t>P3</t>
  </si>
  <si>
    <t>Improved Customer Service = Increased Sales, Reduced Manufacturing GM% = Increased EBITDA</t>
  </si>
  <si>
    <t>Improved Custmer Service = Increased Sales, Reduced Manufacturing GM % = Increased EBITDA</t>
  </si>
  <si>
    <t>Improves Customer Service = Increased Sales = Increased EBITDA</t>
  </si>
  <si>
    <t># of Jobs On-Time</t>
  </si>
  <si>
    <t>Esitmators/Production Department</t>
  </si>
  <si>
    <t>Estimators/Production Department</t>
  </si>
  <si>
    <t>Production/Quality Control Departments</t>
  </si>
  <si>
    <t>Production Department</t>
  </si>
  <si>
    <t>$ of Simple Inventory and Late Costs</t>
  </si>
  <si>
    <t>% of W/L/C</t>
  </si>
  <si>
    <t>Variance of Actual vs Estimate Job Costs</t>
  </si>
  <si>
    <t>Work Center Utilization %</t>
  </si>
  <si>
    <t>Vendor A</t>
  </si>
  <si>
    <t>Vendor B</t>
  </si>
  <si>
    <t>Vendor C</t>
  </si>
  <si>
    <t>Vendor D</t>
  </si>
  <si>
    <t>Vendor E</t>
  </si>
  <si>
    <t>Vendor F</t>
  </si>
  <si>
    <t>Vendor G</t>
  </si>
  <si>
    <t>Sum of % o Rejects</t>
  </si>
  <si>
    <t>SIC Code</t>
  </si>
  <si>
    <t>Industry</t>
  </si>
  <si>
    <t>Mobile Homes</t>
  </si>
  <si>
    <t>Pulp Mills</t>
  </si>
  <si>
    <t>Paper Mills</t>
  </si>
  <si>
    <t>Paperboard Mills</t>
  </si>
  <si>
    <t>Pharmaceutical Preparations</t>
  </si>
  <si>
    <t>Petroleum Refining</t>
  </si>
  <si>
    <t>Plastics Foam Products</t>
  </si>
  <si>
    <t>Flat Glass</t>
  </si>
  <si>
    <t>Glass Containers</t>
  </si>
  <si>
    <t>Glass Products, Made of Purchased Glass</t>
  </si>
  <si>
    <t>Cement, Hydraulic</t>
  </si>
  <si>
    <t>Metal Cans</t>
  </si>
  <si>
    <t>Fabricated Plate Work (Boiler Shops)</t>
  </si>
  <si>
    <t>Sheet Metal Work</t>
  </si>
  <si>
    <t>Screw Machine Products</t>
  </si>
  <si>
    <t>Machine Tools, Metal Cutting Types</t>
  </si>
  <si>
    <t>Electronic Computers</t>
  </si>
  <si>
    <t>Computer Storage Devices</t>
  </si>
  <si>
    <t>Computer Terminals</t>
  </si>
  <si>
    <t>Printed Circuit Boards</t>
  </si>
  <si>
    <t>Electronic Connectors</t>
  </si>
  <si>
    <t>Truck Trailers</t>
  </si>
  <si>
    <t>Motor Homes</t>
  </si>
  <si>
    <t>Aircraft</t>
  </si>
  <si>
    <t>Railroad Equipment</t>
  </si>
  <si>
    <t>Laboratory Analytical Instruments</t>
  </si>
  <si>
    <t>Ophthalmic Goods</t>
  </si>
  <si>
    <t>Jewelry, Precious Metal</t>
  </si>
  <si>
    <t>Musical Instruments</t>
  </si>
  <si>
    <t xml:space="preserve">Target </t>
  </si>
  <si>
    <t>% of Estimate</t>
  </si>
  <si>
    <t>Improved Customer Service = Increased Sales, Reduced Manufacturing GM % = Increased EBITDA</t>
  </si>
  <si>
    <t>Improved Customer Service, reduced total production time, reduced total costs per unit, Reduced Manufacturing GM% = Increased EBITDA</t>
  </si>
  <si>
    <t>Increases profitabiliy through reduced labor cost, reduced rework costs and reduced overall producion cycle times</t>
  </si>
  <si>
    <t>ID</t>
  </si>
  <si>
    <t>CATEGORY</t>
  </si>
  <si>
    <t>SALESMAN</t>
  </si>
  <si>
    <t>SALES</t>
  </si>
  <si>
    <t>COST</t>
  </si>
  <si>
    <t>GM_PERCENT</t>
  </si>
  <si>
    <t>MONTH</t>
  </si>
  <si>
    <t>YEAR</t>
  </si>
  <si>
    <t>Sum of SALES</t>
  </si>
  <si>
    <t xml:space="preserve">OH </t>
  </si>
  <si>
    <t xml:space="preserve">EBITDA </t>
  </si>
  <si>
    <t>QUANTITY</t>
  </si>
  <si>
    <t>CUSTOMER</t>
  </si>
  <si>
    <t>VENDOR</t>
  </si>
  <si>
    <t>JOB</t>
  </si>
  <si>
    <t>SUFFIX</t>
  </si>
  <si>
    <t>SEQUENCE</t>
  </si>
  <si>
    <t>DESCRIPTION</t>
  </si>
  <si>
    <t>Q4</t>
  </si>
  <si>
    <t>Improve Quality = Reduce rework costs</t>
  </si>
  <si>
    <t>Aids in identifying how successful the Company is at delivering the competed product based on customer specifications without any correct action or rework</t>
  </si>
  <si>
    <t xml:space="preserve">Month </t>
  </si>
  <si>
    <t>Month2</t>
  </si>
  <si>
    <t>Column1</t>
  </si>
  <si>
    <t>BUDGET</t>
  </si>
  <si>
    <t>(blank)</t>
  </si>
  <si>
    <t>NAME_VENDOR_PAY</t>
  </si>
  <si>
    <t>AMT_YTD_PUR</t>
  </si>
  <si>
    <t>Other Current Assets</t>
  </si>
  <si>
    <t>Total Current Assets</t>
  </si>
  <si>
    <t>Fixed Assets</t>
  </si>
  <si>
    <t>Total Assets</t>
  </si>
  <si>
    <t>Accounts Payable</t>
  </si>
  <si>
    <t>Other Current Liabilities</t>
  </si>
  <si>
    <t>TAXES</t>
  </si>
  <si>
    <t>DSO</t>
  </si>
  <si>
    <t>Sell Price</t>
  </si>
  <si>
    <t>The price a customer pays for a product or service</t>
  </si>
  <si>
    <t>Mark up Percentage</t>
  </si>
  <si>
    <t>The percentage amount applied to the cost of a product (COGS) that will calculate a sell price that covers the additional expenses as well as a profit percentage.  This is not equal to Gross Margin Percentage</t>
  </si>
  <si>
    <t xml:space="preserve">Cost of Good Sold  </t>
  </si>
  <si>
    <t>The sum of 'direct costs' and portion of 'overhead' costs used during the manufacturing process  (see 'AOH' below)</t>
  </si>
  <si>
    <t xml:space="preserve">Direct Manufacturing Costs </t>
  </si>
  <si>
    <t>Materials, labour, machines consumables</t>
  </si>
  <si>
    <t>Indirect Manufacturing Costs                    (Manufacturing Income Statement)</t>
  </si>
  <si>
    <t>Manufacturing support costs – General Shop supplies, utilities, rent, unapplied shop labour, equipment repairs, etc. These costs are identified and included as a cost of manufacturing in the Manufacturing Income statement</t>
  </si>
  <si>
    <t>Overhead                                                       (Regular Income Statement)</t>
  </si>
  <si>
    <t>The operating costs of running a business – include office salaries, general and administrative expenses, rent, utilities, shop supplies, repairs, etc.  Note: on a regular income statement the Overhead Costs include both Indirect manufacturing costs and Selling , General &amp; Administrative costs (see below)</t>
  </si>
  <si>
    <t>Unattended Overhead</t>
  </si>
  <si>
    <t>The operating costs of running a business as described above LESS the employee benefits.  Occurs when an employee is logged into multiple machines at once.  The direct labour costs are shared between all the work center logging into.  Employee benefit costs are included in the work center costs - except in this instance where those costs are removed from the overhead calculations</t>
  </si>
  <si>
    <t>Manufacturing Income Statement</t>
  </si>
  <si>
    <t xml:space="preserve">The purpose of this statement is to help the reader understand the total costs that are incurred during the manufacturing process.  The sum of the 'direct and indirect' manufacturing costs represent the total manufacturing costs.   Sales less total manufacturing costs = Manufacturing Gross Margin Dollars (MGM). The MGM dollars are then used to pay the S, G &amp; A expenses.  If the MGM Dollars are not high enough to pay the S, G &amp; A and a reasonable EBITDA amount then either the costs of manufacturing the product are too high or the sales price of the product is too low.  Either scenario requires additional management focus. </t>
  </si>
  <si>
    <t>Regular Income Statement</t>
  </si>
  <si>
    <t xml:space="preserve">The purpose of this statement is to show the reader the company's financial results (made or lost money) during the month/year.  </t>
  </si>
  <si>
    <t xml:space="preserve">The difference between this statement and the MFIS is this format shows all the indirect manufacturing costs below the Gross Margin line, and are referred to as Overhead Costs.  A portion of the overhead costs are applied (see Applied Overhead below) to the COGS section, the total unapplied overhead costs (see below) are then deducted from sales to determine the EBITDA number. </t>
  </si>
  <si>
    <t xml:space="preserve">    The expenses are separated into: </t>
  </si>
  <si>
    <t xml:space="preserve">    1. Cost of Goods Sold (material, production labour charged to jobs (PLC), applied OH)</t>
  </si>
  <si>
    <t xml:space="preserve">    2. Unapplied Overhead Costs</t>
  </si>
  <si>
    <t xml:space="preserve">Gross Margin Dollars </t>
  </si>
  <si>
    <t>The difference between the Sell Price and the Cost of Goods Sold</t>
  </si>
  <si>
    <t>(Regular Income Statement)</t>
  </si>
  <si>
    <t xml:space="preserve">     Sell Price – Cost of Goods Sold (COGS) = Gross Margin Dollars</t>
  </si>
  <si>
    <t xml:space="preserve">     Ex.  $100 (Sell Price) – $60 (COGS) = $40 Gross Margin Dollars</t>
  </si>
  <si>
    <t>An inventory balancing method.  Global Shop makes a journal entry at the month end balancing the inventory dollar account to the inventory list total.  For example: Finished Goods Inventory account shows $100 and the Finished Goods Inventory List shows a total of $80 dollars then Global Shop makes a journal entry to increase the Finished Goods dollar account $20 and posts the other side of the entry to the COGS-Material account.  Now Finished Goods Dollar account and Inventory List both show $100.</t>
  </si>
  <si>
    <t>Gross Margin %                                             (Regular Income Statement)</t>
  </si>
  <si>
    <t>The calculated percentage of Sell Price that is left over to pay additional overhead expenses</t>
  </si>
  <si>
    <t xml:space="preserve">     Gross Margin Dollars divided by Sell Price</t>
  </si>
  <si>
    <t xml:space="preserve">     Ex.   $40 (GM$) divided by $100 (Sell Price) = 40% Gross Margin Percentage</t>
  </si>
  <si>
    <t xml:space="preserve">     40 cents of every dollars sold will be left over to pay the rest of the balance of the expenses</t>
  </si>
  <si>
    <t>Manufacturing Gross Margin    (Manufacturing Income Statement)</t>
  </si>
  <si>
    <t xml:space="preserve">The difference between the Sell Price and the total manufacturing costs (direct &amp; indirect)  </t>
  </si>
  <si>
    <t xml:space="preserve">     Sell Price – Total Manufacturing Costs = Manufacturing Gross Margin</t>
  </si>
  <si>
    <t xml:space="preserve">     ex. $100 (Sell Price) – $75 (COGS) = $25 Manufacturing Gross Margin</t>
  </si>
  <si>
    <t>Manufacturing Gross Margin Percentage</t>
  </si>
  <si>
    <t>(Manufacturing Income Statement)</t>
  </si>
  <si>
    <t xml:space="preserve">     Manufacturing Gross Margin Dollars divided by Sell Price</t>
  </si>
  <si>
    <t xml:space="preserve">     Ex.   $25 (MGM$) divided by $100 (Sell Price) = 25% Gross Margin Percentage</t>
  </si>
  <si>
    <t xml:space="preserve">     25 cents of every dollars sold will be left over to pay S, G &amp; A expenses</t>
  </si>
  <si>
    <t>SG&amp;A</t>
  </si>
  <si>
    <t>Selling and General Administrative expenses are expenses of running the business that can not be directly allocated to the manufacturing process</t>
  </si>
  <si>
    <t>Earnings before interest, taxes, depreciation and amortization.  Also expensed below EBITDA are various corporate office expenses (may vary by company)</t>
  </si>
  <si>
    <t>Production Labour Charged to Jobs    (Direct Labour)</t>
  </si>
  <si>
    <t>Labour costs charged directly to work orders during the month. This expense is recorded to COGS</t>
  </si>
  <si>
    <t>Prod. Labour not Charged to Jobs   (Indirect Labour)</t>
  </si>
  <si>
    <t>Labour costs paid to shop employees but not charged to work orders during the month. This expense is recorded to S, G &amp; A</t>
  </si>
  <si>
    <t xml:space="preserve">     Ex. Bob worked 8 hours</t>
  </si>
  <si>
    <t xml:space="preserve">     5 hours of Bob's time was charged to a WO's = PLC to Job</t>
  </si>
  <si>
    <t xml:space="preserve">     3 hours of Bob's time was not charged to WO's = PLNC to Job</t>
  </si>
  <si>
    <t>Indicates how quickly a firm sells its inventory</t>
  </si>
  <si>
    <t>(Inventory / Average Sales per Day)</t>
  </si>
  <si>
    <t>Indicates how quickly a firm collects cash from their credit customers</t>
  </si>
  <si>
    <t>(Accounts Receivable/ Average Credit Sales per Day)</t>
  </si>
  <si>
    <t>Indicates how quickly a firm pays its suppliers</t>
  </si>
  <si>
    <t>( Accounts Payable / Average Cost of Goods Sold per Day)</t>
  </si>
  <si>
    <t>Indicates the time period between the firms payment for raw materials and the collection of payment from its customers</t>
  </si>
  <si>
    <t>Inventory Turn rate</t>
  </si>
  <si>
    <t>Measure how many times a firms inventory is used or "turned over" during a year</t>
  </si>
  <si>
    <t>(Annual Sales / Average Inventory)</t>
  </si>
  <si>
    <t>Applied OH                                             (Overhead Charged to Jobs)</t>
  </si>
  <si>
    <t xml:space="preserve">Overhead dollars that have been allocated to work orders based on a calculation of total overhead costs per work center times labour hours.  </t>
  </si>
  <si>
    <t xml:space="preserve">     Ex. Work Center Overhead Rate = $12</t>
  </si>
  <si>
    <t xml:space="preserve">     Total labour hours charged to work a work center = 1.5 hr</t>
  </si>
  <si>
    <t xml:space="preserve">     Overhead dollars applied to work order = $12 x 1.5 hr = $18</t>
  </si>
  <si>
    <t>Since a potion of overhead costs are allocated to work orders, and therefore included in cost of goods, the total overhead dollars are reduced by the Applied OH amount.  This is done to ensure those dollars  have not been recorded to the Income Statement twice.</t>
  </si>
  <si>
    <t>Unapplied OH                                             (Overhead Not Charged to Jobs)</t>
  </si>
  <si>
    <t>Total operating costs of running a business (OH) less Production labour charged to jobs (PLC) less a portion of overhead costs charged to jobs (AOH) equals Unapplied Overhead.</t>
  </si>
  <si>
    <t>Items (material, labour or overhead) recorded to a work order that had been previously closed.  Concerns with late costs occur when the costs cross month end periods. Late costs are not included in gross margin calculations on Sales Analysis Report</t>
  </si>
  <si>
    <t>A performance measurement tool used to determine the performance of an investment.  The formula is: the benefit or return of the investment is divided by the cost of the investment: expressed as %.</t>
  </si>
  <si>
    <t>Work Center</t>
  </si>
  <si>
    <t>Can be a section of a facility, a person or a piece of equipment where all the process and tasks relating to a particular manufacturing process occur (for example, a milling machine can be a work center, a paint booth can be a work center, the welding section can be a work center</t>
  </si>
  <si>
    <t>Work Center Group</t>
  </si>
  <si>
    <t>Multiple machines that relate to one similar tasks, ex. A group of welding machines in a work center can also be referred to as a work group</t>
  </si>
  <si>
    <t>Manufacturing</t>
  </si>
  <si>
    <t xml:space="preserve">Refers to the process of converting various components (may be raw materials or individual parts) into a finshed product.  The specifications of the completed product is usually provided by a customer, unless the product is being completed for an internal product line.  Manufacuting processes can be completed manually or automated.  Usually completed in a larger scale operation </t>
  </si>
  <si>
    <t>Job Shop Manufacturing Facilities</t>
  </si>
  <si>
    <t xml:space="preserve">Fabrication facility that produces custom made products based on customer specifications.  Size of output can vary per location.  Facilities typically provide multiple manufacturing services such as welding, machining, milling, etc.  </t>
  </si>
  <si>
    <t>Product Line</t>
  </si>
  <si>
    <t>A series of part/products/items sold by a company.  The items can be manufactured in-house by the company or purchased from a wholesaler/distributor/manufacturer for sale in another company.  Typically the item is produced by one company.</t>
  </si>
  <si>
    <t>Could also relate to products sold that relate to specific industries.  Example - producing and selling items relating to the hard rock mining could be considered one type of product line, soft rock mining would be another product line</t>
  </si>
  <si>
    <t>Production Run Time</t>
  </si>
  <si>
    <t>The production time required to complete a production process, includes set-up and take down time.  The most cost effective run time will depend on the cost of production that include work center costs, labour and overhead costs.</t>
  </si>
  <si>
    <t>Routers</t>
  </si>
  <si>
    <t>Lists the production processes and steps that each part/component will travel throughout the manufacturing facility.  For example: Machining 15 minutes, deburring 10 minutes, weld shop 25 minutes, grinding 10 minutes</t>
  </si>
  <si>
    <t>Purchase Order</t>
  </si>
  <si>
    <t>A document presented to a vendor that aurthorzes a purchasing tansaction.  This is a binding contract when it is accepted buy the vendor.  The document specifies the quantity to be purchased, cost, description, payment terms, any applicable discounts, and the name of the vendor.</t>
  </si>
  <si>
    <t>Request for Quote</t>
  </si>
  <si>
    <t>A document that is used to solict a minimum price and delivery time from a set of customer specifications forwarded to a company.  The quote can relate to labour only or labour, manufacturing processes or services.  Usually the lowest priced quotation wins but there are often other factors besides price that are taken into consideraton (such as delivery time, qualilty, types of material available, etc.)</t>
  </si>
  <si>
    <t>Quote</t>
  </si>
  <si>
    <t>A summary of specific costs or services (often including delivery times) to complete a customer requested product or service, based on customer specified requirements</t>
  </si>
  <si>
    <t>Set-up (time)</t>
  </si>
  <si>
    <t>The period of time required to prepare a machine, process or system to be ready to start the job</t>
  </si>
  <si>
    <t>Vendor/Supplier</t>
  </si>
  <si>
    <t>A person/company who sells services, products or supplies</t>
  </si>
  <si>
    <t>A person/company who purchases products, services or supplies</t>
  </si>
  <si>
    <t>APP</t>
  </si>
  <si>
    <t>The Global Shop app has three different modes: administrator, sales and customer.  The administrator</t>
  </si>
  <si>
    <t>view has overall company data and dashboards.  The sales version has additional CRM information and</t>
  </si>
  <si>
    <t>salesperson centric data.  The customer version is branded and allows access to basic status information</t>
  </si>
  <si>
    <t>to enhance the customer experience.  It will wrok on any platform.</t>
  </si>
  <si>
    <t>APS</t>
  </si>
  <si>
    <t>Advanced Planning and Scheduling.  This system allows you to manage capacity and create accurate due</t>
  </si>
  <si>
    <t>dates within the system</t>
  </si>
  <si>
    <t xml:space="preserve">ARC </t>
  </si>
  <si>
    <t>The application and report center allows access to over 1500 free custom projects and reports.  Projects</t>
  </si>
  <si>
    <t>can be loaded with a one-click install</t>
  </si>
  <si>
    <t>AUT</t>
  </si>
  <si>
    <t xml:space="preserve">Advanced user training offered at Global Shop University quarterly - includes GAB/Crystal advanced and </t>
  </si>
  <si>
    <t>basic, FLOOM/Transactional Inventory, Manufacturing/Operations, and 25 KPI's to Run Your Business</t>
  </si>
  <si>
    <t>Batch</t>
  </si>
  <si>
    <t>A set of pending accounting transactions that are waiting to be posted to the general ledger.  There are</t>
  </si>
  <si>
    <t>AR, AP, labor, indirect labor, overhead and inventory batches</t>
  </si>
  <si>
    <t xml:space="preserve">ERP Boot Camp </t>
  </si>
  <si>
    <t>Free basic training for using the Global Shop system.  Topics include manufacturing, report writing, CRM,</t>
  </si>
  <si>
    <t>and accounting basics</t>
  </si>
  <si>
    <t>BOM</t>
  </si>
  <si>
    <t>Bill of Material.  This is a collection of routers, otherwise known as an assembly that includes manufactured</t>
  </si>
  <si>
    <t>parts</t>
  </si>
  <si>
    <t>Cost</t>
  </si>
  <si>
    <t>The amount of money it takes to produce an item.  Cost in Global Shop is an internal value</t>
  </si>
  <si>
    <t xml:space="preserve">CRM </t>
  </si>
  <si>
    <t xml:space="preserve">Customer Relationship Management.  Allows you to track interaction with different companies and </t>
  </si>
  <si>
    <t>where you can easily access all relevant customer information for quick retrieval</t>
  </si>
  <si>
    <t>DCC</t>
  </si>
  <si>
    <t>Document Control Center. Allows you to link files to a record in Global Shop.  Those files live with that</t>
  </si>
  <si>
    <t>record throughout the system.  For example, links to a part with shop in inventory, estimating, purchasing,</t>
  </si>
  <si>
    <t>shipping, on the timeclock, etc.</t>
  </si>
  <si>
    <t>EDI</t>
  </si>
  <si>
    <t xml:space="preserve">Electronic Data Exchange.  Allows easy and efficient transactions of data between trading partners.  It </t>
  </si>
  <si>
    <t>requires a third-part VAN/translator to map the files and process the transactions</t>
  </si>
  <si>
    <t>Estimate</t>
  </si>
  <si>
    <t>see 'Router'</t>
  </si>
  <si>
    <t>FastTRAIN</t>
  </si>
  <si>
    <t>Subscription access to all recorded Friday Feature classes as well as best-practice PDT recordings</t>
  </si>
  <si>
    <t>FLOOOM</t>
  </si>
  <si>
    <t>The cost breakdown process that includes freight, labor, outside, overhead, other, material.  These costs</t>
  </si>
  <si>
    <t xml:space="preserve">flow through the systemwith all transactions (reciepts, issues, closes, etc.) and can be journalized </t>
  </si>
  <si>
    <t>separately on the financial reports</t>
  </si>
  <si>
    <t>Friday Features</t>
  </si>
  <si>
    <t>Free training sessions offered Friday mornings at 10am cental.  Various topics are covered, and all classes</t>
  </si>
  <si>
    <t>are recorded and available on FastTRAIN for unlimited viewing</t>
  </si>
  <si>
    <t>GS Mobile (Wireless)</t>
  </si>
  <si>
    <t>A tool used to make transactions on a Global Shop webpage instead of runnign a full client version of</t>
  </si>
  <si>
    <t>the software.  Most commonly used for inventory movement, shipping/receiving, labor collection, and</t>
  </si>
  <si>
    <t>CRM. This can be used within the facility, or by off-site employees</t>
  </si>
  <si>
    <t>Inventory (Part) Master</t>
  </si>
  <si>
    <t>This is the main inventory record.  It has the master part data, but does not contain information about</t>
  </si>
  <si>
    <t>specific items (lot/bin/heat/serial)</t>
  </si>
  <si>
    <t>Issue Materials</t>
  </si>
  <si>
    <t>This process moves parts out of inventory and into work in process.  Raw material or sub-assemblies</t>
  </si>
  <si>
    <t>can be issues to work order/jobs</t>
  </si>
  <si>
    <t>Item Master</t>
  </si>
  <si>
    <t>This is a specific record of inventory that has lot/bin/heat/serial designation.  The item masters are</t>
  </si>
  <si>
    <t>sub-records fo the inventory master</t>
  </si>
  <si>
    <t>KPI's</t>
  </si>
  <si>
    <t>Key Performance Indicators.  Allow analysis of business processes and offer insight to opportunities</t>
  </si>
  <si>
    <t>for improvement</t>
  </si>
  <si>
    <t>PDT</t>
  </si>
  <si>
    <t>Process Docuementation and Training.  This module allows recording of business processes and work</t>
  </si>
  <si>
    <t>instructions to aid in training and reduce errors.  It can be used for certification purposes</t>
  </si>
  <si>
    <t>Price</t>
  </si>
  <si>
    <t xml:space="preserve">This is the amount that a part will be sold for.  This field is used for external valuation.  There are </t>
  </si>
  <si>
    <t>alternative prices, contract prices, group prices, category prices, volume prices, etc.</t>
  </si>
  <si>
    <t>Parent/Child</t>
  </si>
  <si>
    <t>In an assembly (BOM) a child is a sub-component fo a higher inventory part (parent)</t>
  </si>
  <si>
    <t>Router</t>
  </si>
  <si>
    <t>The sequence/operations required to create a part.  It can include raw material, labor, outside services,</t>
  </si>
  <si>
    <t xml:space="preserve">comments, tasks.  Routers can be used to create quotes, and are turned into jobs/work orders when </t>
  </si>
  <si>
    <t>there is a demand for the inventory</t>
  </si>
  <si>
    <t>Sales Order</t>
  </si>
  <si>
    <t>The agreement to produce certain parts at a certain price for a customer.  This creates demand for that</t>
  </si>
  <si>
    <t>inventory within the system.  Orders can be entered manually, or imported through EDI, Web Importer,</t>
  </si>
  <si>
    <t>or with a GAB upload system</t>
  </si>
  <si>
    <t>VMS</t>
  </si>
  <si>
    <t>Version Management System.  Is an additional level above document control.  It allows more control</t>
  </si>
  <si>
    <t>over linked files and includes check in/out, revision control and previous version access</t>
  </si>
  <si>
    <t>WIP</t>
  </si>
  <si>
    <t>Work in Process.  This is inventory that is currently being worked on and is accumulating costs</t>
  </si>
  <si>
    <t>WIP to FG</t>
  </si>
  <si>
    <t>The process that moves work in process inventory to Finished Goods Inventory.  This is also the point</t>
  </si>
  <si>
    <t>where cost is calculated to value inventory (unless standard cost is used)</t>
  </si>
  <si>
    <t>Any work area used for estimating or scheduling.  A workcener can be a single machine (SAW1), a group</t>
  </si>
  <si>
    <t>of machines (SAWS) or a process (SHIP).  They can have unlimited capacity (infinite) or can have a set</t>
  </si>
  <si>
    <t>cutoff of available production time (finite).  Similar machines can be added to work groups for load-</t>
  </si>
  <si>
    <t>balancing jobs</t>
  </si>
  <si>
    <t>Work Order</t>
  </si>
  <si>
    <t>This is a routing of sequences/operations that are used to track time and cost against a job.  They are</t>
  </si>
  <si>
    <t>usually created from a router, but can be made independently</t>
  </si>
  <si>
    <t xml:space="preserve">OH % of Sales </t>
  </si>
  <si>
    <t xml:space="preserve">% of Budget </t>
  </si>
  <si>
    <t>Sales Growth</t>
  </si>
  <si>
    <t>% of Unts Scrapped</t>
  </si>
  <si>
    <t>% of Units Scrapped per Workcenter</t>
  </si>
  <si>
    <t># of Rejects</t>
  </si>
  <si>
    <t>HOURS_WORKED</t>
  </si>
  <si>
    <t>Hours Available</t>
  </si>
  <si>
    <t>Reduce Labor Costs per Unit</t>
  </si>
  <si>
    <t>$ Labor Costs per Unit Produced</t>
  </si>
  <si>
    <t>Increase Revenue per Labor hour for each department (Sales, Admin, Shop)</t>
  </si>
  <si>
    <t>Increases labor efficiency &amp; overall profitability.  Increases Manufacturing GM% and EBITDA</t>
  </si>
  <si>
    <t>Revenue $ per Labor Hour</t>
  </si>
  <si>
    <t>% of Direct Labor</t>
  </si>
  <si>
    <t>Reduces Manufacturing Costs = Increases Revenue per Labor Hour (shop), reduces Unapplied OH = Increases EBITDA</t>
  </si>
  <si>
    <t>Increase Chargeable Hours Percentage &gt; Reduce Indirect Labor</t>
  </si>
  <si>
    <t xml:space="preserve">Increase Revenue per Labor Hour </t>
  </si>
  <si>
    <t>Reduce Total Labor Costs per Unit</t>
  </si>
  <si>
    <t>Reduce Indirect Hours per Work Order Sequence Code</t>
  </si>
  <si>
    <t>Identify number of units scrapped per units completed</t>
  </si>
  <si>
    <t>Profitabilit</t>
  </si>
  <si>
    <t>Indirect Labor per Work Order Sequence Code</t>
  </si>
  <si>
    <t>Reduce Overall Production Times</t>
  </si>
  <si>
    <t>Increased Sales through implementation of detailed Sales Strategic Plan. Increased sales = $ to pay expenses, reduced inventory</t>
  </si>
  <si>
    <t xml:space="preserve">  Comparison reports can be downloaded at Ventureline</t>
  </si>
  <si>
    <t>L1</t>
  </si>
  <si>
    <t>P4</t>
  </si>
  <si>
    <t>CASH</t>
  </si>
  <si>
    <t>ONTIME</t>
  </si>
  <si>
    <t>LATE</t>
  </si>
  <si>
    <t>EARLY</t>
  </si>
  <si>
    <t>TOTAL</t>
  </si>
  <si>
    <t>Sum of HOURS_WORKED</t>
  </si>
  <si>
    <t xml:space="preserve">Shop Floor &gt; Reports &gt;Closed Work Orders Estimate vs Actual </t>
  </si>
  <si>
    <t>Shop Floor &gt; Reports &gt; Peformance by Workcenter</t>
  </si>
  <si>
    <t>Units Scrapped by Scrap Code</t>
  </si>
  <si>
    <t>Decreasing overall reject % by scrap code leads to increased profitability through increased customer service,  decreased production costs, rework costs, etc.</t>
  </si>
  <si>
    <t>Quantity by Scrap Code</t>
  </si>
  <si>
    <t>DIRECT_INDIRECT</t>
  </si>
  <si>
    <t>Dashboard Extract</t>
  </si>
  <si>
    <t>Estimating &amp; Routing &gt;Reports &gt; Quote Win/Loss Summary</t>
  </si>
  <si>
    <t>Estimating &amp; Routing &gt; Reports &gt; Workcenter</t>
  </si>
  <si>
    <t>Shop floor &gt; reports &gt;Performance by workcenter</t>
  </si>
  <si>
    <t># of Indirect Hours above breaks and balancing</t>
  </si>
  <si>
    <t>Estimating/Production Departments</t>
  </si>
  <si>
    <t>PRODUCT_LINE</t>
  </si>
  <si>
    <t>RM</t>
  </si>
  <si>
    <t>Units Scrapped</t>
  </si>
  <si>
    <t>E</t>
  </si>
  <si>
    <t>D</t>
  </si>
  <si>
    <t>FG</t>
  </si>
  <si>
    <t>AR</t>
  </si>
  <si>
    <t>AP</t>
  </si>
  <si>
    <t>Cash</t>
  </si>
  <si>
    <t>Cash Balance</t>
  </si>
  <si>
    <t>Taxes</t>
  </si>
  <si>
    <t>Shop Floor &gt; Reports &gt; Work Order Detail &gt; Enter work order number</t>
  </si>
  <si>
    <t>Quality &gt; Reports &gt; Cost of Non-Conformance by Quality and Dollars</t>
  </si>
  <si>
    <t>Average Quote Dollar Amount (Min &amp; Max $'s)</t>
  </si>
  <si>
    <t>Increased quote dollars = Increased Sales = Increased EBITDA</t>
  </si>
  <si>
    <t>Average Quote Dollar Amount (Min $)</t>
  </si>
  <si>
    <t xml:space="preserve">Sales Analysis &gt; Reports &gt; Customer Profitability </t>
  </si>
  <si>
    <t>Sales Analysis &gt; Reports &gt; Customer Profitability/Budget per KPI Build</t>
  </si>
  <si>
    <t>OH/Sales = OH % of Sales</t>
  </si>
  <si>
    <t>Cost of Quality</t>
  </si>
  <si>
    <t>S5</t>
  </si>
  <si>
    <t>Increase Average Sales per Month</t>
  </si>
  <si>
    <t>Increase Average Sale Dollar amount per invoice &amp; per Units Sold</t>
  </si>
  <si>
    <t>Average Sale</t>
  </si>
  <si>
    <t>Actual vs Estimate Production Time</t>
  </si>
  <si>
    <t xml:space="preserve">$ in Sales in Specific Industries </t>
  </si>
  <si>
    <t>Increase Gross Margins %</t>
  </si>
  <si>
    <t>EBITDA % Overhead as % of Sales</t>
  </si>
  <si>
    <t>Track Units Rejected per Scrap Code</t>
  </si>
  <si>
    <t>Measures ability</t>
  </si>
  <si>
    <t xml:space="preserve">Operating </t>
  </si>
  <si>
    <t xml:space="preserve">Asset </t>
  </si>
  <si>
    <t xml:space="preserve">Measures how </t>
  </si>
  <si>
    <t>Total Operating Cycle - number of days</t>
  </si>
  <si>
    <t>How to collect cash</t>
  </si>
  <si>
    <t xml:space="preserve">Activity Ratio's </t>
  </si>
  <si>
    <t xml:space="preserve">of a company </t>
  </si>
  <si>
    <t xml:space="preserve">Efficiency </t>
  </si>
  <si>
    <t xml:space="preserve">Use </t>
  </si>
  <si>
    <t>leveraged (or how</t>
  </si>
  <si>
    <t>Two Ratios that measure Return on Investment</t>
  </si>
  <si>
    <t>it takes product from receipt to sale</t>
  </si>
  <si>
    <t>from sale of inventory</t>
  </si>
  <si>
    <t xml:space="preserve">to pay off </t>
  </si>
  <si>
    <t>Measure</t>
  </si>
  <si>
    <t>Efficiency</t>
  </si>
  <si>
    <t xml:space="preserve">much debt a </t>
  </si>
  <si>
    <t>Days</t>
  </si>
  <si>
    <t>debt</t>
  </si>
  <si>
    <t>company has)</t>
  </si>
  <si>
    <t>(measures Investment Efficiency</t>
  </si>
  <si>
    <t>Payables</t>
  </si>
  <si>
    <t>Inventory Turnover</t>
  </si>
  <si>
    <t>PM %</t>
  </si>
  <si>
    <t>AT</t>
  </si>
  <si>
    <t>Outstanding</t>
  </si>
  <si>
    <t>Cycle</t>
  </si>
  <si>
    <t>Other Long-term Assets</t>
  </si>
  <si>
    <t>Total Long-Term Assets</t>
  </si>
  <si>
    <t>Long-term Liabilities</t>
  </si>
  <si>
    <t>Shares</t>
  </si>
  <si>
    <t>GM %</t>
  </si>
  <si>
    <t>Other Income &amp; Expenses</t>
  </si>
  <si>
    <t>Total Expenses</t>
  </si>
  <si>
    <t>Net Income before Taxes</t>
  </si>
  <si>
    <t>Debt-to-Assets Ratio</t>
  </si>
  <si>
    <t>Profit Margin</t>
  </si>
  <si>
    <t>Asset Turnover</t>
  </si>
  <si>
    <t>INV</t>
  </si>
  <si>
    <t>ROE Target</t>
  </si>
  <si>
    <t>CC Target</t>
  </si>
  <si>
    <t xml:space="preserve">ROA </t>
  </si>
  <si>
    <t xml:space="preserve"> ROE </t>
  </si>
  <si>
    <t xml:space="preserve">ROE Target </t>
  </si>
  <si>
    <t xml:space="preserve"> CC </t>
  </si>
  <si>
    <t xml:space="preserve"> CC Target</t>
  </si>
  <si>
    <t>Sum of Sales Growth</t>
  </si>
  <si>
    <t xml:space="preserve"> Inventory Turnover</t>
  </si>
  <si>
    <t>Finished Goods</t>
  </si>
  <si>
    <t>Raw Material</t>
  </si>
  <si>
    <t>Variable Expenses</t>
  </si>
  <si>
    <t>Fixed Expenses</t>
  </si>
  <si>
    <t>Total Liabilities</t>
  </si>
  <si>
    <t>Increase Inventory Turns</t>
  </si>
  <si>
    <t>Improved purchasing, reduced carrying costs, decreased dead inventory, increased DSI = increased profitabilty = increased Shareholder Value</t>
  </si>
  <si>
    <t>two most important Return on Investment Measurements</t>
  </si>
  <si>
    <t xml:space="preserve">DuPont Model </t>
  </si>
  <si>
    <t>Note: ROA and ROE are the two most important ROI measurements</t>
  </si>
  <si>
    <t xml:space="preserve">Note: Return on Assets and Return on Equity are the </t>
  </si>
  <si>
    <r>
      <rPr>
        <b/>
        <sz val="14"/>
        <color indexed="8"/>
        <rFont val="Calibri"/>
        <family val="2"/>
      </rPr>
      <t>Z-Score</t>
    </r>
    <r>
      <rPr>
        <sz val="14"/>
        <color indexed="8"/>
        <rFont val="Calibri"/>
        <family val="2"/>
      </rPr>
      <t xml:space="preserve"> = </t>
    </r>
    <r>
      <rPr>
        <b/>
        <sz val="14"/>
        <color indexed="8"/>
        <rFont val="Calibri"/>
        <family val="2"/>
      </rPr>
      <t>A</t>
    </r>
    <r>
      <rPr>
        <sz val="14"/>
        <color indexed="8"/>
        <rFont val="Calibri"/>
        <family val="2"/>
      </rPr>
      <t xml:space="preserve"> x 3.3 + </t>
    </r>
    <r>
      <rPr>
        <b/>
        <sz val="14"/>
        <color indexed="8"/>
        <rFont val="Calibri"/>
        <family val="2"/>
      </rPr>
      <t>B</t>
    </r>
    <r>
      <rPr>
        <sz val="14"/>
        <color indexed="8"/>
        <rFont val="Calibri"/>
        <family val="2"/>
      </rPr>
      <t xml:space="preserve"> x 0.99 + </t>
    </r>
    <r>
      <rPr>
        <b/>
        <sz val="14"/>
        <color indexed="8"/>
        <rFont val="Calibri"/>
        <family val="2"/>
      </rPr>
      <t>C</t>
    </r>
    <r>
      <rPr>
        <sz val="14"/>
        <color indexed="8"/>
        <rFont val="Calibri"/>
        <family val="2"/>
      </rPr>
      <t xml:space="preserve"> x 0.6 + </t>
    </r>
    <r>
      <rPr>
        <b/>
        <sz val="14"/>
        <color indexed="8"/>
        <rFont val="Calibri"/>
        <family val="2"/>
      </rPr>
      <t>D</t>
    </r>
    <r>
      <rPr>
        <sz val="14"/>
        <color indexed="8"/>
        <rFont val="Calibri"/>
        <family val="2"/>
      </rPr>
      <t xml:space="preserve"> x 1.2 + </t>
    </r>
    <r>
      <rPr>
        <b/>
        <sz val="14"/>
        <color indexed="8"/>
        <rFont val="Calibri"/>
        <family val="2"/>
      </rPr>
      <t>E</t>
    </r>
    <r>
      <rPr>
        <sz val="14"/>
        <color indexed="8"/>
        <rFont val="Calibri"/>
        <family val="2"/>
      </rPr>
      <t xml:space="preserve"> x 1.4</t>
    </r>
  </si>
  <si>
    <t>These ratios are mulitiplied by the weightage as above, and the results are added together.</t>
  </si>
  <si>
    <t>-4 to +8.0</t>
  </si>
  <si>
    <t>x 1.4</t>
  </si>
  <si>
    <t>Retained Earnings/Total Assets</t>
  </si>
  <si>
    <t>x 1.2</t>
  </si>
  <si>
    <t>Working Capital/Total Assets</t>
  </si>
  <si>
    <t>x 0.6</t>
  </si>
  <si>
    <t>Market Value of Equity/Total Liabilities</t>
  </si>
  <si>
    <t>x 0.999</t>
  </si>
  <si>
    <t>Net Sales/Total Assets</t>
  </si>
  <si>
    <t>B</t>
  </si>
  <si>
    <t>x 3.3</t>
  </si>
  <si>
    <t>EBIT/Total Assets</t>
  </si>
  <si>
    <t>A</t>
  </si>
  <si>
    <t>WEIGHTAGE</t>
  </si>
  <si>
    <t>RATIO</t>
  </si>
  <si>
    <t>Bankrupt Zone</t>
  </si>
  <si>
    <t>Z  &lt;  1.1</t>
  </si>
  <si>
    <t>Grey Zone</t>
  </si>
  <si>
    <t>1.1  &lt;  Z  &lt;  2.60</t>
  </si>
  <si>
    <t>Safety Zone</t>
  </si>
  <si>
    <t>Z  &gt;  2.60</t>
  </si>
  <si>
    <t>Altman Z-Score</t>
  </si>
  <si>
    <t>8. Book Value of Share Equity</t>
  </si>
  <si>
    <t>7. Net Sales</t>
  </si>
  <si>
    <t>6. Retained Earnings</t>
  </si>
  <si>
    <t>5. EBIT</t>
  </si>
  <si>
    <t>4. Current Liabilities</t>
  </si>
  <si>
    <t>3. Current Assets</t>
  </si>
  <si>
    <t>2. Total Liabilities</t>
  </si>
  <si>
    <t>1. Total Assets</t>
  </si>
  <si>
    <t>ALTMAN Z-SCORE</t>
  </si>
  <si>
    <t>Hours Worked</t>
  </si>
  <si>
    <t>index</t>
  </si>
  <si>
    <t>Labour Data Table</t>
  </si>
  <si>
    <t>Calculated Cost of Quality as a % of Sales</t>
  </si>
  <si>
    <t>Increases profitabiliy through reduced prduction cost, reduced rework costs and reduced overall production cycle times</t>
  </si>
  <si>
    <t>no</t>
  </si>
  <si>
    <t>Trial Balance</t>
  </si>
  <si>
    <t>Calculated</t>
  </si>
  <si>
    <t>Inventory &gt; Reports &gt; Inventory History by Transaction Code</t>
  </si>
  <si>
    <t xml:space="preserve">Calculated </t>
  </si>
  <si>
    <t>Calculated Fields</t>
  </si>
  <si>
    <t>Net Income After Taxes</t>
  </si>
  <si>
    <t>(EBITDA)</t>
  </si>
  <si>
    <t>L2 - Indirect Labor Codes</t>
  </si>
  <si>
    <t>Sales by PL</t>
  </si>
  <si>
    <t>Cost of Sales - OH</t>
  </si>
  <si>
    <t>RAW</t>
  </si>
  <si>
    <t>OTHER_ASSET</t>
  </si>
  <si>
    <t>FIXED_ASSET</t>
  </si>
  <si>
    <t>OTHER_CURRENT</t>
  </si>
  <si>
    <t>LONG_TERM_DEBT</t>
  </si>
  <si>
    <t>COGS_FREIGHT</t>
  </si>
  <si>
    <t>COGS_LABOR</t>
  </si>
  <si>
    <t>COGS_OUTSIDE</t>
  </si>
  <si>
    <t>COGS_OVERHEAD</t>
  </si>
  <si>
    <t>COGS_OTHER</t>
  </si>
  <si>
    <t>COGS_MATERIAL</t>
  </si>
  <si>
    <t>VARIABLE_EXPENSES</t>
  </si>
  <si>
    <t>FIXED_EXPENSES</t>
  </si>
  <si>
    <t>SHARES</t>
  </si>
  <si>
    <t xml:space="preserve">EBITDA % of Sales </t>
  </si>
  <si>
    <t>Total Liabilitites &amp; Shareholders Equity</t>
  </si>
  <si>
    <t>Cost of Sales - Outside</t>
  </si>
  <si>
    <t>Cost of Sales - Other</t>
  </si>
  <si>
    <t>Total Cost of Sales</t>
  </si>
  <si>
    <t>Cost of Sales - Material</t>
  </si>
  <si>
    <t>Cost of Sales - Freight</t>
  </si>
  <si>
    <t>Cost of Sales - Labor</t>
  </si>
  <si>
    <t>Dupont Data Info</t>
  </si>
  <si>
    <t>Increase Average Quote Dollar Amount</t>
  </si>
  <si>
    <t>Fiscal Year</t>
  </si>
  <si>
    <t xml:space="preserve">First Month of Fiscal Year = </t>
  </si>
  <si>
    <t>Prior Year</t>
  </si>
  <si>
    <t>Current Year</t>
  </si>
  <si>
    <t xml:space="preserve">SALES </t>
  </si>
  <si>
    <t>Customer Concentration</t>
  </si>
  <si>
    <t xml:space="preserve">Sales </t>
  </si>
  <si>
    <t>Sales per Man Hour</t>
  </si>
  <si>
    <t xml:space="preserve">Rework </t>
  </si>
  <si>
    <t>GM% =</t>
  </si>
  <si>
    <t>Current Earnings</t>
  </si>
  <si>
    <t>Equity/Retained Earnings</t>
  </si>
  <si>
    <t>2015</t>
  </si>
  <si>
    <t>10</t>
  </si>
  <si>
    <t>09</t>
  </si>
  <si>
    <t>08</t>
  </si>
  <si>
    <t>07</t>
  </si>
  <si>
    <t>06</t>
  </si>
  <si>
    <t>05</t>
  </si>
  <si>
    <t>I</t>
  </si>
  <si>
    <t>HIST</t>
  </si>
  <si>
    <t xml:space="preserve">GSS Server Name = </t>
  </si>
  <si>
    <t>localhost</t>
  </si>
  <si>
    <t>Sawmills and Planing Mills, General</t>
  </si>
  <si>
    <t>Hardwood Dimension and Flooring Mills</t>
  </si>
  <si>
    <t>Special Product Sawmills, Not Elsewhere Classified</t>
  </si>
  <si>
    <t>Millwork</t>
  </si>
  <si>
    <t>Wood Kitchen Cabinets</t>
  </si>
  <si>
    <t>Hardwood Veneer and Plywood</t>
  </si>
  <si>
    <t>Nailed and Lock Corner Wood Boxes and Shook</t>
  </si>
  <si>
    <t>Wood Pallets and Skids</t>
  </si>
  <si>
    <t>Wood Containers, Not Elsewhere Classified</t>
  </si>
  <si>
    <t>Prefabricated Wood Buildings and Components</t>
  </si>
  <si>
    <t>Wood Preserving</t>
  </si>
  <si>
    <t>Reconstituted Wood Products</t>
  </si>
  <si>
    <t>Wood Products, Not Elsewhere Classified</t>
  </si>
  <si>
    <t>Wood Household Furniture, Except Upholstered</t>
  </si>
  <si>
    <t>Wood Household Furniture, Upholstered</t>
  </si>
  <si>
    <t>Metal Household Furniture</t>
  </si>
  <si>
    <t>Mattresses, Foundations, and Convertible Beds</t>
  </si>
  <si>
    <t>Wood Television, Radio, Phonograph, and Sewing Machine Cabinets</t>
  </si>
  <si>
    <t>Household Furniture, Not Elsewhere Classified</t>
  </si>
  <si>
    <t>Wood Office Furniture</t>
  </si>
  <si>
    <t>Office Furniture, Except Wood</t>
  </si>
  <si>
    <t>Public Building and Related Furniture</t>
  </si>
  <si>
    <t>Wood Office and Store Fixtures, Partitions, Shelving, and Lockers</t>
  </si>
  <si>
    <t>Office and Store Fixtures, Partitions, Shelving, and Lockers, Except Wood</t>
  </si>
  <si>
    <t>Drapery Hardware and Window Blinds and Shades</t>
  </si>
  <si>
    <t>Furniture and Fixtures, Not Elsewhere Classified</t>
  </si>
  <si>
    <t>Setup Paperboard Boxes</t>
  </si>
  <si>
    <t>Corrugated and Solid Fiber Boxes</t>
  </si>
  <si>
    <t>Fiber Cans, Tubes, Drums, and Similar Products</t>
  </si>
  <si>
    <t>Sanitary Food Containers, Except Folding</t>
  </si>
  <si>
    <t>Folding Paperboard Boxes, Including Sanitary</t>
  </si>
  <si>
    <t>Packaging Paper and Plastics Film, Coated and Laminated</t>
  </si>
  <si>
    <t>Coated and Laminated Paper, Not Elsewhere Classified</t>
  </si>
  <si>
    <t>Plastics, Foil, and Coated Paper Bags</t>
  </si>
  <si>
    <t>Uncoated Paper and Multiwall Bags</t>
  </si>
  <si>
    <t>Die-Cut Paper and Paperboard and Cardboard</t>
  </si>
  <si>
    <t>Sanitary Paper Products</t>
  </si>
  <si>
    <t>Envelopes</t>
  </si>
  <si>
    <t>Stationery, Tablets, and Related Products</t>
  </si>
  <si>
    <t>Converted Paper and Paperboard Products, Not Elsewhere Classified</t>
  </si>
  <si>
    <t>Blankbooks, Looseleaf Binders and Devices</t>
  </si>
  <si>
    <t>Alkalies and Chlorine</t>
  </si>
  <si>
    <t>Industrial Gases</t>
  </si>
  <si>
    <t>Inorganic Pigments</t>
  </si>
  <si>
    <t>Industrial Inorganic Chemicals, Not Elsewhere Classified</t>
  </si>
  <si>
    <t>Plastics Materials, Synthetic Resins, and Nonvulcanizable Elastomers</t>
  </si>
  <si>
    <t>Synthetic Rubber (Vulcanizable Elastomers)</t>
  </si>
  <si>
    <t>Cellulosic Manmade Fibers</t>
  </si>
  <si>
    <t>Manmade Organic Fibers, Except Cellulosic</t>
  </si>
  <si>
    <t>Medicinal Chemicals and Botanical Products</t>
  </si>
  <si>
    <t>In Vitro and In Vivo Diagnostic Substances</t>
  </si>
  <si>
    <t>Biological Products, Except Diagnostic Substances</t>
  </si>
  <si>
    <t>Soap and Other Detergents, Except Specialty Cleaners</t>
  </si>
  <si>
    <t>Specialty Cleaning, Polishing, and Sanitation Preparations</t>
  </si>
  <si>
    <t>Perfumes, Cosmetics, and Other Toilet Preparations</t>
  </si>
  <si>
    <t>Paints, Varnishes, Lacquers, Enamels, and Allied Products</t>
  </si>
  <si>
    <t>Gum and Wood Chemicals</t>
  </si>
  <si>
    <t>Cyclic Organic Crudes and Intermediates, and Organic Dyes and Pigments</t>
  </si>
  <si>
    <t>Industrial Organic Chemicals, Not Elsewhere Classified</t>
  </si>
  <si>
    <t>Nitrogenous Fertilizers</t>
  </si>
  <si>
    <t>Phosphatic Fertilizers</t>
  </si>
  <si>
    <t>Fertilizers, Mixing Only</t>
  </si>
  <si>
    <t>Pesticides and Agricultural Chemicals, Not Elsewhere Classified</t>
  </si>
  <si>
    <t>Adhesives and Sealants</t>
  </si>
  <si>
    <t>Explosives</t>
  </si>
  <si>
    <t>Printing Ink</t>
  </si>
  <si>
    <t>Carbon Black</t>
  </si>
  <si>
    <t>Chemicals and Chemical Preparations, Not Elsewhere Classified</t>
  </si>
  <si>
    <t>Asphalt Paving Mixtures and Blocks</t>
  </si>
  <si>
    <t>Asphalt Felts and Coatings</t>
  </si>
  <si>
    <t>Products of Petroleum and Coal, Not Elsewhere Classified</t>
  </si>
  <si>
    <t>Tires and Inner Tubes</t>
  </si>
  <si>
    <t>Rubber and Plastics Footwear</t>
  </si>
  <si>
    <t>Rubber and Plastics Hose and Belting</t>
  </si>
  <si>
    <t>Gaskets, Packing, and Sealing Devices</t>
  </si>
  <si>
    <t>Molded, Extruded, and Lathe-Cut Mechanical Rubber Goods</t>
  </si>
  <si>
    <t>Fabricated Rubber Products, Not Elsewhere Classified</t>
  </si>
  <si>
    <t>Unsupported Plastics Film and Sheet</t>
  </si>
  <si>
    <t>Unsupported Plastics Profile Shapes</t>
  </si>
  <si>
    <t>Laminated Plastics Plate, Sheet, and Profile Shapes</t>
  </si>
  <si>
    <t>Plastics Pipe</t>
  </si>
  <si>
    <t>Plastics Bottles</t>
  </si>
  <si>
    <t>Plastics Plumbing Fixtures</t>
  </si>
  <si>
    <t>Plastics Products, Not Elsewhere Classified</t>
  </si>
  <si>
    <t>Boot and Shoe Cut Stock and Findings</t>
  </si>
  <si>
    <t>House Slippers</t>
  </si>
  <si>
    <t>Men's Footwear, Except Athletic</t>
  </si>
  <si>
    <t>Women's Footwear, Except Athletic</t>
  </si>
  <si>
    <t>Footwear, Except Rubber, Not Elsewhere Classified</t>
  </si>
  <si>
    <t>Leather Gloves and Mittens</t>
  </si>
  <si>
    <t>Luggage</t>
  </si>
  <si>
    <t>Women's Handbags and Purses</t>
  </si>
  <si>
    <t>Personal Leather Goods, Except Women's Handbags and Purses</t>
  </si>
  <si>
    <t>Leather Goods, Not Elsewhere Classified</t>
  </si>
  <si>
    <t>Pressed and Blown Glass and Glassware, Not Elsewhere Classified</t>
  </si>
  <si>
    <t>Brick and Structural Clay Tile</t>
  </si>
  <si>
    <t>Ceramic Wall and Floor Tile</t>
  </si>
  <si>
    <t>Clay Refractories</t>
  </si>
  <si>
    <t>Structural Clay Products, Not Elsewhere Classified</t>
  </si>
  <si>
    <t>Vitreous China Plumbing Fixtures and China and Earthenware Fittings and Bathroom Accessories</t>
  </si>
  <si>
    <t>Vitreous China Table and Kitchen Articles</t>
  </si>
  <si>
    <t>Fine Earthenware (Whiteware) Table and Kitchen Articles</t>
  </si>
  <si>
    <t>Porcelain Electrical Supplies</t>
  </si>
  <si>
    <t>Pottery Products, Not Elsewhere Classified</t>
  </si>
  <si>
    <t>Concrete Block and Brick</t>
  </si>
  <si>
    <t>Concrete Products, Except Block and Brick</t>
  </si>
  <si>
    <t>Ready-Mixed Concrete</t>
  </si>
  <si>
    <t>Lime</t>
  </si>
  <si>
    <t>Gypsum Products</t>
  </si>
  <si>
    <t>Abrasive Products</t>
  </si>
  <si>
    <t>Asbestos Products</t>
  </si>
  <si>
    <t>Mineral Wool</t>
  </si>
  <si>
    <t>Nonclay Refractories</t>
  </si>
  <si>
    <t>Nonmetallic Mineral Products, Not Elsewhere Classified</t>
  </si>
  <si>
    <t>Steel Works, Blast Furnaces (Including Coke Ovens), and Rolling Mills</t>
  </si>
  <si>
    <t>Electrometallurgical Products, Except Steel</t>
  </si>
  <si>
    <t>Steel Wiredrawing and Steel Nails and Spikes</t>
  </si>
  <si>
    <t>Gray and Ductile Iron Foundries</t>
  </si>
  <si>
    <t>Malleable Iron Foundries</t>
  </si>
  <si>
    <t>Steel Investment Foundries</t>
  </si>
  <si>
    <t>Steel Foundries, Not Elsewhere Classified</t>
  </si>
  <si>
    <t>Rolling, Drawing, and Extruding of Nonferrous Metals, Except Copper and Aluminum</t>
  </si>
  <si>
    <t>Drawing and Insulating of Nonferrous Wire</t>
  </si>
  <si>
    <t>Aluminum Die-Castings</t>
  </si>
  <si>
    <t>Nonferrous Die-Castings, Except Aluminum</t>
  </si>
  <si>
    <t>Aluminum Foundries</t>
  </si>
  <si>
    <t>Copper Foundries</t>
  </si>
  <si>
    <t>Nonferrous Foundries, Except Aluminum and Copper</t>
  </si>
  <si>
    <t>Primary Metal Products, Not Elsewhere Classified</t>
  </si>
  <si>
    <t>Metal Shipping Barrels, Drums, Kegs, and Pails</t>
  </si>
  <si>
    <t>Cutlery</t>
  </si>
  <si>
    <t>Hand and Edge Tools, Except Machine Tools and Handsaws</t>
  </si>
  <si>
    <t>Saw Blades and Handsaws</t>
  </si>
  <si>
    <t>Hardware, Not Elsewhere Classified</t>
  </si>
  <si>
    <t>Enameled Iron and Metal Sanitary Ware</t>
  </si>
  <si>
    <t>Plumbing Fixture Fittings and Trim</t>
  </si>
  <si>
    <t>Heating Equipment, Except Electric and Warm Air Furnaces</t>
  </si>
  <si>
    <t>Fabricated Structural Metal</t>
  </si>
  <si>
    <t>Metal Doors, Sash, Frames, Molding, and Trim Manufacturing</t>
  </si>
  <si>
    <t>Architectural and Ornamental Metal Work</t>
  </si>
  <si>
    <t>Prefabricated Metal Buildings and Components</t>
  </si>
  <si>
    <t>Miscellaneous Structural Metal Work</t>
  </si>
  <si>
    <t>Bolts, Nuts, Screws, Rivets, and Washers</t>
  </si>
  <si>
    <t>Iron and Steel Forgings</t>
  </si>
  <si>
    <t>Nonferrous Forgings</t>
  </si>
  <si>
    <t>Automotive Stampings</t>
  </si>
  <si>
    <t>Crowns and Closures</t>
  </si>
  <si>
    <t>Metal Stampings, Not Elsewhere Classified</t>
  </si>
  <si>
    <t>Small Arms Ammunition</t>
  </si>
  <si>
    <t>Ammunition, Except for Small Arms</t>
  </si>
  <si>
    <t>Small Arms</t>
  </si>
  <si>
    <t>Ordnance and Accessories, Not Elsewhere Classified</t>
  </si>
  <si>
    <t>Industrial Valves</t>
  </si>
  <si>
    <t>Fluid Power Valves and Hose Fittings</t>
  </si>
  <si>
    <t>Steel Springs, Except Wire</t>
  </si>
  <si>
    <t>Valves and Pipe Fittings, Not Elsewhere Classified</t>
  </si>
  <si>
    <t>Wire Springs</t>
  </si>
  <si>
    <t>Miscellaneous Fabricated Wire Products</t>
  </si>
  <si>
    <t>Metal Foil and Leaf</t>
  </si>
  <si>
    <t>Fabricated Pipe and Pipe Fittings</t>
  </si>
  <si>
    <t>Fabricated Metal Products, Not Elsewhere Classified</t>
  </si>
  <si>
    <t>Steam, Gas, and Hydraulic Turbines, and Turbine Generator Set Units</t>
  </si>
  <si>
    <t>Internal Combustion Engines, Not Elsewhere Classified</t>
  </si>
  <si>
    <t>Farm Machinery and Equipment</t>
  </si>
  <si>
    <t>Lawn and Garden Tractors and Home Lawn and Garden Equipment</t>
  </si>
  <si>
    <t>Construction Machinery and Equipment</t>
  </si>
  <si>
    <t>Mining Machinery and Equipment, Except Oil and Gas Field Machinery and Equipment</t>
  </si>
  <si>
    <t>Oil and Gas Field Machinery and Equipment</t>
  </si>
  <si>
    <t>Elevators and Moving Stairways</t>
  </si>
  <si>
    <t>Conveyors and Conveying Equipment</t>
  </si>
  <si>
    <t>Overhead Traveling Cranes, Hoists, and Monorail Systems</t>
  </si>
  <si>
    <t>Industrial Trucks, Tractors, Trailers, and Stackers</t>
  </si>
  <si>
    <t>Machine Tools, Metal Forming Types</t>
  </si>
  <si>
    <t>Industrial Patterns</t>
  </si>
  <si>
    <t>Special Dies and Tools, Die Sets, Jigs and Fixtures, and Industrial Molds</t>
  </si>
  <si>
    <t>Cutting Tools, Machine Tool Accessories, and Machinists' Precision Measuring Devices</t>
  </si>
  <si>
    <t>Power-Driven Handtools</t>
  </si>
  <si>
    <t>Rolling Mill Machinery and Equipment</t>
  </si>
  <si>
    <t>Electric and Gas Welding and Soldering Equipment</t>
  </si>
  <si>
    <t>Metalworking Machinery, Not Elsewhere Classified</t>
  </si>
  <si>
    <t>Textile Machinery</t>
  </si>
  <si>
    <t>Woodworking Machinery</t>
  </si>
  <si>
    <t>Paper Industries Machinery</t>
  </si>
  <si>
    <t>Printing Trades Machinery and Equipment</t>
  </si>
  <si>
    <t>Food Products Machinery</t>
  </si>
  <si>
    <t>Special Industry Machinery, Not Elsewhere Classified</t>
  </si>
  <si>
    <t>Pumps and Pumping Equipment</t>
  </si>
  <si>
    <t>Ball and Roller Bearings</t>
  </si>
  <si>
    <t>Air and Gas Compressors</t>
  </si>
  <si>
    <t>Industrial and Commercial Fans and Blowers and Air Purification Equipment</t>
  </si>
  <si>
    <t>Packaging Machinery</t>
  </si>
  <si>
    <t>Speed Changers, Industrial High-Speed Drives, and Gears</t>
  </si>
  <si>
    <t>Industrial Process Furnaces and Ovens</t>
  </si>
  <si>
    <t>Mechanical Power Transmission Equipment, Not Elsewhere Classified</t>
  </si>
  <si>
    <t>General Industrial Machinery and Equipment, Not Elsewhere</t>
  </si>
  <si>
    <t>Computer Peripheral Equipment, Not Elsewhere Classified</t>
  </si>
  <si>
    <t>Calculating and Accounting Machines, Except Electronic Computers</t>
  </si>
  <si>
    <t>Office Machines, Not Elsewhere Classified</t>
  </si>
  <si>
    <t>Automatic Vending Machines</t>
  </si>
  <si>
    <t>Commercial Laundry, Drycleaning, and Pressing Machines</t>
  </si>
  <si>
    <t>Air-Conditioning and Warm Air Heating Equipment and Commercial and Industrial Refrigeration Equipment</t>
  </si>
  <si>
    <t>Measuring and Dispensing Pumps</t>
  </si>
  <si>
    <t>Service Industry Machinery, Not Elsewhere Classified</t>
  </si>
  <si>
    <t>Carburetors, Pistons, Piston Rings, and Valves</t>
  </si>
  <si>
    <t>Fluid Power Cylinders and Actuators</t>
  </si>
  <si>
    <t>Fluid Power Pumps and Motors</t>
  </si>
  <si>
    <t>Scales and Balances, Except Laboratory</t>
  </si>
  <si>
    <t>Industrial and Commercial Machinery and Equipment, Not Elsewhere Classified</t>
  </si>
  <si>
    <t>Power, Distribution, and Specialty Transformers</t>
  </si>
  <si>
    <t>Switchgear and Switchboard Apparatus</t>
  </si>
  <si>
    <t>Motors and Generators</t>
  </si>
  <si>
    <t>Carbon and Graphite Products</t>
  </si>
  <si>
    <t>Relays and Industrial Controls</t>
  </si>
  <si>
    <t>Electrical Industrial Apparatus, Not Elsewhere Classified</t>
  </si>
  <si>
    <t>Household Cooking Equipment</t>
  </si>
  <si>
    <t>Household Refrigerators and HOme and Farm Freezers</t>
  </si>
  <si>
    <t>Household Laundry Equipment</t>
  </si>
  <si>
    <t>Electric Housewares and Fans</t>
  </si>
  <si>
    <t>Household Vacuum Cleaners</t>
  </si>
  <si>
    <t>Household Appliances, Not Elsewhere Classified</t>
  </si>
  <si>
    <t>Electric Lamp Bulbs and Tubes</t>
  </si>
  <si>
    <t>Current-Carrying Wiring Devices</t>
  </si>
  <si>
    <t>Noncurrent-Carrying Wiring Devices</t>
  </si>
  <si>
    <t>Residential Electric Lighting Fixtures</t>
  </si>
  <si>
    <t>Commercial, Industrial, and Institutional Electric Lighting Fixtures</t>
  </si>
  <si>
    <t>Vehicular Lighting Equipment</t>
  </si>
  <si>
    <t>Lighting Equipment, Not Elsewhere Classified</t>
  </si>
  <si>
    <t>Household Audio and Video Equipment</t>
  </si>
  <si>
    <t>Phonograph Records and Prerecorded Audio Tapes and Disks</t>
  </si>
  <si>
    <t>Telephone and Telegraph Apparatus</t>
  </si>
  <si>
    <t>Radio and Television Broadcasting and Communications Equipment</t>
  </si>
  <si>
    <t>Communications Equipment, Not Elsewhere Classified</t>
  </si>
  <si>
    <t>Electron Tubes</t>
  </si>
  <si>
    <t>Semiconductors and Related Devices</t>
  </si>
  <si>
    <t>Electronic Capacitors</t>
  </si>
  <si>
    <t>Electronic Resistors</t>
  </si>
  <si>
    <t>Electronic Coils, Transformers, and Other Inductors</t>
  </si>
  <si>
    <t>Electronic Components, Not Elsewhere Classified</t>
  </si>
  <si>
    <t>Storage Batteries</t>
  </si>
  <si>
    <t>Primary Batteries, Dry and Wet</t>
  </si>
  <si>
    <t>Electrical Equipment for Internal Combustion Engines</t>
  </si>
  <si>
    <t>Magnetic And Optical Recording Media</t>
  </si>
  <si>
    <t>Electrical Machinery, Equipment, and Supplies, Not Elsewhere</t>
  </si>
  <si>
    <t>Motor Vehicles and Passenger Car Bodies</t>
  </si>
  <si>
    <t>Truck and Bus Bodies</t>
  </si>
  <si>
    <t>Motor Vehicle Parts and Accessories</t>
  </si>
  <si>
    <t>Aircraft Engines and Engine Parts</t>
  </si>
  <si>
    <t>Aircraft Parts and Auxiliary Equipment, Not Elsewhere Classified</t>
  </si>
  <si>
    <t>Boat Building and Repairing</t>
  </si>
  <si>
    <t>Motorcycles, Bicycles, and Parts</t>
  </si>
  <si>
    <t>Guided Missiles and Space Vehicles</t>
  </si>
  <si>
    <t>Guided Missile and Space Vehicle Propulsion Units and Propulsion Unit Parts</t>
  </si>
  <si>
    <t>Guided Missile Space Vehicle Parts and Auxiliary Equipment, Not Elsewhere Classified</t>
  </si>
  <si>
    <t>Travel Trailers and Campers</t>
  </si>
  <si>
    <t>Tanks and Tank Components</t>
  </si>
  <si>
    <t>Transportation Equipment, Not Elsewhere Classified</t>
  </si>
  <si>
    <t>Search, Detection, Navigation, Guidance, Aeronautical, and Nautical Systems and Instruments</t>
  </si>
  <si>
    <t>Laboratory Apparatus and Furniture</t>
  </si>
  <si>
    <t>Automatic Controls for Regulating Residential and Commercial Environments and Appliances</t>
  </si>
  <si>
    <t>Industrial Instruments for Measurement, Display, and Control of Process Variables; and Related Products</t>
  </si>
  <si>
    <t>Totalizing Fluid Meters and Counting Devices</t>
  </si>
  <si>
    <t>Instruments for Measuring and Testing of Electricity and Electrical Signals</t>
  </si>
  <si>
    <t>Optical Instruments and Lenses</t>
  </si>
  <si>
    <t>Measuring and Controlling Devices, Not Elsewhere Classified</t>
  </si>
  <si>
    <t>Surgical and Medical Instruments and Apparatus</t>
  </si>
  <si>
    <t>Orthopedic, Prosthetic, and Surgical Appliances and Supplies</t>
  </si>
  <si>
    <t>Dental Equipment and Supplies</t>
  </si>
  <si>
    <t>X-Ray Apparatus and Tubes and Related Irradiation Apparatus</t>
  </si>
  <si>
    <t>Electromedical and Electrotherapeutic Apparatus</t>
  </si>
  <si>
    <t>Photographic Equipment and Supplies</t>
  </si>
  <si>
    <t>Watches, Clocks, Clockwork Operated Devices, and Parts</t>
  </si>
  <si>
    <t>Silverware, Plated Ware, and Stainless Steel Ware</t>
  </si>
  <si>
    <t>Jewelers' Findings and Materials, and Lapidary Work</t>
  </si>
  <si>
    <t>Dolls and Stuffed Toys</t>
  </si>
  <si>
    <t>Games, Toys, and Children's Vehicles, Except Dolls and Bicycles</t>
  </si>
  <si>
    <t>Sporting and Athletic Goods, Not Elsewhere Classified</t>
  </si>
  <si>
    <t>Pens, Mechanical Pencils, and Parts</t>
  </si>
  <si>
    <t>Lead Pencils, Crayons, and Artists' Materials</t>
  </si>
  <si>
    <t>Marking Devices</t>
  </si>
  <si>
    <t>Carbon Paper and Inked Ribbons</t>
  </si>
  <si>
    <t>Costume Jewelry and Costume Novelties, Except Precious Metal</t>
  </si>
  <si>
    <t>Fasteners, Buttons, Needles, and Pins</t>
  </si>
  <si>
    <t>Brooms and Brushes</t>
  </si>
  <si>
    <t>Signs and Advertising Specialties</t>
  </si>
  <si>
    <t>Burial Caskets</t>
  </si>
  <si>
    <t>Linoleum, Asphalted-Felt-Base, and Other Hard Surface Floor Coverings, Not Elsewhere Classified</t>
  </si>
  <si>
    <t>Manufacturing Industries, Not Elsewhere Classified</t>
  </si>
  <si>
    <t>Marinas</t>
  </si>
  <si>
    <t>Airports, Flying Fields, and Airport Terminal Services</t>
  </si>
  <si>
    <t>Brick, Stone, and Related Construction Materials</t>
  </si>
  <si>
    <t>Industrial Machinery and Equipment</t>
  </si>
  <si>
    <t>Piece Goods, Notions, and Other Dry Good</t>
  </si>
  <si>
    <t>Groceries, General Line</t>
  </si>
  <si>
    <t>Dairy Products, Except Dried or Canned</t>
  </si>
  <si>
    <t>Poultry and Poultry Products</t>
  </si>
  <si>
    <t>Fish and Seafoods</t>
  </si>
  <si>
    <t>Groceries and Related Products, Not Elsewhere Classified</t>
  </si>
  <si>
    <t>Tobacco and Tobacco Products</t>
  </si>
  <si>
    <t>Dairy Products Stores</t>
  </si>
  <si>
    <t>Retail Bakeries</t>
  </si>
  <si>
    <t>Drycleaning Plants, Except Rug Cleaning</t>
  </si>
  <si>
    <t>Outdoor Advertising Services</t>
  </si>
  <si>
    <t>Direct Mail Advertising Services</t>
  </si>
  <si>
    <t>Photocopying and Duplicating Services</t>
  </si>
  <si>
    <t>Equipment Rental and Leasing, Not Elsewhere Classified</t>
  </si>
  <si>
    <t>Computer Integrated Systems Design</t>
  </si>
  <si>
    <t>Computer Rental and Leasing</t>
  </si>
  <si>
    <t>Top, Body, and Upholstery Repair Shops and Paint Shops</t>
  </si>
  <si>
    <t>Watch, Clock, and Jewelry Repair</t>
  </si>
  <si>
    <t>Repair Shops and Related Services, Not Elsewhere Classified</t>
  </si>
  <si>
    <t>Medical Laboratories</t>
  </si>
  <si>
    <t>Dental Laboratories</t>
  </si>
  <si>
    <t>Commercial Physical and Biological Research</t>
  </si>
  <si>
    <t>Testing Laboratories</t>
  </si>
  <si>
    <t>Management Consulting Services</t>
  </si>
  <si>
    <t>Regulation, Licensing, and Inspection of Miscellaneous Commercial Sectors</t>
  </si>
  <si>
    <t>National Security</t>
  </si>
  <si>
    <t>11</t>
  </si>
  <si>
    <t>04</t>
  </si>
  <si>
    <t>03</t>
  </si>
  <si>
    <t>02</t>
  </si>
  <si>
    <t>01</t>
  </si>
  <si>
    <t>12</t>
  </si>
  <si>
    <t>Fiscal</t>
  </si>
  <si>
    <t xml:space="preserve">Sales per Man Hour </t>
  </si>
  <si>
    <t xml:space="preserve">Hours Worked </t>
  </si>
  <si>
    <t xml:space="preserve"> </t>
  </si>
  <si>
    <t>CUSTOMER_NAME</t>
  </si>
  <si>
    <t>TOTAL_SALES</t>
  </si>
  <si>
    <t>RU_YEAR</t>
  </si>
  <si>
    <t>RU_MONTH</t>
  </si>
  <si>
    <t>OPEN_ORDER_TOTAL</t>
  </si>
  <si>
    <t>OPEN_ORDER_LINES</t>
  </si>
  <si>
    <t>PER_OF_BUDGET</t>
  </si>
  <si>
    <t>SIC_CODE</t>
  </si>
  <si>
    <t>CUT1</t>
  </si>
  <si>
    <t>OE</t>
  </si>
  <si>
    <t>CUT</t>
  </si>
  <si>
    <t>FM</t>
  </si>
  <si>
    <t>PROD</t>
  </si>
  <si>
    <t>ME</t>
  </si>
  <si>
    <t>BRAN</t>
  </si>
  <si>
    <t>AMS2</t>
  </si>
  <si>
    <t>NDF1</t>
  </si>
  <si>
    <t>ST</t>
  </si>
  <si>
    <t>DM</t>
  </si>
  <si>
    <t>2ND1</t>
  </si>
  <si>
    <t>WF02</t>
  </si>
  <si>
    <t>BR</t>
  </si>
  <si>
    <t>GEN</t>
  </si>
  <si>
    <t>PCK1</t>
  </si>
  <si>
    <t>PACK</t>
  </si>
  <si>
    <t>ADMI</t>
  </si>
  <si>
    <t>FW</t>
  </si>
  <si>
    <t>2014</t>
  </si>
  <si>
    <t>NOR</t>
  </si>
  <si>
    <t>TFO</t>
  </si>
  <si>
    <t>AVG_SALES_INV</t>
  </si>
  <si>
    <t>AVG_SALES_UNIT</t>
  </si>
  <si>
    <t>YEAR1</t>
  </si>
  <si>
    <t>YEAR2</t>
  </si>
  <si>
    <t>YEAR3</t>
  </si>
  <si>
    <t>YEAR4</t>
  </si>
  <si>
    <t>YEAR5</t>
  </si>
  <si>
    <t>OPENA</t>
  </si>
  <si>
    <t>GRAND_TOTAL</t>
  </si>
  <si>
    <t>ACTUAL</t>
  </si>
  <si>
    <t>ESTIMATE</t>
  </si>
  <si>
    <t>PERCENTAGE</t>
  </si>
  <si>
    <t>REWORK</t>
  </si>
  <si>
    <t>RW_PERCENT_SALES</t>
  </si>
  <si>
    <t>CODE</t>
  </si>
  <si>
    <t>DEPT</t>
  </si>
  <si>
    <t>PERCENT_WON</t>
  </si>
  <si>
    <t>PERCENT_LOSS</t>
  </si>
  <si>
    <t>PERCENT_CLOSE</t>
  </si>
  <si>
    <t>PERCENT_OPEN</t>
  </si>
  <si>
    <t>AVERAGE</t>
  </si>
  <si>
    <t>MONTH_CHAR</t>
  </si>
  <si>
    <t>PERIOD</t>
  </si>
  <si>
    <t>Open Orders - All</t>
  </si>
  <si>
    <t>Total Open Order</t>
  </si>
  <si>
    <t>Total Open Order $'s</t>
  </si>
  <si>
    <t>Total Order Lines</t>
  </si>
  <si>
    <t>Open Orders - All - by Month Due (including # of lines)</t>
  </si>
  <si>
    <t xml:space="preserve">BUDGET </t>
  </si>
  <si>
    <t>Sales vs Budget</t>
  </si>
  <si>
    <t xml:space="preserve">Sales vs Budget - Prior Year </t>
  </si>
  <si>
    <t xml:space="preserve">Sales vs Budget - Current Year </t>
  </si>
  <si>
    <t>Average GM %</t>
  </si>
  <si>
    <t>Year/Month</t>
  </si>
  <si>
    <t xml:space="preserve">Average GM % </t>
  </si>
  <si>
    <t>Average GM % - Prior Year</t>
  </si>
  <si>
    <t>Sales by SIC Code</t>
  </si>
  <si>
    <t>Sun of Sales</t>
  </si>
  <si>
    <t>Sales by Salesman</t>
  </si>
  <si>
    <t>Avg $ per Unit Sold</t>
  </si>
  <si>
    <t>Avg $ Invoice</t>
  </si>
  <si>
    <t>Avg Invoice $ Amout per Month and Avg $ of Unit Sold per Month</t>
  </si>
  <si>
    <t>Sales by Customer - per Year</t>
  </si>
  <si>
    <t>Actual Versus Estimate Total Costs per Closed Work Orders</t>
  </si>
  <si>
    <t>Estimated Material vs Actual Material Costs per Closed Work Orders</t>
  </si>
  <si>
    <t>Avg % of Estimate</t>
  </si>
  <si>
    <t>Actual vs Estimate Total Costs per Closed Work Orders</t>
  </si>
  <si>
    <t>Actual vs Estimate Labor Hours per Closed Work Order</t>
  </si>
  <si>
    <t xml:space="preserve">Estimate </t>
  </si>
  <si>
    <t xml:space="preserve">Actual </t>
  </si>
  <si>
    <t xml:space="preserve">Estimate  </t>
  </si>
  <si>
    <t>Avg % Estimate</t>
  </si>
  <si>
    <t xml:space="preserve">Actual  </t>
  </si>
  <si>
    <t xml:space="preserve">Avg % Estimate </t>
  </si>
  <si>
    <t>Actual Versus Estimate Total Costs per Closed Work Orders - PY</t>
  </si>
  <si>
    <t>Actual Versus Estimate Total Costs per Closed Work Orders - CY</t>
  </si>
  <si>
    <t>Quote - % Win/Loss/Close/Open</t>
  </si>
  <si>
    <t>% Loss</t>
  </si>
  <si>
    <t>% Close</t>
  </si>
  <si>
    <t>% Open</t>
  </si>
  <si>
    <t>% of Quote Won/Loss/Close or Open</t>
  </si>
  <si>
    <t>% of Quote Won/Loss/Close or Open - PY</t>
  </si>
  <si>
    <t>% of Quote Won/Loss/Close or Open - CY</t>
  </si>
  <si>
    <t>Avg $ Quote (MIN Value)</t>
  </si>
  <si>
    <t>Average Quote Turn Around Days</t>
  </si>
  <si>
    <t>Avg Quote $ (MIN Value)</t>
  </si>
  <si>
    <t>RMA_COUNT</t>
  </si>
  <si>
    <t>HOURS_AVAIL</t>
  </si>
  <si>
    <t>WC_UTIL</t>
  </si>
  <si>
    <t>UNITS_PRODUCED</t>
  </si>
  <si>
    <t>UNITS_SCRAPPED</t>
  </si>
  <si>
    <t>PERCENT_SCRAP</t>
  </si>
  <si>
    <t>PERCENT_ON_TIME</t>
  </si>
  <si>
    <t>FISCAL</t>
  </si>
  <si>
    <t>HOURS_EST</t>
  </si>
  <si>
    <t>HOURS_ACT</t>
  </si>
  <si>
    <t>PERCENT_OF</t>
  </si>
  <si>
    <t>AVG_COST</t>
  </si>
  <si>
    <t>BUDGET_BELOW</t>
  </si>
  <si>
    <t>AR Open Items</t>
  </si>
  <si>
    <t>Top 5 YTD Purchases by Vendor</t>
  </si>
  <si>
    <t>Accounts Payable Open Items</t>
  </si>
  <si>
    <t>Sum of TOTAL</t>
  </si>
  <si>
    <t>P16 Transactions</t>
  </si>
  <si>
    <t>Workcenter Utilization</t>
  </si>
  <si>
    <t>Units Produced</t>
  </si>
  <si>
    <t xml:space="preserve">% Scrapped </t>
  </si>
  <si>
    <t>Units Scrapped per Units Produced</t>
  </si>
  <si>
    <t>P16 Transactions - Prior YTD</t>
  </si>
  <si>
    <t>P16 Transactions - Current YTD</t>
  </si>
  <si>
    <t>WC Utilization %</t>
  </si>
  <si>
    <t xml:space="preserve">Year </t>
  </si>
  <si>
    <t xml:space="preserve">Period  </t>
  </si>
  <si>
    <t>Workcenter Utilization Rates</t>
  </si>
  <si>
    <t>Workcenter Utilization Rates - Prior YTD</t>
  </si>
  <si>
    <t>Workcenter Utilization Rates - Current YTD</t>
  </si>
  <si>
    <t>Units Scrapped vs Units Produced</t>
  </si>
  <si>
    <t>Units Scrapped vs Units Produced Prior YTD</t>
  </si>
  <si>
    <t>Units Scrapped vs Units Produced Current YTD</t>
  </si>
  <si>
    <t xml:space="preserve">Early </t>
  </si>
  <si>
    <t>On-Time Delivery</t>
  </si>
  <si>
    <t>% on Time - Prior YTD</t>
  </si>
  <si>
    <t>% on Time - Current YTD</t>
  </si>
  <si>
    <t>Average Labor Cost per Unit Produced</t>
  </si>
  <si>
    <t>Average Labor Cost per Unit Produced - Prior YTD</t>
  </si>
  <si>
    <t>Average Labor Cost per Unit Produced - Current YTD</t>
  </si>
  <si>
    <t>Avg Cost</t>
  </si>
  <si>
    <t>Total RMA's</t>
  </si>
  <si>
    <t>Rework Costs as a % of Sales</t>
  </si>
  <si>
    <t>Cost of Rework as a % of Sales - Prior Year</t>
  </si>
  <si>
    <t>Cost of Rework as a % of Sales - Current  Year</t>
  </si>
  <si>
    <t>Period</t>
  </si>
  <si>
    <t>$ Cost</t>
  </si>
  <si>
    <t xml:space="preserve">Units </t>
  </si>
  <si>
    <t xml:space="preserve">Period </t>
  </si>
  <si>
    <t>Quality Costs and Units by Scrap Code</t>
  </si>
  <si>
    <t>Quality Scrapped Costs and Units - Prior Year</t>
  </si>
  <si>
    <t>Quality Scrapped Costs and Units - Current Year</t>
  </si>
  <si>
    <t>Quality Costs by Department</t>
  </si>
  <si>
    <t>Total Costs of Rework</t>
  </si>
  <si>
    <t>Cost of Quality by Department</t>
  </si>
  <si>
    <t>Rework % of Sales</t>
  </si>
  <si>
    <t>Cost of Scrap by Scrap Code</t>
  </si>
  <si>
    <t>CURRENT_A</t>
  </si>
  <si>
    <t>DAYS_30</t>
  </si>
  <si>
    <t>DAYS_60</t>
  </si>
  <si>
    <t>DAYS_90</t>
  </si>
  <si>
    <t>Sales by SIC Code - PY</t>
  </si>
  <si>
    <t>Sales by SIC Code - CY</t>
  </si>
  <si>
    <t>Prior Year + 2</t>
  </si>
  <si>
    <t>Customer Sales plus Open Orders</t>
  </si>
  <si>
    <t>Open Orders</t>
  </si>
  <si>
    <t>Estimated vs Actual Labor Hours per Closed Work Orders</t>
  </si>
  <si>
    <t xml:space="preserve">Actual   </t>
  </si>
  <si>
    <t>Production Hours Estimate</t>
  </si>
  <si>
    <t>Production Hours Actual</t>
  </si>
  <si>
    <t>Production Hours Est vs Act</t>
  </si>
  <si>
    <t>Production Hours Est vs Act - PY</t>
  </si>
  <si>
    <t>Production Hours Est vs Act - CY</t>
  </si>
  <si>
    <t>Hours Est</t>
  </si>
  <si>
    <t>Hours Act</t>
  </si>
  <si>
    <t>Average Turn Around Days - PY</t>
  </si>
  <si>
    <t>Average Turn Around Days - CY</t>
  </si>
  <si>
    <t>Averge Quote $ per Month</t>
  </si>
  <si>
    <t>Average Quote $ - PY</t>
  </si>
  <si>
    <t>Average Quote $ - CY</t>
  </si>
  <si>
    <t>#50</t>
  </si>
  <si>
    <t>#51</t>
  </si>
  <si>
    <t>#52</t>
  </si>
  <si>
    <t>RISING STAR</t>
  </si>
  <si>
    <t>TARGET</t>
  </si>
  <si>
    <t>TOP10</t>
  </si>
  <si>
    <t>BHLE</t>
  </si>
  <si>
    <t>BUTN</t>
  </si>
  <si>
    <t>BTK1</t>
  </si>
  <si>
    <t>NDF3</t>
  </si>
  <si>
    <t>2ND2</t>
  </si>
  <si>
    <t>EMB</t>
  </si>
  <si>
    <t>ATCT</t>
  </si>
  <si>
    <t>SBCT</t>
  </si>
  <si>
    <t>SBTR</t>
  </si>
  <si>
    <t>NDF2</t>
  </si>
  <si>
    <t>SFL</t>
  </si>
  <si>
    <t>5TH1</t>
  </si>
  <si>
    <t>BTK2</t>
  </si>
  <si>
    <t>WSTB</t>
  </si>
  <si>
    <t>HTPS</t>
  </si>
  <si>
    <t>BTK3</t>
  </si>
  <si>
    <t>AMS3</t>
  </si>
  <si>
    <t>BND1</t>
  </si>
  <si>
    <t>ZBND</t>
  </si>
  <si>
    <t>3TH1</t>
  </si>
  <si>
    <t>TPCT</t>
  </si>
  <si>
    <t>PCK3</t>
  </si>
  <si>
    <t>CVSM</t>
  </si>
  <si>
    <t>PCK2</t>
  </si>
  <si>
    <t>VCUM</t>
  </si>
  <si>
    <t>CKPS</t>
  </si>
  <si>
    <t>RVT1</t>
  </si>
  <si>
    <t>HDWF</t>
  </si>
  <si>
    <t>BND3</t>
  </si>
  <si>
    <t>BND2</t>
  </si>
  <si>
    <t>BND4</t>
  </si>
  <si>
    <t>WF03</t>
  </si>
  <si>
    <t>WF04</t>
  </si>
  <si>
    <t>DOME</t>
  </si>
  <si>
    <t>WF06</t>
  </si>
  <si>
    <t>WF05</t>
  </si>
  <si>
    <t>2ND3</t>
  </si>
  <si>
    <t>WF07</t>
  </si>
  <si>
    <t>NDF4</t>
  </si>
  <si>
    <t>AMS1</t>
  </si>
  <si>
    <t>NDF5</t>
  </si>
  <si>
    <t>WF08</t>
  </si>
  <si>
    <t>5TH2</t>
  </si>
  <si>
    <t>2ND4</t>
  </si>
  <si>
    <t>MCT1</t>
  </si>
  <si>
    <t>3TH2</t>
  </si>
  <si>
    <t>MCT2</t>
  </si>
  <si>
    <t>WF09</t>
  </si>
  <si>
    <t>NDF6</t>
  </si>
  <si>
    <t>RVT2</t>
  </si>
  <si>
    <t>WF10</t>
  </si>
  <si>
    <t>NDF7</t>
  </si>
  <si>
    <t>3TH3</t>
  </si>
  <si>
    <t>EYLT</t>
  </si>
  <si>
    <t>PKPS</t>
  </si>
  <si>
    <t>CYHD</t>
  </si>
  <si>
    <t>WPP1</t>
  </si>
  <si>
    <t>3TH4</t>
  </si>
  <si>
    <t>BND5</t>
  </si>
  <si>
    <t>2013</t>
  </si>
  <si>
    <t>7</t>
  </si>
  <si>
    <t>8</t>
  </si>
  <si>
    <t>9</t>
  </si>
  <si>
    <t>1</t>
  </si>
  <si>
    <t>2</t>
  </si>
  <si>
    <t>3</t>
  </si>
  <si>
    <t>4</t>
  </si>
  <si>
    <t>5</t>
  </si>
  <si>
    <t>6</t>
  </si>
  <si>
    <t>0</t>
  </si>
  <si>
    <t>STIAKL</t>
  </si>
  <si>
    <t>FRUHST</t>
  </si>
  <si>
    <t>FARHOF</t>
  </si>
  <si>
    <t>STYCHC</t>
  </si>
  <si>
    <t>OMCCHC</t>
  </si>
  <si>
    <t>NZSHRB</t>
  </si>
  <si>
    <t>BAYGSB</t>
  </si>
  <si>
    <t>STJACK</t>
  </si>
  <si>
    <t>NZSDUN</t>
  </si>
  <si>
    <t>WOOSAA</t>
  </si>
  <si>
    <t>UNIENG</t>
  </si>
  <si>
    <t>STIKNX</t>
  </si>
  <si>
    <t>_x0000__x0000__x0000_</t>
  </si>
  <si>
    <t>NZCUST</t>
  </si>
  <si>
    <t>ENGTEX</t>
  </si>
  <si>
    <t>GERBER</t>
  </si>
  <si>
    <t>#1 - Open Orders by Customer</t>
  </si>
  <si>
    <t xml:space="preserve">#2 - Total Open Orders by Due Date </t>
  </si>
  <si>
    <t>#3 - Sales vs Budget</t>
  </si>
  <si>
    <t>#6 - Average Gross Margin %</t>
  </si>
  <si>
    <t>#9 - Sales by Industry Code</t>
  </si>
  <si>
    <t>#12 - Customer Concentration</t>
  </si>
  <si>
    <t>Avg Invoice $ Amout per Month and Avg $ of Unit Sold per Month - PY</t>
  </si>
  <si>
    <t>#14 - Average $ Invoiced per Month/Average $ of Unit Sold per Month</t>
  </si>
  <si>
    <t>Prior Year + 1</t>
  </si>
  <si>
    <t>Year + 3</t>
  </si>
  <si>
    <t>#22 - Customer History - Past 5 Years</t>
  </si>
  <si>
    <t>#24 - Customer Sales and Open Orders</t>
  </si>
  <si>
    <t xml:space="preserve">Sales  </t>
  </si>
  <si>
    <t>#17 - Sales by PL</t>
  </si>
  <si>
    <t>Budget vs Actual - Top 10</t>
  </si>
  <si>
    <t>Budget vs Actual - Rising Star</t>
  </si>
  <si>
    <t>Budget vs Actual - Target</t>
  </si>
  <si>
    <t>Category</t>
  </si>
  <si>
    <t>Budget % Achieved</t>
  </si>
  <si>
    <t>Below Budget</t>
  </si>
  <si>
    <t>#18 - % of Budget Achieved - Top 10</t>
  </si>
  <si>
    <t>#19 - % of Budget Achieved - Rising Star</t>
  </si>
  <si>
    <t>Below Budget %</t>
  </si>
  <si>
    <t>#20 - % of Budget Achieved - Target</t>
  </si>
  <si>
    <t>% of Budget</t>
  </si>
  <si>
    <t>#21 - % of Budget Achieved - Other</t>
  </si>
  <si>
    <t>RMA'S</t>
  </si>
  <si>
    <t xml:space="preserve">Sales   </t>
  </si>
  <si>
    <t>Sales by Industry Code - PY</t>
  </si>
  <si>
    <t>Sales by Industry Code - CY</t>
  </si>
  <si>
    <t>#80</t>
  </si>
  <si>
    <t>#81</t>
  </si>
  <si>
    <t xml:space="preserve">Late  </t>
  </si>
  <si>
    <t>% On-Time</t>
  </si>
  <si>
    <t xml:space="preserve">On-Time  </t>
  </si>
  <si>
    <t>Revenue Per Labor Hour</t>
  </si>
  <si>
    <t>Sum of Sales per Man Hour</t>
  </si>
  <si>
    <t>Avg GM %</t>
  </si>
  <si>
    <t>#17A - GM by PL</t>
  </si>
  <si>
    <t>% Won</t>
  </si>
  <si>
    <t xml:space="preserve">Customer </t>
  </si>
  <si>
    <t>Labor Hours</t>
  </si>
  <si>
    <t xml:space="preserve">(Need to link to </t>
  </si>
  <si>
    <t>specific SIC code</t>
  </si>
  <si>
    <t>that you want to track)</t>
  </si>
  <si>
    <t>AAABBB</t>
  </si>
  <si>
    <t>HOTH BASE</t>
  </si>
  <si>
    <t>EMP001</t>
  </si>
  <si>
    <t>TATOOINE BASE 4</t>
  </si>
  <si>
    <t>EMP002</t>
  </si>
  <si>
    <t>BESPIN BASE</t>
  </si>
  <si>
    <t>EMP003</t>
  </si>
  <si>
    <t>ALDERAAN AIRPORT</t>
  </si>
  <si>
    <t>EMP004</t>
  </si>
  <si>
    <t>CORUSCANT CRATER</t>
  </si>
  <si>
    <t>EMP005</t>
  </si>
  <si>
    <t>DAGOBAH</t>
  </si>
  <si>
    <t>EMP006</t>
  </si>
  <si>
    <t>KAMINO CENTER</t>
  </si>
  <si>
    <t>EMP007</t>
  </si>
  <si>
    <t>MUSTAFAAR SYSTEMS</t>
  </si>
  <si>
    <t>EMP008</t>
  </si>
  <si>
    <t>MYGEETO BUILDERS</t>
  </si>
  <si>
    <t>EMP009</t>
  </si>
  <si>
    <t>DEATH STAR BUILDERS</t>
  </si>
  <si>
    <t>EMP010</t>
  </si>
  <si>
    <t>NEUTRAL MAKERS</t>
  </si>
  <si>
    <t>NEU001</t>
  </si>
  <si>
    <t>KASHYYK SHOPPING CENTRE</t>
  </si>
  <si>
    <t>REB001</t>
  </si>
  <si>
    <t>HOTH REBEL BASE</t>
  </si>
  <si>
    <t>REB002</t>
  </si>
  <si>
    <t>ENDOR BASE</t>
  </si>
  <si>
    <t>REB003</t>
  </si>
  <si>
    <t>DATHOMIR CRADLE</t>
  </si>
  <si>
    <t>REB004</t>
  </si>
  <si>
    <t>JAKKU COMPANY</t>
  </si>
  <si>
    <t>REB005</t>
  </si>
  <si>
    <t>GEONOSIS FACTORY</t>
  </si>
  <si>
    <t>REB006</t>
  </si>
  <si>
    <t>LOTHAL REBEL BASE</t>
  </si>
  <si>
    <t>REB007</t>
  </si>
  <si>
    <t>REB008</t>
  </si>
  <si>
    <t>FELUCIA BASE</t>
  </si>
  <si>
    <t>REB009</t>
  </si>
  <si>
    <t>REBELS RULE!</t>
  </si>
  <si>
    <t>REB011</t>
  </si>
  <si>
    <t>NABOO BASE</t>
  </si>
  <si>
    <t>REB012</t>
  </si>
  <si>
    <t>NEW RYLOTH</t>
  </si>
  <si>
    <t>REB013</t>
  </si>
  <si>
    <t>UTAPAU BASE</t>
  </si>
  <si>
    <t>REB014</t>
  </si>
  <si>
    <t>GIANT STARSHIP</t>
  </si>
  <si>
    <t>REB015</t>
  </si>
  <si>
    <t>KIWI SHOPPERS</t>
  </si>
  <si>
    <t>ENGINEERS R US</t>
  </si>
  <si>
    <t>SCPRIN</t>
  </si>
  <si>
    <t>SOUTH CITY NEW JERSEY</t>
  </si>
  <si>
    <t>GREAT ESCAPE PARADISE</t>
  </si>
  <si>
    <t>KATABO</t>
  </si>
  <si>
    <t>THUNDERBOLD INDUSTRIES</t>
  </si>
  <si>
    <t xml:space="preserve">Rework Costs % of Sales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</si>
</sst>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44" formatCode="_(&quot;$&quot;* #,##0.00_);_(&quot;$&quot;* \(#,##0.00\);_(&quot;$&quot;* &quot;-&quot;??_);_(@_)"/>
    <numFmt numFmtId="43" formatCode="_(* #,##0.00_);_(* \(#,##0.00\);_(* &quot;-&quot;??_);_(@_)"/>
    <numFmt numFmtId="164" formatCode="&quot;$&quot;#,##0;\-&quot;$&quot;#,##0"/>
    <numFmt numFmtId="165" formatCode="_-&quot;$&quot;* #,##0.00_-;\-&quot;$&quot;* #,##0.00_-;_-&quot;$&quot;* &quot;-&quot;??_-;_-@_-"/>
    <numFmt numFmtId="166" formatCode="_-&quot;$&quot;* #,##0_-;\-&quot;$&quot;* #,##0_-;_-&quot;$&quot;* &quot;-&quot;??_-;_-@_-"/>
    <numFmt numFmtId="167" formatCode="_(&quot;$&quot;* #,##0_);_(&quot;$&quot;* \(#,##0\);_(&quot;$&quot;* &quot;-&quot;??_);_(@_)"/>
    <numFmt numFmtId="168" formatCode="0.0%"/>
    <numFmt numFmtId="169" formatCode="0.00_);[Red]\(0.00\)"/>
    <numFmt numFmtId="170" formatCode="&quot;$&quot;#,##0.00"/>
    <numFmt numFmtId="171" formatCode="&quot;$&quot;#,##0"/>
    <numFmt numFmtId="172" formatCode="0.000%"/>
    <numFmt numFmtId="173" formatCode="0.0000%"/>
    <numFmt numFmtId="174" formatCode="0.00000%"/>
  </numFmts>
  <fonts count="43" x14ac:knownFonts="1">
    <font>
      <sz val="11"/>
      <color theme="1"/>
      <name val="Calibri"/>
      <family val="2"/>
      <scheme val="minor"/>
    </font>
    <font>
      <sz val="10"/>
      <color indexed="8"/>
      <name val="Arial"/>
      <family val="2"/>
    </font>
    <font>
      <sz val="10"/>
      <color rgb="FF000000"/>
      <name val="Arial"/>
      <family val="2"/>
    </font>
    <font>
      <sz val="10"/>
      <name val="Arial"/>
      <family val="2"/>
    </font>
    <font>
      <b/>
      <sz val="14"/>
      <color theme="1"/>
      <name val="Calibri"/>
      <family val="2"/>
      <scheme val="minor"/>
    </font>
    <font>
      <sz val="11"/>
      <color theme="1"/>
      <name val="Calibri"/>
      <family val="2"/>
      <scheme val="minor"/>
    </font>
    <font>
      <b/>
      <sz val="11"/>
      <color theme="1"/>
      <name val="Calibri"/>
      <family val="2"/>
      <scheme val="minor"/>
    </font>
    <font>
      <b/>
      <sz val="20"/>
      <name val="Arial"/>
      <family val="2"/>
    </font>
    <font>
      <b/>
      <sz val="10"/>
      <name val="Arial"/>
      <family val="2"/>
    </font>
    <font>
      <b/>
      <sz val="9"/>
      <name val="Arial"/>
      <family val="2"/>
    </font>
    <font>
      <sz val="9"/>
      <name val="Arial"/>
      <family val="2"/>
    </font>
    <font>
      <b/>
      <sz val="16"/>
      <name val="Arial"/>
      <family val="2"/>
    </font>
    <font>
      <b/>
      <sz val="12"/>
      <name val="Arial"/>
      <family val="2"/>
    </font>
    <font>
      <sz val="14"/>
      <name val="Arial"/>
      <family val="2"/>
    </font>
    <font>
      <b/>
      <sz val="14"/>
      <name val="Arial"/>
      <family val="2"/>
    </font>
    <font>
      <sz val="11"/>
      <color rgb="FF000000"/>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sz val="12"/>
      <name val="Calibri"/>
      <family val="2"/>
      <scheme val="minor"/>
    </font>
    <font>
      <b/>
      <sz val="12"/>
      <name val="Calibri"/>
      <family val="2"/>
      <scheme val="minor"/>
    </font>
    <font>
      <sz val="9"/>
      <color theme="1"/>
      <name val="Arial"/>
      <family val="2"/>
    </font>
    <font>
      <b/>
      <sz val="10"/>
      <color theme="1"/>
      <name val="Arial"/>
      <family val="2"/>
    </font>
    <font>
      <b/>
      <sz val="16"/>
      <color theme="1"/>
      <name val="Calibri"/>
      <family val="2"/>
      <scheme val="minor"/>
    </font>
    <font>
      <sz val="9"/>
      <color theme="1"/>
      <name val="Calibri"/>
      <family val="2"/>
      <scheme val="minor"/>
    </font>
    <font>
      <b/>
      <sz val="11"/>
      <color rgb="FF000000"/>
      <name val="Calibri"/>
      <family val="2"/>
    </font>
    <font>
      <sz val="11"/>
      <name val="Calibri"/>
      <family val="2"/>
      <scheme val="minor"/>
    </font>
    <font>
      <b/>
      <sz val="14"/>
      <color theme="1"/>
      <name val="Arial"/>
      <family val="2"/>
    </font>
    <font>
      <sz val="12"/>
      <name val="Arial"/>
      <family val="2"/>
    </font>
    <font>
      <sz val="12"/>
      <color theme="1"/>
      <name val="Arial"/>
      <family val="2"/>
    </font>
    <font>
      <b/>
      <sz val="12"/>
      <color theme="1"/>
      <name val="Arial"/>
      <family val="2"/>
    </font>
    <font>
      <b/>
      <sz val="11"/>
      <color theme="1"/>
      <name val="Arial"/>
      <family val="2"/>
    </font>
    <font>
      <sz val="14"/>
      <name val="Calibri"/>
      <family val="2"/>
      <scheme val="minor"/>
    </font>
    <font>
      <u/>
      <sz val="11"/>
      <color theme="10"/>
      <name val="Calibri"/>
      <family val="2"/>
      <scheme val="minor"/>
    </font>
    <font>
      <sz val="10"/>
      <color theme="1"/>
      <name val="Calibri"/>
      <family val="2"/>
      <scheme val="minor"/>
    </font>
    <font>
      <sz val="10"/>
      <color theme="1"/>
      <name val="Arial"/>
      <family val="2"/>
    </font>
    <font>
      <i/>
      <sz val="9"/>
      <color theme="1"/>
      <name val="Calibri"/>
      <family val="2"/>
      <scheme val="minor"/>
    </font>
    <font>
      <i/>
      <sz val="11"/>
      <color theme="1"/>
      <name val="Calibri"/>
      <family val="2"/>
      <scheme val="minor"/>
    </font>
    <font>
      <sz val="16"/>
      <name val="Arial"/>
      <family val="2"/>
    </font>
    <font>
      <i/>
      <sz val="10"/>
      <color theme="1"/>
      <name val="Calibri"/>
      <family val="2"/>
      <scheme val="minor"/>
    </font>
    <font>
      <b/>
      <sz val="14"/>
      <color indexed="8"/>
      <name val="Calibri"/>
      <family val="2"/>
    </font>
    <font>
      <sz val="14"/>
      <color indexed="8"/>
      <name val="Calibri"/>
      <family val="2"/>
    </font>
    <font>
      <u/>
      <sz val="11"/>
      <color theme="1"/>
      <name val="Calibri"/>
      <family val="2"/>
      <scheme val="minor"/>
    </font>
  </fonts>
  <fills count="40">
    <fill>
      <patternFill patternType="none"/>
    </fill>
    <fill>
      <patternFill patternType="gray125"/>
    </fill>
    <fill>
      <patternFill patternType="solid">
        <fgColor rgb="FFA7C4FF"/>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69696"/>
        <bgColor indexed="64"/>
      </patternFill>
    </fill>
    <fill>
      <patternFill patternType="solid">
        <fgColor rgb="FF86B0E2"/>
        <bgColor indexed="64"/>
      </patternFill>
    </fill>
    <fill>
      <patternFill patternType="solid">
        <fgColor rgb="FF82A2FE"/>
        <bgColor indexed="64"/>
      </patternFill>
    </fill>
    <fill>
      <patternFill patternType="solid">
        <fgColor rgb="FF6699FF"/>
        <bgColor indexed="64"/>
      </patternFill>
    </fill>
    <fill>
      <patternFill patternType="solid">
        <fgColor rgb="FF4382FF"/>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C2FEF4"/>
        <bgColor indexed="64"/>
      </patternFill>
    </fill>
    <fill>
      <patternFill patternType="solid">
        <fgColor rgb="FFA7FFE2"/>
        <bgColor indexed="64"/>
      </patternFill>
    </fill>
    <fill>
      <patternFill patternType="solid">
        <fgColor rgb="FF72FEFB"/>
        <bgColor indexed="64"/>
      </patternFill>
    </fill>
    <fill>
      <patternFill patternType="solid">
        <fgColor rgb="FF48FEFA"/>
        <bgColor indexed="64"/>
      </patternFill>
    </fill>
    <fill>
      <patternFill patternType="solid">
        <fgColor rgb="FFCEFFC9"/>
        <bgColor indexed="64"/>
      </patternFill>
    </fill>
    <fill>
      <patternFill patternType="solid">
        <fgColor rgb="FFBAFE98"/>
        <bgColor indexed="64"/>
      </patternFill>
    </fill>
    <fill>
      <patternFill patternType="solid">
        <fgColor rgb="FF84FD6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66FFFF"/>
        <bgColor indexed="64"/>
      </patternFill>
    </fill>
    <fill>
      <patternFill patternType="solid">
        <fgColor rgb="FFD9FFD5"/>
        <bgColor indexed="64"/>
      </patternFill>
    </fill>
    <fill>
      <patternFill patternType="solid">
        <fgColor rgb="FFD3FEBE"/>
        <bgColor indexed="64"/>
      </patternFill>
    </fill>
    <fill>
      <patternFill patternType="solid">
        <fgColor rgb="FFC1FEB0"/>
        <bgColor indexed="64"/>
      </patternFill>
    </fill>
    <fill>
      <patternFill patternType="solid">
        <fgColor rgb="FFA2FE82"/>
        <bgColor indexed="64"/>
      </patternFill>
    </fill>
    <fill>
      <patternFill patternType="solid">
        <fgColor rgb="FF66FF66"/>
        <bgColor indexed="64"/>
      </patternFill>
    </fill>
    <fill>
      <patternFill patternType="solid">
        <fgColor rgb="FFA8FE90"/>
        <bgColor indexed="64"/>
      </patternFill>
    </fill>
    <fill>
      <patternFill patternType="solid">
        <fgColor rgb="FFC0FDA1"/>
        <bgColor indexed="64"/>
      </patternFill>
    </fill>
    <fill>
      <patternFill patternType="solid">
        <fgColor rgb="FF8EFE66"/>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34998626667073579"/>
        <bgColor indexed="64"/>
      </patternFill>
    </fill>
  </fills>
  <borders count="26">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11">
    <xf numFmtId="0" fontId="0" fillId="0" borderId="0"/>
    <xf numFmtId="0" fontId="1" fillId="0" borderId="0">
      <alignment vertical="top"/>
    </xf>
    <xf numFmtId="44" fontId="1" fillId="0" borderId="0" applyFont="0" applyFill="0" applyBorder="0" applyAlignment="0" applyProtection="0">
      <alignment vertical="top"/>
    </xf>
    <xf numFmtId="9" fontId="1" fillId="0" borderId="0" applyFont="0" applyFill="0" applyBorder="0" applyAlignment="0" applyProtection="0">
      <alignment vertical="top"/>
    </xf>
    <xf numFmtId="9" fontId="5" fillId="0" borderId="0" applyFont="0" applyFill="0" applyBorder="0" applyAlignment="0" applyProtection="0"/>
    <xf numFmtId="0" fontId="3" fillId="0" borderId="0"/>
    <xf numFmtId="44" fontId="5" fillId="0" borderId="0" applyFont="0" applyFill="0" applyBorder="0" applyAlignment="0" applyProtection="0"/>
    <xf numFmtId="0" fontId="3" fillId="0" borderId="0"/>
    <xf numFmtId="165" fontId="5" fillId="0" borderId="0" applyFont="0" applyFill="0" applyBorder="0" applyAlignment="0" applyProtection="0"/>
    <xf numFmtId="43" fontId="5" fillId="0" borderId="0" applyFont="0" applyFill="0" applyBorder="0" applyAlignment="0" applyProtection="0"/>
    <xf numFmtId="0" fontId="33" fillId="0" borderId="0" applyNumberFormat="0" applyFill="0" applyBorder="0" applyAlignment="0" applyProtection="0"/>
  </cellStyleXfs>
  <cellXfs count="748">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10" fontId="0" fillId="0" borderId="0" xfId="0" applyNumberFormat="1"/>
    <xf numFmtId="0" fontId="0" fillId="0" borderId="0" xfId="0" applyAlignment="1">
      <alignment horizontal="center"/>
    </xf>
    <xf numFmtId="0" fontId="0" fillId="0" borderId="0" xfId="0" applyFill="1" applyBorder="1"/>
    <xf numFmtId="0" fontId="6" fillId="0" borderId="0" xfId="0" applyFont="1" applyFill="1" applyBorder="1" applyAlignment="1">
      <alignment horizontal="center"/>
    </xf>
    <xf numFmtId="0" fontId="6" fillId="0" borderId="0" xfId="0" applyFont="1" applyFill="1" applyBorder="1"/>
    <xf numFmtId="0" fontId="0" fillId="0" borderId="0" xfId="0" applyBorder="1"/>
    <xf numFmtId="0" fontId="0" fillId="0" borderId="2" xfId="0" applyBorder="1"/>
    <xf numFmtId="0" fontId="17" fillId="0" borderId="2" xfId="0" applyFont="1" applyBorder="1" applyAlignment="1">
      <alignment horizontal="center"/>
    </xf>
    <xf numFmtId="0" fontId="17" fillId="0" borderId="4" xfId="0" applyFont="1" applyBorder="1" applyAlignment="1">
      <alignment horizontal="center"/>
    </xf>
    <xf numFmtId="0" fontId="0" fillId="4" borderId="0" xfId="0" applyFill="1"/>
    <xf numFmtId="0" fontId="14" fillId="0" borderId="0" xfId="5" applyFont="1" applyAlignment="1">
      <alignment horizontal="left"/>
    </xf>
    <xf numFmtId="0" fontId="6" fillId="0" borderId="1" xfId="0" applyFont="1" applyBorder="1" applyAlignment="1">
      <alignment horizontal="center"/>
    </xf>
    <xf numFmtId="0" fontId="0" fillId="7" borderId="7" xfId="0" applyFill="1" applyBorder="1"/>
    <xf numFmtId="0" fontId="3" fillId="7" borderId="9" xfId="5" applyFill="1" applyBorder="1"/>
    <xf numFmtId="0" fontId="3" fillId="0" borderId="2" xfId="5" applyBorder="1"/>
    <xf numFmtId="0" fontId="3" fillId="0" borderId="10" xfId="5" applyFill="1" applyBorder="1"/>
    <xf numFmtId="0" fontId="19" fillId="2" borderId="6" xfId="5" applyFont="1" applyFill="1" applyBorder="1"/>
    <xf numFmtId="0" fontId="19" fillId="10" borderId="6" xfId="5" applyFont="1" applyFill="1" applyBorder="1"/>
    <xf numFmtId="0" fontId="19" fillId="11" borderId="6" xfId="5" applyFont="1" applyFill="1" applyBorder="1"/>
    <xf numFmtId="0" fontId="19" fillId="0" borderId="4" xfId="5" applyFont="1" applyBorder="1"/>
    <xf numFmtId="0" fontId="19" fillId="0" borderId="6" xfId="5" applyFont="1" applyBorder="1"/>
    <xf numFmtId="0" fontId="3" fillId="0" borderId="6" xfId="5" applyFill="1" applyBorder="1"/>
    <xf numFmtId="0" fontId="0" fillId="0" borderId="6" xfId="0" applyFill="1" applyBorder="1"/>
    <xf numFmtId="0" fontId="19" fillId="12" borderId="6" xfId="5" applyFont="1" applyFill="1" applyBorder="1"/>
    <xf numFmtId="0" fontId="19" fillId="13" borderId="6" xfId="5" applyFont="1" applyFill="1" applyBorder="1"/>
    <xf numFmtId="0" fontId="0" fillId="0" borderId="6" xfId="0" applyBorder="1"/>
    <xf numFmtId="0" fontId="19" fillId="0" borderId="4" xfId="5" applyFont="1" applyFill="1" applyBorder="1"/>
    <xf numFmtId="0" fontId="19" fillId="15" borderId="6" xfId="5" applyFont="1" applyFill="1" applyBorder="1"/>
    <xf numFmtId="0" fontId="19" fillId="16" borderId="6" xfId="5" applyFont="1" applyFill="1" applyBorder="1"/>
    <xf numFmtId="0" fontId="19" fillId="0" borderId="6" xfId="5" applyFont="1" applyFill="1" applyBorder="1"/>
    <xf numFmtId="0" fontId="17" fillId="4" borderId="6" xfId="0" applyFont="1" applyFill="1" applyBorder="1"/>
    <xf numFmtId="0" fontId="17" fillId="5" borderId="6" xfId="0" applyFont="1" applyFill="1" applyBorder="1"/>
    <xf numFmtId="0" fontId="17" fillId="3" borderId="6" xfId="0" applyFont="1" applyFill="1" applyBorder="1"/>
    <xf numFmtId="0" fontId="17" fillId="0" borderId="4" xfId="0" applyFont="1" applyFill="1" applyBorder="1"/>
    <xf numFmtId="0" fontId="0" fillId="0" borderId="0" xfId="0" applyFill="1"/>
    <xf numFmtId="0" fontId="17" fillId="0" borderId="6" xfId="0" applyFont="1" applyFill="1" applyBorder="1"/>
    <xf numFmtId="0" fontId="17" fillId="18" borderId="6" xfId="0" applyFont="1" applyFill="1" applyBorder="1"/>
    <xf numFmtId="0" fontId="17" fillId="19" borderId="6" xfId="0" applyFont="1" applyFill="1" applyBorder="1"/>
    <xf numFmtId="0" fontId="19" fillId="0" borderId="2" xfId="5" applyFont="1" applyBorder="1"/>
    <xf numFmtId="0" fontId="0" fillId="0" borderId="0" xfId="0" applyFill="1" applyBorder="1" applyAlignment="1">
      <alignment horizontal="center"/>
    </xf>
    <xf numFmtId="0" fontId="20" fillId="21" borderId="3" xfId="5" applyFont="1" applyFill="1" applyBorder="1" applyAlignment="1">
      <alignment horizontal="center"/>
    </xf>
    <xf numFmtId="0" fontId="19" fillId="0" borderId="6" xfId="5" applyFont="1" applyFill="1" applyBorder="1" applyAlignment="1">
      <alignment horizontal="center"/>
    </xf>
    <xf numFmtId="0" fontId="19" fillId="2" borderId="6" xfId="5" applyFont="1" applyFill="1" applyBorder="1" applyAlignment="1">
      <alignment horizontal="center"/>
    </xf>
    <xf numFmtId="0" fontId="19" fillId="9" borderId="6" xfId="5" applyFont="1" applyFill="1" applyBorder="1" applyAlignment="1">
      <alignment horizontal="center"/>
    </xf>
    <xf numFmtId="0" fontId="19" fillId="10" borderId="6" xfId="5" applyFont="1" applyFill="1" applyBorder="1" applyAlignment="1">
      <alignment horizontal="center"/>
    </xf>
    <xf numFmtId="0" fontId="19" fillId="11" borderId="6" xfId="5" applyFont="1" applyFill="1" applyBorder="1" applyAlignment="1">
      <alignment horizontal="center"/>
    </xf>
    <xf numFmtId="0" fontId="19" fillId="0" borderId="2" xfId="5" applyFont="1" applyFill="1" applyBorder="1" applyAlignment="1">
      <alignment horizontal="center"/>
    </xf>
    <xf numFmtId="0" fontId="19" fillId="12" borderId="6" xfId="5" applyFont="1" applyFill="1" applyBorder="1" applyAlignment="1">
      <alignment horizontal="center"/>
    </xf>
    <xf numFmtId="0" fontId="19" fillId="13" borderId="6" xfId="5" applyFont="1" applyFill="1" applyBorder="1" applyAlignment="1">
      <alignment horizontal="center"/>
    </xf>
    <xf numFmtId="0" fontId="19" fillId="15" borderId="6" xfId="5" applyFont="1" applyFill="1" applyBorder="1" applyAlignment="1">
      <alignment horizontal="center"/>
    </xf>
    <xf numFmtId="0" fontId="19" fillId="16" borderId="6" xfId="5" applyFont="1" applyFill="1" applyBorder="1" applyAlignment="1">
      <alignment horizontal="center"/>
    </xf>
    <xf numFmtId="0" fontId="19" fillId="17" borderId="4" xfId="5" applyFont="1" applyFill="1" applyBorder="1"/>
    <xf numFmtId="0" fontId="17" fillId="4" borderId="6" xfId="0" applyFont="1" applyFill="1" applyBorder="1" applyAlignment="1">
      <alignment horizontal="center"/>
    </xf>
    <xf numFmtId="0" fontId="17" fillId="5" borderId="6" xfId="0" applyFont="1" applyFill="1" applyBorder="1" applyAlignment="1">
      <alignment horizontal="center"/>
    </xf>
    <xf numFmtId="0" fontId="17" fillId="3" borderId="6" xfId="0" applyFont="1" applyFill="1" applyBorder="1" applyAlignment="1">
      <alignment horizontal="center"/>
    </xf>
    <xf numFmtId="0" fontId="19" fillId="0" borderId="4" xfId="5" applyFont="1" applyFill="1" applyBorder="1" applyAlignment="1">
      <alignment horizontal="center"/>
    </xf>
    <xf numFmtId="0" fontId="17" fillId="18" borderId="6" xfId="0" applyFont="1" applyFill="1" applyBorder="1" applyAlignment="1">
      <alignment horizontal="center"/>
    </xf>
    <xf numFmtId="0" fontId="17" fillId="19" borderId="6" xfId="0" applyFont="1" applyFill="1" applyBorder="1" applyAlignment="1">
      <alignment horizontal="center"/>
    </xf>
    <xf numFmtId="0" fontId="17" fillId="0" borderId="6" xfId="0" applyFont="1" applyFill="1" applyBorder="1" applyAlignment="1">
      <alignment horizontal="center"/>
    </xf>
    <xf numFmtId="0" fontId="3" fillId="0" borderId="4" xfId="5" applyFill="1" applyBorder="1" applyAlignment="1">
      <alignment horizontal="center"/>
    </xf>
    <xf numFmtId="0" fontId="8" fillId="4" borderId="0" xfId="5" applyFont="1" applyFill="1" applyBorder="1" applyAlignment="1">
      <alignment horizontal="center" vertical="center" wrapText="1"/>
    </xf>
    <xf numFmtId="9" fontId="0" fillId="0" borderId="0" xfId="4" applyFont="1"/>
    <xf numFmtId="4" fontId="0" fillId="0" borderId="0" xfId="0" applyNumberFormat="1"/>
    <xf numFmtId="0" fontId="22" fillId="4" borderId="0" xfId="0" applyFont="1" applyFill="1" applyBorder="1" applyAlignment="1">
      <alignment horizontal="right" vertical="center"/>
    </xf>
    <xf numFmtId="0" fontId="6" fillId="0" borderId="1" xfId="0" applyFont="1" applyBorder="1"/>
    <xf numFmtId="0" fontId="0" fillId="0" borderId="0" xfId="0" applyNumberFormat="1"/>
    <xf numFmtId="170" fontId="0" fillId="0" borderId="0" xfId="0" applyNumberFormat="1"/>
    <xf numFmtId="0" fontId="17" fillId="6" borderId="6" xfId="0" applyFont="1" applyFill="1" applyBorder="1"/>
    <xf numFmtId="0" fontId="3" fillId="6" borderId="6" xfId="5" applyFill="1" applyBorder="1"/>
    <xf numFmtId="0" fontId="17" fillId="6" borderId="6" xfId="0" applyFont="1" applyFill="1" applyBorder="1" applyAlignment="1">
      <alignment horizontal="center"/>
    </xf>
    <xf numFmtId="0" fontId="17" fillId="23" borderId="6" xfId="0" applyFont="1" applyFill="1" applyBorder="1"/>
    <xf numFmtId="0" fontId="3" fillId="23" borderId="6" xfId="5" applyFill="1" applyBorder="1"/>
    <xf numFmtId="0" fontId="17" fillId="23" borderId="6" xfId="0" applyFont="1" applyFill="1" applyBorder="1" applyAlignment="1">
      <alignment horizontal="center"/>
    </xf>
    <xf numFmtId="0" fontId="17" fillId="13" borderId="6" xfId="0" applyFont="1" applyFill="1" applyBorder="1"/>
    <xf numFmtId="0" fontId="3" fillId="13" borderId="6" xfId="5" applyFill="1" applyBorder="1"/>
    <xf numFmtId="0" fontId="17" fillId="13" borderId="6" xfId="0" applyFont="1" applyFill="1" applyBorder="1" applyAlignment="1">
      <alignment horizontal="center"/>
    </xf>
    <xf numFmtId="0" fontId="19" fillId="24" borderId="6" xfId="5" applyFont="1" applyFill="1" applyBorder="1"/>
    <xf numFmtId="0" fontId="3" fillId="24" borderId="6" xfId="5" applyFill="1" applyBorder="1"/>
    <xf numFmtId="0" fontId="19" fillId="24" borderId="6" xfId="5" applyFont="1" applyFill="1" applyBorder="1" applyAlignment="1">
      <alignment horizontal="center"/>
    </xf>
    <xf numFmtId="0" fontId="6" fillId="0" borderId="0" xfId="0" applyFont="1"/>
    <xf numFmtId="9" fontId="0" fillId="0" borderId="0" xfId="0" applyNumberFormat="1"/>
    <xf numFmtId="2" fontId="0" fillId="0" borderId="0" xfId="0" applyNumberFormat="1"/>
    <xf numFmtId="165" fontId="0" fillId="0" borderId="0" xfId="8" applyFont="1"/>
    <xf numFmtId="166" fontId="0" fillId="0" borderId="0" xfId="8" applyNumberFormat="1" applyFont="1"/>
    <xf numFmtId="0" fontId="0" fillId="0" borderId="0" xfId="0" applyFill="1" applyBorder="1" applyAlignment="1">
      <alignment horizontal="right"/>
    </xf>
    <xf numFmtId="0" fontId="26" fillId="0" borderId="0" xfId="0" applyFont="1" applyFill="1"/>
    <xf numFmtId="0" fontId="0" fillId="0" borderId="0" xfId="0" applyFill="1" applyAlignment="1">
      <alignment vertical="center"/>
    </xf>
    <xf numFmtId="0" fontId="0" fillId="0" borderId="0" xfId="0" applyFill="1" applyBorder="1" applyAlignment="1">
      <alignment vertical="center"/>
    </xf>
    <xf numFmtId="0" fontId="27" fillId="0" borderId="0" xfId="0" applyFont="1" applyFill="1" applyBorder="1" applyAlignment="1">
      <alignment horizontal="right" vertical="center"/>
    </xf>
    <xf numFmtId="0" fontId="26" fillId="0" borderId="0" xfId="0" applyFont="1" applyFill="1" applyAlignment="1">
      <alignment vertical="center"/>
    </xf>
    <xf numFmtId="0" fontId="14" fillId="0" borderId="0" xfId="5" applyFont="1" applyFill="1" applyBorder="1" applyAlignment="1">
      <alignment horizontal="center" vertical="center" wrapText="1"/>
    </xf>
    <xf numFmtId="0" fontId="0" fillId="0" borderId="0" xfId="0" applyAlignment="1">
      <alignment vertical="center"/>
    </xf>
    <xf numFmtId="0" fontId="26" fillId="0" borderId="0" xfId="0" applyFont="1" applyFill="1" applyBorder="1"/>
    <xf numFmtId="0" fontId="13" fillId="0" borderId="0" xfId="5" applyFont="1" applyFill="1" applyBorder="1" applyAlignment="1">
      <alignment horizontal="center" vertical="center" wrapText="1"/>
    </xf>
    <xf numFmtId="0" fontId="29" fillId="0" borderId="0" xfId="0" applyFont="1" applyFill="1"/>
    <xf numFmtId="0" fontId="29" fillId="0" borderId="0" xfId="0" applyFont="1" applyFill="1" applyBorder="1"/>
    <xf numFmtId="0" fontId="30" fillId="0" borderId="0" xfId="0" applyFont="1" applyFill="1" applyBorder="1" applyAlignment="1">
      <alignment horizontal="right" vertical="center"/>
    </xf>
    <xf numFmtId="0" fontId="28" fillId="0" borderId="0" xfId="0" applyFont="1" applyFill="1"/>
    <xf numFmtId="0" fontId="29" fillId="0" borderId="0" xfId="0" applyFont="1"/>
    <xf numFmtId="0" fontId="29" fillId="0" borderId="0" xfId="0" applyFont="1" applyFill="1" applyBorder="1" applyAlignment="1">
      <alignment horizontal="right" vertical="center"/>
    </xf>
    <xf numFmtId="0" fontId="22" fillId="0" borderId="0" xfId="0" applyFont="1" applyFill="1" applyBorder="1" applyAlignment="1">
      <alignment horizontal="right" vertical="center"/>
    </xf>
    <xf numFmtId="0" fontId="31" fillId="0" borderId="0" xfId="0" applyFont="1" applyFill="1" applyBorder="1" applyAlignment="1">
      <alignment horizontal="right"/>
    </xf>
    <xf numFmtId="0" fontId="6" fillId="0" borderId="1" xfId="0" applyFont="1" applyFill="1" applyBorder="1" applyAlignment="1">
      <alignment horizontal="center"/>
    </xf>
    <xf numFmtId="0" fontId="14" fillId="26" borderId="3" xfId="5" applyNumberFormat="1" applyFont="1" applyFill="1" applyBorder="1" applyAlignment="1">
      <alignment horizontal="center" vertical="center" wrapText="1"/>
    </xf>
    <xf numFmtId="0" fontId="14" fillId="26" borderId="3" xfId="5" applyFont="1" applyFill="1" applyBorder="1" applyAlignment="1">
      <alignment horizontal="center" vertical="center" wrapText="1"/>
    </xf>
    <xf numFmtId="0" fontId="14" fillId="27" borderId="3" xfId="5" applyFont="1" applyFill="1" applyBorder="1" applyAlignment="1">
      <alignment horizontal="center" vertical="center" wrapText="1"/>
    </xf>
    <xf numFmtId="0" fontId="14" fillId="28" borderId="3" xfId="5" applyFont="1" applyFill="1" applyBorder="1" applyAlignment="1">
      <alignment horizontal="center" vertical="center" wrapText="1"/>
    </xf>
    <xf numFmtId="0" fontId="18" fillId="0" borderId="0" xfId="0" applyFont="1" applyFill="1" applyBorder="1" applyAlignment="1">
      <alignment horizontal="right" vertical="center"/>
    </xf>
    <xf numFmtId="0" fontId="32" fillId="0" borderId="0" xfId="5" applyFont="1" applyFill="1" applyBorder="1" applyAlignment="1">
      <alignment horizontal="center" vertical="center" wrapText="1"/>
    </xf>
    <xf numFmtId="0" fontId="13" fillId="26" borderId="3" xfId="5" applyFont="1" applyFill="1" applyBorder="1" applyAlignment="1">
      <alignment horizontal="center" vertical="center" wrapText="1"/>
    </xf>
    <xf numFmtId="0" fontId="13" fillId="27" borderId="3" xfId="5" applyFont="1" applyFill="1" applyBorder="1" applyAlignment="1">
      <alignment horizontal="center" vertical="center" wrapText="1"/>
    </xf>
    <xf numFmtId="0" fontId="13" fillId="28" borderId="3" xfId="5" applyFont="1" applyFill="1" applyBorder="1" applyAlignment="1">
      <alignment horizontal="center" vertical="center" wrapText="1"/>
    </xf>
    <xf numFmtId="0" fontId="28" fillId="26" borderId="2" xfId="5" applyFont="1" applyFill="1" applyBorder="1" applyAlignment="1">
      <alignment horizontal="center" vertical="center" wrapText="1"/>
    </xf>
    <xf numFmtId="0" fontId="28" fillId="26" borderId="6" xfId="5" applyFont="1" applyFill="1" applyBorder="1" applyAlignment="1">
      <alignment horizontal="center" vertical="center" wrapText="1"/>
    </xf>
    <xf numFmtId="9" fontId="28" fillId="26" borderId="6" xfId="5" applyNumberFormat="1" applyFont="1" applyFill="1" applyBorder="1" applyAlignment="1">
      <alignment horizontal="center" vertical="center" wrapText="1"/>
    </xf>
    <xf numFmtId="0" fontId="28" fillId="28" borderId="6" xfId="5" applyFont="1" applyFill="1" applyBorder="1" applyAlignment="1">
      <alignment horizontal="center" vertical="center" wrapText="1"/>
    </xf>
    <xf numFmtId="0" fontId="29" fillId="0" borderId="0" xfId="0" applyFont="1" applyFill="1" applyAlignment="1"/>
    <xf numFmtId="0" fontId="29" fillId="0" borderId="0" xfId="0" applyFont="1" applyFill="1" applyBorder="1" applyAlignment="1"/>
    <xf numFmtId="0" fontId="30" fillId="0" borderId="0" xfId="0" applyFont="1" applyFill="1" applyBorder="1" applyAlignment="1">
      <alignment horizontal="right"/>
    </xf>
    <xf numFmtId="0" fontId="28" fillId="0" borderId="0" xfId="0" applyFont="1" applyFill="1" applyAlignment="1"/>
    <xf numFmtId="0" fontId="28" fillId="26" borderId="4" xfId="5" applyFont="1" applyFill="1" applyBorder="1" applyAlignment="1">
      <alignment horizontal="center" wrapText="1"/>
    </xf>
    <xf numFmtId="0" fontId="28" fillId="28" borderId="4" xfId="5" applyFont="1" applyFill="1" applyBorder="1" applyAlignment="1">
      <alignment horizontal="center" wrapText="1"/>
    </xf>
    <xf numFmtId="0" fontId="29" fillId="0" borderId="0" xfId="0" applyFont="1" applyAlignment="1"/>
    <xf numFmtId="0" fontId="17" fillId="0" borderId="0" xfId="0" applyFont="1" applyFill="1" applyBorder="1" applyAlignment="1">
      <alignment horizontal="center"/>
    </xf>
    <xf numFmtId="0" fontId="14" fillId="25" borderId="7" xfId="5" applyFont="1" applyFill="1" applyBorder="1" applyAlignment="1">
      <alignment horizontal="center" vertical="center" wrapText="1"/>
    </xf>
    <xf numFmtId="0" fontId="13" fillId="25" borderId="7" xfId="5" applyFont="1" applyFill="1" applyBorder="1" applyAlignment="1">
      <alignment horizontal="center" vertical="center" wrapText="1"/>
    </xf>
    <xf numFmtId="0" fontId="28" fillId="25" borderId="14" xfId="5" applyFont="1" applyFill="1" applyBorder="1" applyAlignment="1">
      <alignment horizontal="center" vertical="center" wrapText="1"/>
    </xf>
    <xf numFmtId="0" fontId="28" fillId="25" borderId="11" xfId="5" applyFont="1" applyFill="1" applyBorder="1" applyAlignment="1">
      <alignment horizontal="center" vertical="center" wrapText="1"/>
    </xf>
    <xf numFmtId="9" fontId="28" fillId="25" borderId="11" xfId="4" applyFont="1" applyFill="1" applyBorder="1" applyAlignment="1">
      <alignment horizontal="center" vertical="center" wrapText="1"/>
    </xf>
    <xf numFmtId="9" fontId="28" fillId="25" borderId="11" xfId="5" applyNumberFormat="1" applyFont="1" applyFill="1" applyBorder="1" applyAlignment="1">
      <alignment horizontal="center" vertical="center" wrapText="1"/>
    </xf>
    <xf numFmtId="0" fontId="28" fillId="25" borderId="12" xfId="5" applyFont="1" applyFill="1" applyBorder="1" applyAlignment="1">
      <alignment horizontal="center" wrapText="1"/>
    </xf>
    <xf numFmtId="0" fontId="17" fillId="29" borderId="6" xfId="0" applyFont="1" applyFill="1" applyBorder="1"/>
    <xf numFmtId="0" fontId="0" fillId="29" borderId="6" xfId="0" applyFill="1" applyBorder="1"/>
    <xf numFmtId="0" fontId="17" fillId="29" borderId="6" xfId="0" applyFont="1" applyFill="1" applyBorder="1" applyAlignment="1">
      <alignment horizontal="center"/>
    </xf>
    <xf numFmtId="0" fontId="6" fillId="0" borderId="0" xfId="0" applyFont="1" applyAlignment="1">
      <alignment horizontal="center" vertical="center" wrapText="1"/>
    </xf>
    <xf numFmtId="0" fontId="0" fillId="0" borderId="0" xfId="0" applyAlignment="1">
      <alignment vertical="center" wrapText="1"/>
    </xf>
    <xf numFmtId="0" fontId="0" fillId="0" borderId="12" xfId="0" applyBorder="1" applyAlignment="1">
      <alignment horizontal="center"/>
    </xf>
    <xf numFmtId="167" fontId="3" fillId="4" borderId="0" xfId="6" applyNumberFormat="1" applyFont="1" applyFill="1" applyBorder="1"/>
    <xf numFmtId="0" fontId="3" fillId="4" borderId="0" xfId="7" applyFill="1" applyBorder="1" applyAlignment="1">
      <alignment horizontal="center"/>
    </xf>
    <xf numFmtId="0" fontId="3" fillId="4" borderId="0" xfId="7" applyFill="1" applyBorder="1"/>
    <xf numFmtId="167" fontId="3" fillId="4" borderId="0" xfId="6" applyNumberFormat="1" applyFont="1" applyFill="1" applyBorder="1" applyAlignment="1">
      <alignment horizontal="center"/>
    </xf>
    <xf numFmtId="9" fontId="3" fillId="4" borderId="0" xfId="4" applyFont="1" applyFill="1" applyBorder="1"/>
    <xf numFmtId="0" fontId="3" fillId="4" borderId="0" xfId="7" applyFill="1"/>
    <xf numFmtId="0" fontId="12" fillId="4" borderId="0" xfId="7" applyFont="1" applyFill="1" applyBorder="1"/>
    <xf numFmtId="167" fontId="13" fillId="4" borderId="0" xfId="6" applyNumberFormat="1" applyFont="1" applyFill="1" applyBorder="1"/>
    <xf numFmtId="167" fontId="13" fillId="4" borderId="0" xfId="6" applyNumberFormat="1" applyFont="1" applyFill="1" applyBorder="1" applyAlignment="1">
      <alignment horizontal="center"/>
    </xf>
    <xf numFmtId="167" fontId="13" fillId="4" borderId="0" xfId="7" applyNumberFormat="1" applyFont="1" applyFill="1" applyBorder="1"/>
    <xf numFmtId="9" fontId="14" fillId="4" borderId="0" xfId="4" applyFont="1" applyFill="1" applyBorder="1" applyAlignment="1">
      <alignment horizontal="center"/>
    </xf>
    <xf numFmtId="17" fontId="0" fillId="4" borderId="0" xfId="0" applyNumberFormat="1" applyFill="1" applyBorder="1"/>
    <xf numFmtId="168" fontId="0" fillId="4" borderId="0" xfId="0" applyNumberFormat="1" applyFill="1" applyBorder="1"/>
    <xf numFmtId="10" fontId="0" fillId="4" borderId="0" xfId="0" applyNumberFormat="1" applyFill="1" applyBorder="1"/>
    <xf numFmtId="169" fontId="0" fillId="4" borderId="0" xfId="0" applyNumberFormat="1" applyFill="1" applyBorder="1"/>
    <xf numFmtId="0" fontId="0" fillId="4" borderId="0" xfId="0" applyFill="1" applyBorder="1"/>
    <xf numFmtId="9" fontId="3" fillId="4" borderId="0" xfId="4" applyFont="1" applyFill="1" applyBorder="1" applyAlignment="1">
      <alignment horizontal="center"/>
    </xf>
    <xf numFmtId="9" fontId="14" fillId="4" borderId="0" xfId="4" applyNumberFormat="1" applyFont="1" applyFill="1" applyBorder="1" applyAlignment="1">
      <alignment horizontal="center"/>
    </xf>
    <xf numFmtId="9" fontId="0" fillId="4" borderId="0" xfId="0" applyNumberFormat="1" applyFill="1" applyBorder="1"/>
    <xf numFmtId="167" fontId="3" fillId="4" borderId="0" xfId="7" applyNumberFormat="1" applyFill="1" applyBorder="1"/>
    <xf numFmtId="9" fontId="6" fillId="4" borderId="0" xfId="0" applyNumberFormat="1" applyFont="1" applyFill="1" applyBorder="1" applyAlignment="1"/>
    <xf numFmtId="44" fontId="14" fillId="4" borderId="0" xfId="6" applyFont="1" applyFill="1" applyBorder="1" applyAlignment="1">
      <alignment horizontal="center"/>
    </xf>
    <xf numFmtId="0" fontId="6" fillId="4" borderId="0" xfId="0" applyFont="1" applyFill="1" applyBorder="1" applyAlignment="1">
      <alignment horizontal="center"/>
    </xf>
    <xf numFmtId="0" fontId="6" fillId="4" borderId="0" xfId="0" applyFont="1" applyFill="1" applyBorder="1" applyAlignment="1">
      <alignment horizontal="center" wrapText="1"/>
    </xf>
    <xf numFmtId="0" fontId="15" fillId="4" borderId="0" xfId="0" applyFont="1" applyFill="1" applyBorder="1" applyAlignment="1">
      <alignment horizontal="center"/>
    </xf>
    <xf numFmtId="9" fontId="5" fillId="4" borderId="0" xfId="4" applyFont="1" applyFill="1" applyBorder="1"/>
    <xf numFmtId="9" fontId="8" fillId="4" borderId="0" xfId="4" applyFont="1" applyFill="1" applyBorder="1" applyAlignment="1">
      <alignment horizontal="center"/>
    </xf>
    <xf numFmtId="0" fontId="6" fillId="4" borderId="0" xfId="0" applyFont="1" applyFill="1" applyBorder="1"/>
    <xf numFmtId="0" fontId="4" fillId="4" borderId="0" xfId="0" applyFont="1" applyFill="1" applyBorder="1" applyAlignment="1">
      <alignment horizontal="center"/>
    </xf>
    <xf numFmtId="0" fontId="4" fillId="4" borderId="0" xfId="0" applyFont="1" applyFill="1" applyBorder="1" applyAlignment="1"/>
    <xf numFmtId="0" fontId="16" fillId="4" borderId="0" xfId="0" applyFont="1" applyFill="1" applyBorder="1" applyAlignment="1">
      <alignment vertical="top"/>
    </xf>
    <xf numFmtId="0" fontId="4" fillId="4" borderId="0" xfId="0" applyFont="1" applyFill="1" applyBorder="1" applyAlignment="1">
      <alignment horizontal="left"/>
    </xf>
    <xf numFmtId="0" fontId="6" fillId="4" borderId="4" xfId="0" applyFont="1" applyFill="1" applyBorder="1" applyAlignment="1">
      <alignment horizontal="center" wrapText="1"/>
    </xf>
    <xf numFmtId="0" fontId="6" fillId="4" borderId="0" xfId="0" applyFont="1" applyFill="1" applyBorder="1" applyAlignment="1"/>
    <xf numFmtId="0" fontId="6" fillId="4" borderId="0" xfId="0" applyFont="1" applyFill="1" applyBorder="1" applyAlignment="1">
      <alignment horizontal="left" wrapText="1"/>
    </xf>
    <xf numFmtId="0" fontId="0" fillId="4" borderId="5" xfId="0" applyFill="1" applyBorder="1"/>
    <xf numFmtId="0" fontId="16" fillId="4" borderId="5" xfId="0" applyFont="1" applyFill="1" applyBorder="1" applyAlignment="1">
      <alignment horizontal="center" vertical="top"/>
    </xf>
    <xf numFmtId="0" fontId="6" fillId="4" borderId="5" xfId="0" applyFont="1" applyFill="1" applyBorder="1" applyAlignment="1">
      <alignment vertical="top"/>
    </xf>
    <xf numFmtId="0" fontId="16" fillId="4" borderId="5" xfId="0" applyFont="1" applyFill="1" applyBorder="1" applyAlignment="1">
      <alignment vertical="top"/>
    </xf>
    <xf numFmtId="0" fontId="4" fillId="4" borderId="5" xfId="0" applyFont="1" applyFill="1" applyBorder="1" applyAlignment="1">
      <alignment horizontal="center" vertical="top"/>
    </xf>
    <xf numFmtId="0" fontId="4" fillId="4" borderId="5" xfId="0" applyFont="1" applyFill="1" applyBorder="1" applyAlignment="1">
      <alignment horizontal="left" vertical="top"/>
    </xf>
    <xf numFmtId="0" fontId="4" fillId="4" borderId="6" xfId="0" applyFont="1" applyFill="1" applyBorder="1" applyAlignment="1">
      <alignment horizontal="center" vertical="top"/>
    </xf>
    <xf numFmtId="0" fontId="6" fillId="4" borderId="0" xfId="0" applyFont="1" applyFill="1" applyBorder="1" applyAlignment="1">
      <alignment vertical="top"/>
    </xf>
    <xf numFmtId="0" fontId="0" fillId="4" borderId="0" xfId="0" applyFill="1" applyAlignment="1">
      <alignment vertical="top"/>
    </xf>
    <xf numFmtId="0" fontId="6" fillId="4" borderId="0" xfId="0" applyFont="1" applyFill="1" applyAlignment="1">
      <alignment vertical="top"/>
    </xf>
    <xf numFmtId="0" fontId="16" fillId="4" borderId="0" xfId="0" applyFont="1" applyFill="1" applyAlignment="1">
      <alignment horizontal="center" vertical="top"/>
    </xf>
    <xf numFmtId="0" fontId="17" fillId="4" borderId="0" xfId="0" applyFont="1" applyFill="1" applyAlignment="1">
      <alignment vertical="top"/>
    </xf>
    <xf numFmtId="0" fontId="17" fillId="4" borderId="0" xfId="0" applyFont="1" applyFill="1" applyAlignment="1">
      <alignment horizontal="center" vertical="top"/>
    </xf>
    <xf numFmtId="0" fontId="0" fillId="4" borderId="0" xfId="0" applyFill="1" applyAlignment="1">
      <alignment horizontal="center" vertical="top"/>
    </xf>
    <xf numFmtId="0" fontId="4" fillId="4" borderId="0" xfId="0" applyFont="1" applyFill="1" applyAlignment="1">
      <alignment horizontal="center" vertical="top"/>
    </xf>
    <xf numFmtId="0" fontId="4" fillId="4" borderId="0" xfId="0" applyFont="1" applyFill="1" applyAlignment="1">
      <alignment vertical="top"/>
    </xf>
    <xf numFmtId="0" fontId="18" fillId="4" borderId="0" xfId="0" applyFont="1" applyFill="1" applyAlignment="1">
      <alignment horizontal="center" vertical="top"/>
    </xf>
    <xf numFmtId="0" fontId="18" fillId="4" borderId="0" xfId="0" applyFont="1" applyFill="1" applyAlignment="1">
      <alignment vertical="top"/>
    </xf>
    <xf numFmtId="0" fontId="4" fillId="4" borderId="0" xfId="0" applyFont="1" applyFill="1" applyAlignment="1">
      <alignment horizontal="left" vertical="top"/>
    </xf>
    <xf numFmtId="0" fontId="0" fillId="4" borderId="0" xfId="0" applyFill="1" applyAlignment="1">
      <alignment vertical="top" wrapText="1"/>
    </xf>
    <xf numFmtId="0" fontId="0" fillId="4" borderId="0" xfId="0" applyFill="1" applyAlignment="1">
      <alignment horizontal="left" vertical="top" wrapText="1"/>
    </xf>
    <xf numFmtId="0" fontId="17" fillId="4" borderId="0" xfId="0" applyFont="1" applyFill="1" applyAlignment="1">
      <alignment horizontal="center" vertical="top" wrapText="1"/>
    </xf>
    <xf numFmtId="40" fontId="4" fillId="4" borderId="0" xfId="0" applyNumberFormat="1" applyFont="1" applyFill="1" applyAlignment="1">
      <alignment horizontal="center" vertical="top"/>
    </xf>
    <xf numFmtId="40" fontId="4" fillId="4" borderId="0" xfId="0" applyNumberFormat="1" applyFont="1" applyFill="1" applyAlignment="1">
      <alignment horizontal="left" vertical="top"/>
    </xf>
    <xf numFmtId="38" fontId="4" fillId="4" borderId="6" xfId="0" applyNumberFormat="1" applyFont="1" applyFill="1" applyBorder="1" applyAlignment="1">
      <alignment horizontal="center" vertical="top"/>
    </xf>
    <xf numFmtId="0" fontId="4" fillId="4" borderId="6" xfId="0" applyFont="1" applyFill="1" applyBorder="1" applyAlignment="1">
      <alignment horizontal="center" vertical="top" wrapText="1"/>
    </xf>
    <xf numFmtId="0" fontId="17" fillId="4" borderId="0" xfId="0" applyFont="1" applyFill="1" applyAlignment="1">
      <alignment horizontal="left" vertical="top" wrapText="1"/>
    </xf>
    <xf numFmtId="38" fontId="4" fillId="4" borderId="6" xfId="0" applyNumberFormat="1" applyFont="1" applyFill="1" applyBorder="1" applyAlignment="1">
      <alignment horizontal="center" vertical="top" wrapText="1"/>
    </xf>
    <xf numFmtId="0" fontId="17" fillId="4" borderId="0" xfId="0" applyFont="1" applyFill="1" applyBorder="1" applyAlignment="1">
      <alignment horizontal="center" vertical="top"/>
    </xf>
    <xf numFmtId="0" fontId="0" fillId="4" borderId="0" xfId="0" applyFill="1" applyBorder="1" applyAlignment="1">
      <alignment vertical="top"/>
    </xf>
    <xf numFmtId="0" fontId="0" fillId="4" borderId="0" xfId="0" applyFill="1" applyBorder="1" applyAlignment="1">
      <alignment horizontal="left" vertical="top" wrapText="1"/>
    </xf>
    <xf numFmtId="0" fontId="17" fillId="4" borderId="0" xfId="0" applyFont="1" applyFill="1" applyBorder="1" applyAlignment="1">
      <alignment vertical="top"/>
    </xf>
    <xf numFmtId="40" fontId="4" fillId="4" borderId="0" xfId="0" applyNumberFormat="1" applyFont="1" applyFill="1" applyBorder="1" applyAlignment="1">
      <alignment horizontal="center" vertical="top"/>
    </xf>
    <xf numFmtId="40" fontId="4" fillId="4" borderId="0" xfId="0" applyNumberFormat="1" applyFont="1" applyFill="1" applyBorder="1" applyAlignment="1">
      <alignment horizontal="left" vertical="top"/>
    </xf>
    <xf numFmtId="0" fontId="0" fillId="4" borderId="0" xfId="0" applyFill="1" applyBorder="1" applyAlignment="1">
      <alignment vertical="top" wrapText="1"/>
    </xf>
    <xf numFmtId="0" fontId="0" fillId="4" borderId="1" xfId="0" applyFill="1" applyBorder="1"/>
    <xf numFmtId="0" fontId="17" fillId="4" borderId="1" xfId="0" applyFont="1" applyFill="1" applyBorder="1" applyAlignment="1">
      <alignment horizontal="center" vertical="top"/>
    </xf>
    <xf numFmtId="0" fontId="0" fillId="4" borderId="1" xfId="0" applyFill="1" applyBorder="1" applyAlignment="1">
      <alignment vertical="top"/>
    </xf>
    <xf numFmtId="0" fontId="0" fillId="4" borderId="1" xfId="0" applyFill="1" applyBorder="1" applyAlignment="1">
      <alignment horizontal="left" vertical="top" wrapText="1"/>
    </xf>
    <xf numFmtId="40" fontId="4" fillId="4" borderId="1" xfId="0" applyNumberFormat="1" applyFont="1" applyFill="1" applyBorder="1" applyAlignment="1">
      <alignment horizontal="center" vertical="top"/>
    </xf>
    <xf numFmtId="40" fontId="4" fillId="4" borderId="1" xfId="0" applyNumberFormat="1" applyFont="1" applyFill="1" applyBorder="1" applyAlignment="1">
      <alignment horizontal="left" vertical="top"/>
    </xf>
    <xf numFmtId="0" fontId="4" fillId="4" borderId="4" xfId="0" applyFont="1" applyFill="1" applyBorder="1" applyAlignment="1">
      <alignment horizontal="center" vertical="top" wrapText="1"/>
    </xf>
    <xf numFmtId="0" fontId="4" fillId="4" borderId="0" xfId="0" applyFont="1" applyFill="1" applyAlignment="1">
      <alignment vertical="top" wrapText="1"/>
    </xf>
    <xf numFmtId="0" fontId="18" fillId="4" borderId="0" xfId="0" applyFont="1" applyFill="1" applyBorder="1" applyAlignment="1">
      <alignment horizontal="center" vertical="top"/>
    </xf>
    <xf numFmtId="0" fontId="18" fillId="4" borderId="0" xfId="0" applyFont="1" applyFill="1" applyBorder="1" applyAlignment="1">
      <alignment vertical="top"/>
    </xf>
    <xf numFmtId="0" fontId="4" fillId="4" borderId="0" xfId="0" applyFont="1" applyFill="1" applyBorder="1" applyAlignment="1">
      <alignment horizontal="center" vertical="top"/>
    </xf>
    <xf numFmtId="44" fontId="4" fillId="4" borderId="6" xfId="6" applyFont="1" applyFill="1" applyBorder="1" applyAlignment="1">
      <alignment horizontal="center" vertical="top"/>
    </xf>
    <xf numFmtId="44" fontId="4" fillId="4" borderId="0" xfId="6" applyFont="1" applyFill="1" applyBorder="1" applyAlignment="1">
      <alignment horizontal="center" vertical="top"/>
    </xf>
    <xf numFmtId="44" fontId="4" fillId="4" borderId="6" xfId="6" applyFont="1" applyFill="1" applyBorder="1" applyAlignment="1">
      <alignment horizontal="center" vertical="top" wrapText="1"/>
    </xf>
    <xf numFmtId="0" fontId="17" fillId="4" borderId="5" xfId="0" applyFont="1" applyFill="1" applyBorder="1" applyAlignment="1">
      <alignment horizontal="center" vertical="top"/>
    </xf>
    <xf numFmtId="0" fontId="0" fillId="4" borderId="5" xfId="0" applyFill="1" applyBorder="1" applyAlignment="1">
      <alignment vertical="top"/>
    </xf>
    <xf numFmtId="0" fontId="0" fillId="4" borderId="5" xfId="0" applyFill="1" applyBorder="1" applyAlignment="1">
      <alignment vertical="top" wrapText="1"/>
    </xf>
    <xf numFmtId="0" fontId="17" fillId="4" borderId="5" xfId="0" applyFont="1" applyFill="1" applyBorder="1" applyAlignment="1">
      <alignment vertical="top"/>
    </xf>
    <xf numFmtId="0" fontId="17" fillId="4" borderId="5" xfId="0" applyFont="1" applyFill="1" applyBorder="1" applyAlignment="1">
      <alignment horizontal="left" vertical="top" wrapText="1"/>
    </xf>
    <xf numFmtId="0" fontId="0" fillId="4" borderId="5" xfId="0" applyFill="1" applyBorder="1" applyAlignment="1">
      <alignment horizontal="left" vertical="top" wrapText="1"/>
    </xf>
    <xf numFmtId="44" fontId="4" fillId="4" borderId="5" xfId="6" applyFont="1" applyFill="1" applyBorder="1" applyAlignment="1">
      <alignment horizontal="center" vertical="top"/>
    </xf>
    <xf numFmtId="40" fontId="4" fillId="4" borderId="5" xfId="0" applyNumberFormat="1" applyFont="1" applyFill="1" applyBorder="1" applyAlignment="1">
      <alignment horizontal="left" vertical="top"/>
    </xf>
    <xf numFmtId="4" fontId="4" fillId="4" borderId="0" xfId="0" applyNumberFormat="1" applyFont="1" applyFill="1" applyAlignment="1">
      <alignment horizontal="center" vertical="top"/>
    </xf>
    <xf numFmtId="0" fontId="4" fillId="4" borderId="0" xfId="0" applyFont="1" applyFill="1" applyBorder="1" applyAlignment="1">
      <alignment horizontal="left" vertical="top"/>
    </xf>
    <xf numFmtId="0" fontId="17" fillId="4" borderId="1" xfId="0" applyFont="1" applyFill="1" applyBorder="1" applyAlignment="1">
      <alignment vertical="top"/>
    </xf>
    <xf numFmtId="4" fontId="4" fillId="4" borderId="1" xfId="0" applyNumberFormat="1" applyFont="1" applyFill="1" applyBorder="1" applyAlignment="1">
      <alignment horizontal="center" vertical="top"/>
    </xf>
    <xf numFmtId="0" fontId="4" fillId="4" borderId="1" xfId="0" applyFont="1" applyFill="1" applyBorder="1" applyAlignment="1">
      <alignment horizontal="left" vertical="top"/>
    </xf>
    <xf numFmtId="9" fontId="4" fillId="4" borderId="0" xfId="4" applyFont="1" applyFill="1" applyAlignment="1">
      <alignment horizontal="center" vertical="top"/>
    </xf>
    <xf numFmtId="44" fontId="4" fillId="4" borderId="0" xfId="6" applyFont="1" applyFill="1" applyAlignment="1">
      <alignment horizontal="center" vertical="top"/>
    </xf>
    <xf numFmtId="9" fontId="4" fillId="4" borderId="6" xfId="0" applyNumberFormat="1" applyFont="1" applyFill="1" applyBorder="1" applyAlignment="1">
      <alignment horizontal="center" vertical="top" wrapText="1"/>
    </xf>
    <xf numFmtId="0" fontId="4" fillId="4" borderId="1" xfId="0" applyFont="1" applyFill="1" applyBorder="1" applyAlignment="1">
      <alignment horizontal="center" vertical="top"/>
    </xf>
    <xf numFmtId="0" fontId="4" fillId="4" borderId="0" xfId="0" applyFont="1" applyFill="1" applyBorder="1" applyAlignment="1">
      <alignment horizontal="center" vertical="top" wrapText="1"/>
    </xf>
    <xf numFmtId="171" fontId="0" fillId="0" borderId="0" xfId="0" applyNumberFormat="1"/>
    <xf numFmtId="0" fontId="30" fillId="0" borderId="0" xfId="0" applyFont="1" applyFill="1" applyBorder="1"/>
    <xf numFmtId="0" fontId="12" fillId="0" borderId="0" xfId="0" applyFont="1" applyFill="1"/>
    <xf numFmtId="0" fontId="30" fillId="0" borderId="0" xfId="0" applyFont="1" applyFill="1"/>
    <xf numFmtId="0" fontId="30" fillId="0" borderId="0" xfId="0" applyFont="1"/>
    <xf numFmtId="0" fontId="0" fillId="0" borderId="0" xfId="0" applyBorder="1" applyAlignment="1">
      <alignment vertical="center"/>
    </xf>
    <xf numFmtId="0" fontId="0" fillId="0" borderId="0" xfId="0" applyBorder="1" applyAlignment="1">
      <alignment horizontal="center"/>
    </xf>
    <xf numFmtId="0" fontId="29" fillId="0" borderId="0" xfId="0" applyFont="1" applyBorder="1"/>
    <xf numFmtId="0" fontId="0" fillId="0" borderId="11" xfId="0" applyBorder="1" applyAlignment="1">
      <alignment horizontal="center"/>
    </xf>
    <xf numFmtId="2" fontId="28" fillId="28" borderId="6" xfId="4" applyNumberFormat="1" applyFont="1" applyFill="1" applyBorder="1" applyAlignment="1">
      <alignment horizontal="center" vertical="center" wrapText="1"/>
    </xf>
    <xf numFmtId="2" fontId="28" fillId="28" borderId="6" xfId="5" applyNumberFormat="1" applyFont="1" applyFill="1" applyBorder="1" applyAlignment="1">
      <alignment horizontal="center" vertical="center" wrapText="1"/>
    </xf>
    <xf numFmtId="0" fontId="13" fillId="30" borderId="3" xfId="5" applyFont="1" applyFill="1" applyBorder="1" applyAlignment="1">
      <alignment horizontal="center" vertical="center" wrapText="1"/>
    </xf>
    <xf numFmtId="0" fontId="14" fillId="30" borderId="3" xfId="5" applyFont="1" applyFill="1" applyBorder="1" applyAlignment="1">
      <alignment horizontal="center" vertical="center" wrapText="1"/>
    </xf>
    <xf numFmtId="0" fontId="14" fillId="31" borderId="3" xfId="5" applyFont="1" applyFill="1" applyBorder="1" applyAlignment="1">
      <alignment horizontal="center" vertical="center" wrapText="1"/>
    </xf>
    <xf numFmtId="0" fontId="13" fillId="31" borderId="3" xfId="5" applyFont="1" applyFill="1" applyBorder="1" applyAlignment="1">
      <alignment horizontal="center" vertical="center" wrapText="1"/>
    </xf>
    <xf numFmtId="0" fontId="28" fillId="31" borderId="2" xfId="5" applyFont="1" applyFill="1" applyBorder="1" applyAlignment="1">
      <alignment horizontal="center" vertical="center" wrapText="1"/>
    </xf>
    <xf numFmtId="0" fontId="28" fillId="31" borderId="6" xfId="5" applyFont="1" applyFill="1" applyBorder="1" applyAlignment="1">
      <alignment horizontal="center" vertical="center" wrapText="1"/>
    </xf>
    <xf numFmtId="170" fontId="28" fillId="31" borderId="6" xfId="6" applyNumberFormat="1" applyFont="1" applyFill="1" applyBorder="1" applyAlignment="1">
      <alignment horizontal="center" vertical="center" wrapText="1"/>
    </xf>
    <xf numFmtId="0" fontId="28" fillId="31" borderId="4" xfId="5" applyFont="1" applyFill="1" applyBorder="1" applyAlignment="1">
      <alignment horizontal="center" wrapText="1"/>
    </xf>
    <xf numFmtId="0" fontId="14" fillId="32" borderId="3" xfId="5" applyFont="1" applyFill="1" applyBorder="1" applyAlignment="1">
      <alignment horizontal="center" vertical="center" wrapText="1"/>
    </xf>
    <xf numFmtId="0" fontId="13" fillId="32" borderId="3" xfId="5" applyFont="1" applyFill="1" applyBorder="1" applyAlignment="1">
      <alignment horizontal="center" vertical="center" wrapText="1"/>
    </xf>
    <xf numFmtId="0" fontId="28" fillId="32" borderId="2" xfId="5" applyFont="1" applyFill="1" applyBorder="1" applyAlignment="1">
      <alignment horizontal="center" vertical="center" wrapText="1"/>
    </xf>
    <xf numFmtId="0" fontId="28" fillId="32" borderId="6" xfId="5" applyFont="1" applyFill="1" applyBorder="1" applyAlignment="1">
      <alignment horizontal="center" vertical="center" wrapText="1"/>
    </xf>
    <xf numFmtId="9" fontId="28" fillId="32" borderId="6" xfId="4" applyFont="1" applyFill="1" applyBorder="1" applyAlignment="1">
      <alignment horizontal="center" vertical="center" wrapText="1"/>
    </xf>
    <xf numFmtId="3" fontId="28" fillId="32" borderId="6" xfId="5" applyNumberFormat="1" applyFont="1" applyFill="1" applyBorder="1" applyAlignment="1">
      <alignment horizontal="center" vertical="center" wrapText="1"/>
    </xf>
    <xf numFmtId="0" fontId="28" fillId="32" borderId="4" xfId="5" applyFont="1" applyFill="1" applyBorder="1" applyAlignment="1">
      <alignment horizontal="center" wrapText="1"/>
    </xf>
    <xf numFmtId="9" fontId="28" fillId="31" borderId="6" xfId="4" applyFont="1" applyFill="1" applyBorder="1" applyAlignment="1">
      <alignment horizontal="center" vertical="center" wrapText="1"/>
    </xf>
    <xf numFmtId="0" fontId="18" fillId="4" borderId="0" xfId="0" applyFont="1" applyFill="1"/>
    <xf numFmtId="0" fontId="0" fillId="0" borderId="0" xfId="0" applyAlignment="1">
      <alignment horizontal="center"/>
    </xf>
    <xf numFmtId="0" fontId="6" fillId="4" borderId="0" xfId="0" applyFont="1" applyFill="1"/>
    <xf numFmtId="166" fontId="0" fillId="4" borderId="0" xfId="8" applyNumberFormat="1" applyFont="1" applyFill="1"/>
    <xf numFmtId="166" fontId="0" fillId="4" borderId="0" xfId="0" applyNumberFormat="1" applyFill="1"/>
    <xf numFmtId="10" fontId="0" fillId="4" borderId="0" xfId="4" applyNumberFormat="1" applyFont="1" applyFill="1"/>
    <xf numFmtId="0" fontId="6" fillId="5" borderId="0" xfId="0" applyFont="1" applyFill="1" applyAlignment="1">
      <alignment vertical="top"/>
    </xf>
    <xf numFmtId="0" fontId="5" fillId="5" borderId="0" xfId="8" applyNumberFormat="1" applyFont="1" applyFill="1" applyAlignment="1">
      <alignment vertical="top" wrapText="1"/>
    </xf>
    <xf numFmtId="0" fontId="0" fillId="5" borderId="0" xfId="0" applyFill="1"/>
    <xf numFmtId="165" fontId="6" fillId="5" borderId="0" xfId="8" applyFont="1" applyFill="1" applyAlignment="1">
      <alignment vertical="top"/>
    </xf>
    <xf numFmtId="0" fontId="5" fillId="5" borderId="0" xfId="8" applyNumberFormat="1" applyFont="1" applyFill="1"/>
    <xf numFmtId="0" fontId="5" fillId="5" borderId="0" xfId="8" applyNumberFormat="1" applyFont="1" applyFill="1" applyAlignment="1">
      <alignment wrapText="1"/>
    </xf>
    <xf numFmtId="165" fontId="6" fillId="5" borderId="0" xfId="8" applyFont="1" applyFill="1" applyAlignment="1">
      <alignment vertical="top" wrapText="1"/>
    </xf>
    <xf numFmtId="0" fontId="0" fillId="5" borderId="0" xfId="0" applyNumberFormat="1" applyFill="1" applyAlignment="1">
      <alignment wrapText="1"/>
    </xf>
    <xf numFmtId="167" fontId="5" fillId="5" borderId="0" xfId="8" applyNumberFormat="1" applyFont="1" applyFill="1"/>
    <xf numFmtId="0" fontId="35" fillId="5" borderId="0" xfId="8" applyNumberFormat="1" applyFont="1" applyFill="1"/>
    <xf numFmtId="6" fontId="35" fillId="5" borderId="0" xfId="0" applyNumberFormat="1" applyFont="1" applyFill="1"/>
    <xf numFmtId="0" fontId="0" fillId="5" borderId="0" xfId="0" applyNumberFormat="1" applyFill="1"/>
    <xf numFmtId="165" fontId="5" fillId="5" borderId="0" xfId="8" applyFont="1" applyFill="1"/>
    <xf numFmtId="0" fontId="6" fillId="5" borderId="0" xfId="0" applyFont="1" applyFill="1"/>
    <xf numFmtId="0" fontId="0" fillId="5" borderId="0" xfId="8" applyNumberFormat="1" applyFont="1" applyFill="1" applyAlignment="1">
      <alignment vertical="top" wrapText="1"/>
    </xf>
    <xf numFmtId="0" fontId="5" fillId="5" borderId="0" xfId="8" applyNumberFormat="1" applyFont="1" applyFill="1" applyAlignment="1">
      <alignment vertical="top"/>
    </xf>
    <xf numFmtId="0" fontId="0" fillId="5" borderId="0" xfId="0" applyFill="1" applyAlignment="1">
      <alignment horizontal="centerContinuous"/>
    </xf>
    <xf numFmtId="0" fontId="0" fillId="5" borderId="0" xfId="0" applyFill="1" applyAlignment="1">
      <alignment wrapText="1"/>
    </xf>
    <xf numFmtId="0" fontId="0" fillId="5" borderId="0" xfId="0" applyFill="1" applyAlignment="1">
      <alignment vertical="top" wrapText="1"/>
    </xf>
    <xf numFmtId="165" fontId="6" fillId="5" borderId="0" xfId="8" applyFont="1" applyFill="1"/>
    <xf numFmtId="0" fontId="5" fillId="5" borderId="0" xfId="8" applyNumberFormat="1" applyFont="1" applyFill="1" applyAlignment="1">
      <alignment horizontal="centerContinuous"/>
    </xf>
    <xf numFmtId="0" fontId="0" fillId="0" borderId="0" xfId="0" applyFill="1" applyAlignment="1">
      <alignment horizontal="center"/>
    </xf>
    <xf numFmtId="0" fontId="0" fillId="0" borderId="16" xfId="0" applyBorder="1" applyAlignment="1">
      <alignment horizontal="center"/>
    </xf>
    <xf numFmtId="1" fontId="0" fillId="0" borderId="0" xfId="0" applyNumberFormat="1"/>
    <xf numFmtId="0" fontId="0" fillId="0" borderId="12" xfId="0" applyBorder="1" applyAlignment="1">
      <alignment horizontal="center"/>
    </xf>
    <xf numFmtId="0" fontId="0" fillId="0" borderId="12" xfId="0" applyBorder="1" applyAlignment="1">
      <alignment horizontal="center"/>
    </xf>
    <xf numFmtId="4" fontId="28" fillId="25" borderId="11" xfId="4" applyNumberFormat="1" applyFont="1" applyFill="1" applyBorder="1" applyAlignment="1">
      <alignment horizontal="center" vertical="center" wrapText="1"/>
    </xf>
    <xf numFmtId="0" fontId="14" fillId="33" borderId="7" xfId="5" applyFont="1" applyFill="1" applyBorder="1" applyAlignment="1">
      <alignment horizontal="center" vertical="center" wrapText="1"/>
    </xf>
    <xf numFmtId="0" fontId="14" fillId="6" borderId="7" xfId="5" applyFont="1" applyFill="1" applyBorder="1" applyAlignment="1">
      <alignment horizontal="center" vertical="center" wrapText="1"/>
    </xf>
    <xf numFmtId="0" fontId="13" fillId="33" borderId="7" xfId="5" applyFont="1" applyFill="1" applyBorder="1" applyAlignment="1">
      <alignment horizontal="center" vertical="center" wrapText="1"/>
    </xf>
    <xf numFmtId="0" fontId="28" fillId="33" borderId="14" xfId="5" applyFont="1" applyFill="1" applyBorder="1" applyAlignment="1">
      <alignment horizontal="center" vertical="center" wrapText="1"/>
    </xf>
    <xf numFmtId="0" fontId="28" fillId="33" borderId="11" xfId="5" applyFont="1" applyFill="1" applyBorder="1" applyAlignment="1">
      <alignment horizontal="center" vertical="center" wrapText="1"/>
    </xf>
    <xf numFmtId="0" fontId="28" fillId="33" borderId="12" xfId="5" applyFont="1" applyFill="1" applyBorder="1" applyAlignment="1">
      <alignment horizontal="center" wrapText="1"/>
    </xf>
    <xf numFmtId="0" fontId="14" fillId="34" borderId="3" xfId="5" applyNumberFormat="1" applyFont="1" applyFill="1" applyBorder="1" applyAlignment="1">
      <alignment horizontal="center" vertical="center" wrapText="1"/>
    </xf>
    <xf numFmtId="0" fontId="13" fillId="34" borderId="3" xfId="5" applyFont="1" applyFill="1" applyBorder="1" applyAlignment="1">
      <alignment horizontal="center" vertical="center" wrapText="1"/>
    </xf>
    <xf numFmtId="0" fontId="28" fillId="34" borderId="2" xfId="5" applyFont="1" applyFill="1" applyBorder="1" applyAlignment="1">
      <alignment horizontal="center" vertical="center" wrapText="1"/>
    </xf>
    <xf numFmtId="0" fontId="28" fillId="34" borderId="6" xfId="5" applyFont="1" applyFill="1" applyBorder="1" applyAlignment="1">
      <alignment horizontal="center" vertical="center" wrapText="1"/>
    </xf>
    <xf numFmtId="0" fontId="28" fillId="34" borderId="4" xfId="5" applyFont="1" applyFill="1" applyBorder="1" applyAlignment="1">
      <alignment horizontal="center" wrapText="1"/>
    </xf>
    <xf numFmtId="0" fontId="14" fillId="34" borderId="3" xfId="5" applyFont="1" applyFill="1" applyBorder="1" applyAlignment="1">
      <alignment horizontal="center" vertical="center" wrapText="1"/>
    </xf>
    <xf numFmtId="0" fontId="14" fillId="23" borderId="3" xfId="5" applyFont="1" applyFill="1" applyBorder="1" applyAlignment="1">
      <alignment horizontal="center" vertical="center" wrapText="1"/>
    </xf>
    <xf numFmtId="0" fontId="13" fillId="23" borderId="3" xfId="5" applyFont="1" applyFill="1" applyBorder="1" applyAlignment="1">
      <alignment horizontal="center" vertical="center" wrapText="1"/>
    </xf>
    <xf numFmtId="0" fontId="28" fillId="23" borderId="2" xfId="5" applyFont="1" applyFill="1" applyBorder="1" applyAlignment="1">
      <alignment horizontal="center" vertical="center" wrapText="1"/>
    </xf>
    <xf numFmtId="4" fontId="28" fillId="23" borderId="6" xfId="4" applyNumberFormat="1" applyFont="1" applyFill="1" applyBorder="1" applyAlignment="1">
      <alignment horizontal="center" vertical="center" wrapText="1"/>
    </xf>
    <xf numFmtId="9" fontId="28" fillId="23" borderId="6" xfId="4" applyFont="1" applyFill="1" applyBorder="1" applyAlignment="1">
      <alignment horizontal="center" vertical="center" wrapText="1"/>
    </xf>
    <xf numFmtId="0" fontId="28" fillId="23" borderId="4" xfId="5" applyFont="1" applyFill="1" applyBorder="1" applyAlignment="1">
      <alignment horizontal="center" wrapText="1"/>
    </xf>
    <xf numFmtId="0" fontId="14" fillId="33" borderId="3" xfId="5" applyFont="1" applyFill="1" applyBorder="1" applyAlignment="1">
      <alignment horizontal="center" vertical="center" wrapText="1"/>
    </xf>
    <xf numFmtId="0" fontId="13" fillId="33" borderId="3" xfId="5" applyFont="1" applyFill="1" applyBorder="1" applyAlignment="1">
      <alignment horizontal="center" vertical="center" wrapText="1"/>
    </xf>
    <xf numFmtId="0" fontId="28" fillId="33" borderId="2" xfId="5" applyFont="1" applyFill="1" applyBorder="1" applyAlignment="1">
      <alignment horizontal="center" vertical="center" wrapText="1"/>
    </xf>
    <xf numFmtId="0" fontId="28" fillId="33" borderId="6" xfId="5" applyFont="1" applyFill="1" applyBorder="1" applyAlignment="1">
      <alignment horizontal="center" vertical="center" wrapText="1"/>
    </xf>
    <xf numFmtId="9" fontId="28" fillId="33" borderId="6" xfId="4" applyFont="1" applyFill="1" applyBorder="1" applyAlignment="1">
      <alignment horizontal="center" vertical="center" wrapText="1"/>
    </xf>
    <xf numFmtId="0" fontId="28" fillId="33" borderId="4" xfId="5" applyFont="1" applyFill="1" applyBorder="1" applyAlignment="1">
      <alignment horizontal="center" wrapText="1"/>
    </xf>
    <xf numFmtId="0" fontId="13" fillId="6" borderId="7" xfId="5" applyFont="1" applyFill="1" applyBorder="1" applyAlignment="1">
      <alignment horizontal="center" vertical="center" wrapText="1"/>
    </xf>
    <xf numFmtId="0" fontId="28" fillId="6" borderId="14" xfId="5" applyFont="1" applyFill="1" applyBorder="1" applyAlignment="1">
      <alignment horizontal="center" vertical="center" wrapText="1"/>
    </xf>
    <xf numFmtId="0" fontId="28" fillId="6" borderId="11" xfId="5" applyFont="1" applyFill="1" applyBorder="1" applyAlignment="1">
      <alignment horizontal="center" vertical="center" wrapText="1"/>
    </xf>
    <xf numFmtId="10" fontId="28" fillId="6" borderId="11" xfId="4" applyNumberFormat="1" applyFont="1" applyFill="1" applyBorder="1" applyAlignment="1">
      <alignment horizontal="center" vertical="center" wrapText="1"/>
    </xf>
    <xf numFmtId="0" fontId="28" fillId="6" borderId="12" xfId="5" applyFont="1" applyFill="1" applyBorder="1" applyAlignment="1">
      <alignment horizontal="center" wrapText="1"/>
    </xf>
    <xf numFmtId="0" fontId="14" fillId="12" borderId="3" xfId="5" applyNumberFormat="1" applyFont="1" applyFill="1" applyBorder="1" applyAlignment="1">
      <alignment horizontal="center" vertical="center" wrapText="1"/>
    </xf>
    <xf numFmtId="0" fontId="13" fillId="12" borderId="3" xfId="5" applyFont="1" applyFill="1" applyBorder="1" applyAlignment="1">
      <alignment horizontal="center" vertical="center" wrapText="1"/>
    </xf>
    <xf numFmtId="0" fontId="28" fillId="12" borderId="2" xfId="5" applyFont="1" applyFill="1" applyBorder="1" applyAlignment="1">
      <alignment horizontal="center" vertical="center" wrapText="1"/>
    </xf>
    <xf numFmtId="0" fontId="28" fillId="12" borderId="6" xfId="5" applyFont="1" applyFill="1" applyBorder="1" applyAlignment="1">
      <alignment horizontal="center" vertical="center" wrapText="1"/>
    </xf>
    <xf numFmtId="0" fontId="28" fillId="12" borderId="4" xfId="5" applyFont="1" applyFill="1" applyBorder="1" applyAlignment="1">
      <alignment horizontal="center" wrapText="1"/>
    </xf>
    <xf numFmtId="0" fontId="14" fillId="12" borderId="3" xfId="5" applyFont="1" applyFill="1" applyBorder="1" applyAlignment="1">
      <alignment horizontal="center" vertical="center" wrapText="1"/>
    </xf>
    <xf numFmtId="0" fontId="14" fillId="13" borderId="3" xfId="5" applyFont="1" applyFill="1" applyBorder="1" applyAlignment="1">
      <alignment horizontal="center" vertical="center" wrapText="1"/>
    </xf>
    <xf numFmtId="0" fontId="13" fillId="13" borderId="3" xfId="5" applyFont="1" applyFill="1" applyBorder="1" applyAlignment="1">
      <alignment horizontal="center" vertical="center" wrapText="1"/>
    </xf>
    <xf numFmtId="0" fontId="28" fillId="13" borderId="2" xfId="5" applyFont="1" applyFill="1" applyBorder="1" applyAlignment="1">
      <alignment horizontal="center" vertical="center" wrapText="1"/>
    </xf>
    <xf numFmtId="4" fontId="28" fillId="13" borderId="6" xfId="4" applyNumberFormat="1" applyFont="1" applyFill="1" applyBorder="1" applyAlignment="1">
      <alignment horizontal="center" vertical="center" wrapText="1"/>
    </xf>
    <xf numFmtId="4" fontId="28" fillId="13" borderId="6" xfId="5" applyNumberFormat="1" applyFont="1" applyFill="1" applyBorder="1" applyAlignment="1">
      <alignment horizontal="center" vertical="center" wrapText="1"/>
    </xf>
    <xf numFmtId="0" fontId="28" fillId="13" borderId="4" xfId="5" applyFont="1" applyFill="1" applyBorder="1" applyAlignment="1">
      <alignment horizontal="center" wrapText="1"/>
    </xf>
    <xf numFmtId="0" fontId="14" fillId="6" borderId="3" xfId="5" applyFont="1" applyFill="1" applyBorder="1" applyAlignment="1">
      <alignment horizontal="center" vertical="center" wrapText="1"/>
    </xf>
    <xf numFmtId="0" fontId="13" fillId="6" borderId="3" xfId="5" applyFont="1" applyFill="1" applyBorder="1" applyAlignment="1">
      <alignment horizontal="center" vertical="center" wrapText="1"/>
    </xf>
    <xf numFmtId="0" fontId="28" fillId="6" borderId="2" xfId="5" applyFont="1" applyFill="1" applyBorder="1" applyAlignment="1">
      <alignment horizontal="center" vertical="center" wrapText="1"/>
    </xf>
    <xf numFmtId="0" fontId="28" fillId="6" borderId="6" xfId="5" applyFont="1" applyFill="1" applyBorder="1" applyAlignment="1">
      <alignment horizontal="center" vertical="center" wrapText="1"/>
    </xf>
    <xf numFmtId="9" fontId="28" fillId="6" borderId="6" xfId="4" applyFont="1" applyFill="1" applyBorder="1" applyAlignment="1">
      <alignment horizontal="center" vertical="center" wrapText="1"/>
    </xf>
    <xf numFmtId="170" fontId="28" fillId="6" borderId="6" xfId="6" applyNumberFormat="1" applyFont="1" applyFill="1" applyBorder="1" applyAlignment="1">
      <alignment horizontal="center" vertical="center" wrapText="1"/>
    </xf>
    <xf numFmtId="0" fontId="28" fillId="6" borderId="4" xfId="5" applyFont="1" applyFill="1" applyBorder="1" applyAlignment="1">
      <alignment horizontal="center" wrapText="1"/>
    </xf>
    <xf numFmtId="2" fontId="28" fillId="12" borderId="6" xfId="4" applyNumberFormat="1" applyFont="1" applyFill="1" applyBorder="1" applyAlignment="1">
      <alignment horizontal="center" vertical="center" wrapText="1"/>
    </xf>
    <xf numFmtId="172" fontId="12" fillId="12" borderId="6" xfId="5" applyNumberFormat="1" applyFont="1" applyFill="1" applyBorder="1" applyAlignment="1">
      <alignment horizontal="center" vertical="center" wrapText="1"/>
    </xf>
    <xf numFmtId="170" fontId="28" fillId="6" borderId="6" xfId="8" applyNumberFormat="1" applyFont="1" applyFill="1" applyBorder="1" applyAlignment="1">
      <alignment horizontal="center" vertical="center" wrapText="1"/>
    </xf>
    <xf numFmtId="170" fontId="28" fillId="13" borderId="6" xfId="5" applyNumberFormat="1" applyFont="1" applyFill="1" applyBorder="1" applyAlignment="1">
      <alignment horizontal="center" vertical="center" wrapText="1"/>
    </xf>
    <xf numFmtId="170" fontId="28" fillId="13" borderId="6" xfId="4" applyNumberFormat="1" applyFont="1" applyFill="1" applyBorder="1" applyAlignment="1">
      <alignment horizontal="center" vertical="center" wrapText="1"/>
    </xf>
    <xf numFmtId="2" fontId="28" fillId="26" borderId="6" xfId="4" applyNumberFormat="1" applyFont="1" applyFill="1" applyBorder="1" applyAlignment="1">
      <alignment horizontal="center" vertical="center" wrapText="1"/>
    </xf>
    <xf numFmtId="2" fontId="28" fillId="26" borderId="6" xfId="5" applyNumberFormat="1" applyFont="1" applyFill="1" applyBorder="1" applyAlignment="1">
      <alignment horizontal="center" vertical="center" wrapText="1"/>
    </xf>
    <xf numFmtId="0" fontId="28" fillId="25" borderId="2" xfId="5" applyFont="1" applyFill="1" applyBorder="1" applyAlignment="1">
      <alignment horizontal="center" vertical="center" wrapText="1"/>
    </xf>
    <xf numFmtId="3" fontId="28" fillId="12" borderId="6" xfId="4" applyNumberFormat="1" applyFont="1" applyFill="1" applyBorder="1" applyAlignment="1">
      <alignment horizontal="center" vertical="center" wrapText="1"/>
    </xf>
    <xf numFmtId="3" fontId="28" fillId="12" borderId="6" xfId="5" applyNumberFormat="1" applyFont="1" applyFill="1" applyBorder="1" applyAlignment="1">
      <alignment horizontal="center" vertical="center" wrapText="1"/>
    </xf>
    <xf numFmtId="10" fontId="4" fillId="4" borderId="0" xfId="0" applyNumberFormat="1" applyFont="1" applyFill="1" applyBorder="1" applyAlignment="1">
      <alignment horizontal="center" vertical="top"/>
    </xf>
    <xf numFmtId="0" fontId="17" fillId="0" borderId="0" xfId="0" applyFont="1"/>
    <xf numFmtId="0" fontId="24" fillId="4" borderId="0" xfId="0" applyFont="1" applyFill="1"/>
    <xf numFmtId="9" fontId="28" fillId="33" borderId="11" xfId="4" applyFont="1" applyFill="1" applyBorder="1" applyAlignment="1">
      <alignment horizontal="center" vertical="center" wrapText="1"/>
    </xf>
    <xf numFmtId="9" fontId="28" fillId="34" borderId="6" xfId="4" applyFont="1" applyFill="1" applyBorder="1" applyAlignment="1">
      <alignment horizontal="center" vertical="center" wrapText="1"/>
    </xf>
    <xf numFmtId="9" fontId="28" fillId="26" borderId="6" xfId="4" applyFont="1" applyFill="1" applyBorder="1" applyAlignment="1">
      <alignment horizontal="center" vertical="center" wrapText="1"/>
    </xf>
    <xf numFmtId="9" fontId="28" fillId="6" borderId="11" xfId="4" applyFont="1" applyFill="1" applyBorder="1" applyAlignment="1">
      <alignment horizontal="center" vertical="center" wrapText="1"/>
    </xf>
    <xf numFmtId="9" fontId="28" fillId="12" borderId="6" xfId="4" applyFont="1" applyFill="1" applyBorder="1" applyAlignment="1">
      <alignment horizontal="center" vertical="center" wrapText="1"/>
    </xf>
    <xf numFmtId="9" fontId="28" fillId="13" borderId="6" xfId="4" applyFont="1" applyFill="1" applyBorder="1" applyAlignment="1">
      <alignment horizontal="center" vertical="center" wrapText="1"/>
    </xf>
    <xf numFmtId="0" fontId="38" fillId="4" borderId="0" xfId="7" applyFont="1" applyFill="1" applyBorder="1"/>
    <xf numFmtId="9" fontId="3" fillId="4" borderId="0" xfId="4" applyFont="1" applyFill="1"/>
    <xf numFmtId="0" fontId="28" fillId="32" borderId="14" xfId="5" applyFont="1" applyFill="1" applyBorder="1" applyAlignment="1">
      <alignment horizontal="center" vertical="center" wrapText="1"/>
    </xf>
    <xf numFmtId="4" fontId="28" fillId="32" borderId="11" xfId="4" applyNumberFormat="1" applyFont="1" applyFill="1" applyBorder="1" applyAlignment="1">
      <alignment horizontal="center" vertical="center" wrapText="1"/>
    </xf>
    <xf numFmtId="9" fontId="28" fillId="32" borderId="11" xfId="4" applyFont="1" applyFill="1" applyBorder="1" applyAlignment="1">
      <alignment horizontal="center" vertical="center" wrapText="1"/>
    </xf>
    <xf numFmtId="0" fontId="28" fillId="32" borderId="12" xfId="5" applyFont="1" applyFill="1" applyBorder="1" applyAlignment="1">
      <alignment horizontal="center" wrapText="1"/>
    </xf>
    <xf numFmtId="0" fontId="28" fillId="28" borderId="10" xfId="5" applyFont="1" applyFill="1" applyBorder="1" applyAlignment="1">
      <alignment horizontal="center" vertical="center" wrapText="1"/>
    </xf>
    <xf numFmtId="0" fontId="28" fillId="28" borderId="13" xfId="5" applyFont="1" applyFill="1" applyBorder="1" applyAlignment="1">
      <alignment horizontal="center" wrapText="1"/>
    </xf>
    <xf numFmtId="0" fontId="28" fillId="31" borderId="4" xfId="5" applyFont="1" applyFill="1" applyBorder="1" applyAlignment="1">
      <alignment horizontal="center" vertical="center" wrapText="1"/>
    </xf>
    <xf numFmtId="9" fontId="28" fillId="28" borderId="10" xfId="4" applyFont="1" applyFill="1" applyBorder="1" applyAlignment="1">
      <alignment horizontal="center" vertical="center" wrapText="1"/>
    </xf>
    <xf numFmtId="171" fontId="28" fillId="28" borderId="10" xfId="4" applyNumberFormat="1" applyFont="1" applyFill="1" applyBorder="1" applyAlignment="1">
      <alignment horizontal="center" vertical="center" wrapText="1"/>
    </xf>
    <xf numFmtId="10" fontId="3" fillId="4" borderId="0" xfId="4" applyNumberFormat="1" applyFont="1" applyFill="1" applyBorder="1"/>
    <xf numFmtId="166" fontId="0" fillId="0" borderId="0" xfId="8" applyNumberFormat="1" applyFont="1" applyFill="1"/>
    <xf numFmtId="166" fontId="0" fillId="4" borderId="2" xfId="8" applyNumberFormat="1" applyFont="1" applyFill="1" applyBorder="1"/>
    <xf numFmtId="0" fontId="0" fillId="4" borderId="2" xfId="0" applyFill="1" applyBorder="1" applyAlignment="1">
      <alignment horizontal="center"/>
    </xf>
    <xf numFmtId="0" fontId="0" fillId="4" borderId="2" xfId="0" applyFill="1" applyBorder="1"/>
    <xf numFmtId="0" fontId="0" fillId="4" borderId="14" xfId="0" applyFill="1" applyBorder="1"/>
    <xf numFmtId="166" fontId="0" fillId="4" borderId="6" xfId="8" applyNumberFormat="1" applyFont="1" applyFill="1" applyBorder="1"/>
    <xf numFmtId="0" fontId="0" fillId="4" borderId="6" xfId="0" applyFill="1" applyBorder="1" applyAlignment="1">
      <alignment horizontal="center"/>
    </xf>
    <xf numFmtId="0" fontId="0" fillId="4" borderId="6" xfId="0" applyFill="1" applyBorder="1"/>
    <xf numFmtId="0" fontId="0" fillId="4" borderId="4" xfId="0" applyFill="1" applyBorder="1"/>
    <xf numFmtId="0" fontId="0" fillId="4" borderId="12" xfId="0" applyFill="1" applyBorder="1"/>
    <xf numFmtId="0" fontId="0" fillId="4" borderId="6" xfId="0" applyFill="1" applyBorder="1" applyAlignment="1">
      <alignment horizontal="center" wrapText="1"/>
    </xf>
    <xf numFmtId="166" fontId="0" fillId="4" borderId="4" xfId="8" applyNumberFormat="1" applyFont="1" applyFill="1" applyBorder="1"/>
    <xf numFmtId="0" fontId="0" fillId="4" borderId="4" xfId="0" applyFill="1" applyBorder="1" applyAlignment="1">
      <alignment horizontal="center"/>
    </xf>
    <xf numFmtId="0" fontId="6" fillId="3" borderId="3" xfId="0" applyFont="1" applyFill="1" applyBorder="1" applyAlignment="1">
      <alignment wrapText="1"/>
    </xf>
    <xf numFmtId="166" fontId="6" fillId="3" borderId="3" xfId="8" applyNumberFormat="1" applyFont="1" applyFill="1" applyBorder="1" applyAlignment="1">
      <alignment wrapText="1"/>
    </xf>
    <xf numFmtId="166" fontId="6" fillId="3" borderId="3" xfId="8" applyNumberFormat="1" applyFont="1" applyFill="1" applyBorder="1" applyAlignment="1">
      <alignment horizontal="center" wrapText="1"/>
    </xf>
    <xf numFmtId="166" fontId="6" fillId="3" borderId="3" xfId="8" applyNumberFormat="1" applyFont="1" applyFill="1" applyBorder="1"/>
    <xf numFmtId="0" fontId="6" fillId="3" borderId="3" xfId="0" applyFont="1" applyFill="1" applyBorder="1"/>
    <xf numFmtId="0" fontId="6" fillId="3" borderId="3" xfId="0" applyFont="1" applyFill="1" applyBorder="1" applyAlignment="1">
      <alignment horizontal="center"/>
    </xf>
    <xf numFmtId="166" fontId="6" fillId="3" borderId="3" xfId="8" applyNumberFormat="1" applyFont="1" applyFill="1" applyBorder="1" applyAlignment="1">
      <alignment horizontal="center"/>
    </xf>
    <xf numFmtId="0" fontId="6" fillId="3" borderId="4" xfId="0" applyFont="1" applyFill="1" applyBorder="1" applyAlignment="1">
      <alignment horizontal="center"/>
    </xf>
    <xf numFmtId="0" fontId="6" fillId="0" borderId="4" xfId="0" applyFont="1" applyFill="1" applyBorder="1" applyAlignment="1">
      <alignment horizontal="center"/>
    </xf>
    <xf numFmtId="0" fontId="6" fillId="4" borderId="3" xfId="0" applyFont="1" applyFill="1" applyBorder="1"/>
    <xf numFmtId="166" fontId="6" fillId="4" borderId="3" xfId="0" applyNumberFormat="1" applyFont="1" applyFill="1" applyBorder="1"/>
    <xf numFmtId="0" fontId="6" fillId="4" borderId="7" xfId="0" applyFont="1" applyFill="1" applyBorder="1"/>
    <xf numFmtId="166" fontId="6" fillId="4" borderId="8" xfId="0" applyNumberFormat="1" applyFont="1" applyFill="1" applyBorder="1"/>
    <xf numFmtId="0" fontId="6" fillId="4" borderId="9" xfId="0" applyFont="1" applyFill="1" applyBorder="1"/>
    <xf numFmtId="166" fontId="5" fillId="0" borderId="0" xfId="8" applyNumberFormat="1" applyFont="1" applyFill="1"/>
    <xf numFmtId="2" fontId="0" fillId="35" borderId="2" xfId="8" applyNumberFormat="1" applyFont="1" applyFill="1" applyBorder="1"/>
    <xf numFmtId="10" fontId="0" fillId="35" borderId="2" xfId="4" applyNumberFormat="1" applyFont="1" applyFill="1" applyBorder="1"/>
    <xf numFmtId="2" fontId="0" fillId="35" borderId="2" xfId="4" applyNumberFormat="1" applyFont="1" applyFill="1" applyBorder="1"/>
    <xf numFmtId="10" fontId="0" fillId="35" borderId="2" xfId="4" applyNumberFormat="1" applyFont="1" applyFill="1" applyBorder="1" applyAlignment="1">
      <alignment horizontal="center"/>
    </xf>
    <xf numFmtId="2" fontId="0" fillId="0" borderId="11" xfId="4" applyNumberFormat="1" applyFont="1" applyFill="1" applyBorder="1"/>
    <xf numFmtId="0" fontId="0" fillId="4" borderId="11" xfId="0" applyFill="1" applyBorder="1"/>
    <xf numFmtId="2" fontId="0" fillId="4" borderId="0" xfId="0" applyNumberFormat="1" applyFill="1" applyBorder="1"/>
    <xf numFmtId="2" fontId="0" fillId="4" borderId="10" xfId="0" applyNumberFormat="1" applyFill="1" applyBorder="1"/>
    <xf numFmtId="0" fontId="0" fillId="4" borderId="10" xfId="0" applyFill="1" applyBorder="1"/>
    <xf numFmtId="2" fontId="0" fillId="35" borderId="6" xfId="8" applyNumberFormat="1" applyFont="1" applyFill="1" applyBorder="1"/>
    <xf numFmtId="10" fontId="0" fillId="35" borderId="6" xfId="4" applyNumberFormat="1" applyFont="1" applyFill="1" applyBorder="1"/>
    <xf numFmtId="2" fontId="0" fillId="35" borderId="6" xfId="4" applyNumberFormat="1" applyFont="1" applyFill="1" applyBorder="1"/>
    <xf numFmtId="10" fontId="0" fillId="35" borderId="6" xfId="4" applyNumberFormat="1" applyFont="1" applyFill="1" applyBorder="1" applyAlignment="1">
      <alignment horizontal="center"/>
    </xf>
    <xf numFmtId="10" fontId="0" fillId="4" borderId="10" xfId="4" applyNumberFormat="1" applyFont="1" applyFill="1" applyBorder="1"/>
    <xf numFmtId="2" fontId="0" fillId="4" borderId="0" xfId="4" applyNumberFormat="1" applyFont="1" applyFill="1" applyBorder="1"/>
    <xf numFmtId="2" fontId="0" fillId="35" borderId="4" xfId="8" applyNumberFormat="1" applyFont="1" applyFill="1" applyBorder="1"/>
    <xf numFmtId="10" fontId="0" fillId="35" borderId="4" xfId="4" applyNumberFormat="1" applyFont="1" applyFill="1" applyBorder="1"/>
    <xf numFmtId="2" fontId="0" fillId="35" borderId="4" xfId="4" applyNumberFormat="1" applyFont="1" applyFill="1" applyBorder="1"/>
    <xf numFmtId="10" fontId="0" fillId="35" borderId="4" xfId="4" applyNumberFormat="1" applyFont="1" applyFill="1" applyBorder="1" applyAlignment="1">
      <alignment horizontal="center"/>
    </xf>
    <xf numFmtId="10" fontId="0" fillId="4" borderId="1" xfId="0" applyNumberFormat="1" applyFill="1" applyBorder="1"/>
    <xf numFmtId="2" fontId="0" fillId="4" borderId="1" xfId="0" applyNumberFormat="1" applyFill="1" applyBorder="1"/>
    <xf numFmtId="10" fontId="0" fillId="4" borderId="13" xfId="4" applyNumberFormat="1" applyFont="1" applyFill="1" applyBorder="1"/>
    <xf numFmtId="2" fontId="0" fillId="4" borderId="1" xfId="4" applyNumberFormat="1" applyFont="1" applyFill="1" applyBorder="1"/>
    <xf numFmtId="0" fontId="0" fillId="4" borderId="13" xfId="0" applyFill="1" applyBorder="1"/>
    <xf numFmtId="9" fontId="0" fillId="0" borderId="0" xfId="4" applyFont="1" applyFill="1"/>
    <xf numFmtId="166" fontId="0" fillId="4" borderId="17" xfId="0" applyNumberFormat="1" applyFill="1" applyBorder="1"/>
    <xf numFmtId="166" fontId="0" fillId="4" borderId="17" xfId="8" applyNumberFormat="1" applyFont="1" applyFill="1" applyBorder="1"/>
    <xf numFmtId="3" fontId="28" fillId="6" borderId="6" xfId="4" applyNumberFormat="1" applyFont="1" applyFill="1" applyBorder="1" applyAlignment="1">
      <alignment horizontal="center" vertical="center" wrapText="1"/>
    </xf>
    <xf numFmtId="10" fontId="14" fillId="4" borderId="0" xfId="4" applyNumberFormat="1" applyFont="1" applyFill="1" applyBorder="1" applyAlignment="1">
      <alignment horizontal="center"/>
    </xf>
    <xf numFmtId="9" fontId="13" fillId="4" borderId="0" xfId="4" applyFont="1" applyFill="1" applyBorder="1"/>
    <xf numFmtId="0" fontId="13" fillId="4" borderId="0" xfId="7" applyFont="1" applyFill="1" applyBorder="1"/>
    <xf numFmtId="0" fontId="13" fillId="4" borderId="0" xfId="7" applyFont="1" applyFill="1"/>
    <xf numFmtId="10" fontId="4" fillId="4" borderId="0" xfId="4" applyNumberFormat="1" applyFont="1" applyFill="1" applyAlignment="1">
      <alignment horizontal="center" vertical="top"/>
    </xf>
    <xf numFmtId="0" fontId="0" fillId="4" borderId="0" xfId="0" applyFill="1" applyAlignment="1">
      <alignment horizontal="right" vertical="top" wrapText="1"/>
    </xf>
    <xf numFmtId="0" fontId="18" fillId="0" borderId="0" xfId="0" applyFont="1"/>
    <xf numFmtId="0" fontId="18" fillId="0" borderId="0" xfId="0" quotePrefix="1" applyFont="1"/>
    <xf numFmtId="0" fontId="4" fillId="0" borderId="0" xfId="0" applyFont="1"/>
    <xf numFmtId="0" fontId="4" fillId="0" borderId="1" xfId="0" applyFont="1" applyFill="1" applyBorder="1"/>
    <xf numFmtId="0" fontId="18" fillId="0" borderId="0" xfId="0" applyFont="1" applyFill="1"/>
    <xf numFmtId="0" fontId="4" fillId="0" borderId="1" xfId="0" applyFont="1" applyFill="1" applyBorder="1" applyAlignment="1">
      <alignment horizontal="center"/>
    </xf>
    <xf numFmtId="0" fontId="18" fillId="36" borderId="18" xfId="0" applyFont="1" applyFill="1" applyBorder="1"/>
    <xf numFmtId="0" fontId="4" fillId="36" borderId="19" xfId="0" applyFont="1" applyFill="1" applyBorder="1"/>
    <xf numFmtId="0" fontId="4" fillId="36" borderId="19" xfId="0" applyFont="1" applyFill="1" applyBorder="1" applyAlignment="1">
      <alignment horizontal="center"/>
    </xf>
    <xf numFmtId="0" fontId="18" fillId="36" borderId="20" xfId="0" applyFont="1" applyFill="1" applyBorder="1"/>
    <xf numFmtId="0" fontId="18" fillId="37" borderId="21" xfId="0" applyFont="1" applyFill="1" applyBorder="1"/>
    <xf numFmtId="0" fontId="4" fillId="37" borderId="0" xfId="0" applyFont="1" applyFill="1" applyBorder="1"/>
    <xf numFmtId="0" fontId="4" fillId="37" borderId="0" xfId="0" applyFont="1" applyFill="1" applyBorder="1" applyAlignment="1">
      <alignment horizontal="center"/>
    </xf>
    <xf numFmtId="0" fontId="18" fillId="37" borderId="22" xfId="0" applyFont="1" applyFill="1" applyBorder="1"/>
    <xf numFmtId="0" fontId="18" fillId="38" borderId="23" xfId="0" applyFont="1" applyFill="1" applyBorder="1"/>
    <xf numFmtId="0" fontId="4" fillId="38" borderId="24" xfId="0" applyFont="1" applyFill="1" applyBorder="1"/>
    <xf numFmtId="0" fontId="4" fillId="38" borderId="24" xfId="0" applyFont="1" applyFill="1" applyBorder="1" applyAlignment="1">
      <alignment horizontal="center"/>
    </xf>
    <xf numFmtId="0" fontId="18" fillId="38" borderId="25" xfId="0" applyFont="1" applyFill="1" applyBorder="1"/>
    <xf numFmtId="0" fontId="4" fillId="0" borderId="0" xfId="0" applyFont="1" applyFill="1" applyBorder="1" applyAlignment="1">
      <alignment horizontal="center"/>
    </xf>
    <xf numFmtId="0" fontId="18" fillId="0" borderId="21" xfId="0" applyFont="1" applyFill="1" applyBorder="1"/>
    <xf numFmtId="0" fontId="18" fillId="0" borderId="0" xfId="0" applyFont="1" applyFill="1" applyBorder="1"/>
    <xf numFmtId="2" fontId="4" fillId="0" borderId="0" xfId="0" applyNumberFormat="1" applyFont="1" applyFill="1" applyBorder="1"/>
    <xf numFmtId="0" fontId="4" fillId="0" borderId="0" xfId="0" applyFont="1" applyFill="1" applyBorder="1" applyAlignment="1">
      <alignment horizontal="right"/>
    </xf>
    <xf numFmtId="0" fontId="18" fillId="0" borderId="22" xfId="0" applyFont="1" applyFill="1" applyBorder="1"/>
    <xf numFmtId="38" fontId="4" fillId="0" borderId="0" xfId="0" applyNumberFormat="1" applyFont="1" applyFill="1" applyBorder="1"/>
    <xf numFmtId="0" fontId="4" fillId="0" borderId="0" xfId="0" applyFont="1" applyFill="1" applyBorder="1"/>
    <xf numFmtId="6" fontId="4" fillId="0" borderId="0" xfId="0" applyNumberFormat="1" applyFont="1" applyFill="1" applyBorder="1"/>
    <xf numFmtId="0" fontId="0" fillId="0" borderId="21" xfId="0" applyFill="1" applyBorder="1"/>
    <xf numFmtId="0" fontId="0" fillId="0" borderId="22" xfId="0" applyFill="1" applyBorder="1"/>
    <xf numFmtId="0" fontId="23" fillId="34" borderId="8" xfId="0" applyFont="1" applyFill="1" applyBorder="1"/>
    <xf numFmtId="0" fontId="0" fillId="34" borderId="7" xfId="0" applyFill="1" applyBorder="1"/>
    <xf numFmtId="0" fontId="19" fillId="24" borderId="2" xfId="5" applyFont="1" applyFill="1" applyBorder="1" applyAlignment="1">
      <alignment horizontal="center"/>
    </xf>
    <xf numFmtId="0" fontId="17" fillId="4" borderId="2" xfId="0" applyFont="1" applyFill="1" applyBorder="1"/>
    <xf numFmtId="0" fontId="17" fillId="4" borderId="2" xfId="0" applyFont="1" applyFill="1" applyBorder="1" applyAlignment="1">
      <alignment horizontal="center"/>
    </xf>
    <xf numFmtId="0" fontId="17" fillId="20" borderId="4" xfId="0" applyFont="1" applyFill="1" applyBorder="1"/>
    <xf numFmtId="0" fontId="0" fillId="0" borderId="4" xfId="0" applyBorder="1"/>
    <xf numFmtId="0" fontId="17" fillId="20" borderId="4" xfId="0" applyFont="1" applyFill="1" applyBorder="1" applyAlignment="1">
      <alignment horizontal="center"/>
    </xf>
    <xf numFmtId="0" fontId="19" fillId="14" borderId="2" xfId="5" applyFont="1" applyFill="1" applyBorder="1"/>
    <xf numFmtId="0" fontId="3" fillId="0" borderId="2" xfId="5" applyFill="1" applyBorder="1"/>
    <xf numFmtId="0" fontId="19" fillId="14" borderId="2" xfId="5" applyFont="1" applyFill="1" applyBorder="1" applyAlignment="1">
      <alignment horizontal="center"/>
    </xf>
    <xf numFmtId="0" fontId="19" fillId="6" borderId="2" xfId="5" applyFont="1" applyFill="1" applyBorder="1"/>
    <xf numFmtId="0" fontId="0" fillId="0" borderId="2" xfId="0" applyFill="1" applyBorder="1"/>
    <xf numFmtId="0" fontId="19" fillId="6" borderId="2" xfId="5" applyFont="1" applyFill="1" applyBorder="1" applyAlignment="1">
      <alignment horizontal="center"/>
    </xf>
    <xf numFmtId="0" fontId="19" fillId="13" borderId="4" xfId="5" applyFont="1" applyFill="1" applyBorder="1"/>
    <xf numFmtId="0" fontId="19" fillId="13" borderId="4" xfId="5" applyFont="1" applyFill="1" applyBorder="1" applyAlignment="1">
      <alignment horizontal="center"/>
    </xf>
    <xf numFmtId="0" fontId="19" fillId="11" borderId="4" xfId="5" applyFont="1" applyFill="1" applyBorder="1"/>
    <xf numFmtId="0" fontId="3" fillId="0" borderId="13" xfId="5" applyFill="1" applyBorder="1"/>
    <xf numFmtId="0" fontId="19" fillId="11" borderId="4" xfId="5" applyFont="1" applyFill="1" applyBorder="1" applyAlignment="1">
      <alignment horizontal="center"/>
    </xf>
    <xf numFmtId="0" fontId="19" fillId="8" borderId="2" xfId="5" applyFont="1" applyFill="1" applyBorder="1"/>
    <xf numFmtId="0" fontId="3" fillId="0" borderId="15" xfId="5" applyFill="1" applyBorder="1"/>
    <xf numFmtId="0" fontId="19" fillId="8" borderId="2" xfId="5" applyFont="1" applyFill="1" applyBorder="1" applyAlignment="1">
      <alignment horizontal="center"/>
    </xf>
    <xf numFmtId="10" fontId="12" fillId="12" borderId="6" xfId="5" applyNumberFormat="1" applyFont="1" applyFill="1" applyBorder="1" applyAlignment="1">
      <alignment horizontal="center" vertical="center" wrapText="1"/>
    </xf>
    <xf numFmtId="166" fontId="0" fillId="12" borderId="0" xfId="8" applyNumberFormat="1" applyFont="1" applyFill="1"/>
    <xf numFmtId="166" fontId="6" fillId="12" borderId="3" xfId="8" applyNumberFormat="1" applyFont="1" applyFill="1" applyBorder="1" applyAlignment="1">
      <alignment wrapText="1"/>
    </xf>
    <xf numFmtId="166" fontId="5" fillId="12" borderId="0" xfId="8" applyNumberFormat="1" applyFont="1" applyFill="1"/>
    <xf numFmtId="0" fontId="0" fillId="12" borderId="0" xfId="0" applyFill="1"/>
    <xf numFmtId="9" fontId="0" fillId="12" borderId="0" xfId="4" applyFont="1" applyFill="1"/>
    <xf numFmtId="166" fontId="6" fillId="12" borderId="3" xfId="8" applyNumberFormat="1" applyFont="1" applyFill="1" applyBorder="1" applyAlignment="1">
      <alignment horizontal="center" wrapText="1"/>
    </xf>
    <xf numFmtId="166" fontId="6" fillId="12" borderId="0" xfId="8" applyNumberFormat="1" applyFont="1" applyFill="1" applyAlignment="1">
      <alignment horizontal="center"/>
    </xf>
    <xf numFmtId="10" fontId="6" fillId="0" borderId="0" xfId="4" applyNumberFormat="1" applyFont="1"/>
    <xf numFmtId="2" fontId="6" fillId="0" borderId="0" xfId="0" applyNumberFormat="1" applyFont="1"/>
    <xf numFmtId="165" fontId="6" fillId="0" borderId="0" xfId="8" applyFont="1"/>
    <xf numFmtId="0" fontId="0" fillId="35" borderId="2" xfId="4" applyNumberFormat="1" applyFont="1" applyFill="1" applyBorder="1"/>
    <xf numFmtId="0" fontId="0" fillId="35" borderId="6" xfId="4" applyNumberFormat="1" applyFont="1" applyFill="1" applyBorder="1"/>
    <xf numFmtId="10" fontId="0" fillId="4" borderId="2" xfId="0" applyNumberFormat="1" applyFill="1" applyBorder="1"/>
    <xf numFmtId="10" fontId="0" fillId="4" borderId="6" xfId="0" applyNumberFormat="1" applyFill="1" applyBorder="1"/>
    <xf numFmtId="10" fontId="0" fillId="4" borderId="4" xfId="0" applyNumberFormat="1" applyFill="1" applyBorder="1"/>
    <xf numFmtId="2" fontId="0" fillId="4" borderId="2" xfId="0" applyNumberFormat="1" applyFill="1" applyBorder="1"/>
    <xf numFmtId="2" fontId="0" fillId="4" borderId="6" xfId="0" applyNumberFormat="1" applyFill="1" applyBorder="1"/>
    <xf numFmtId="2" fontId="0" fillId="4" borderId="4" xfId="0" applyNumberFormat="1" applyFill="1" applyBorder="1"/>
    <xf numFmtId="0" fontId="0" fillId="35" borderId="0" xfId="0" applyFill="1"/>
    <xf numFmtId="0" fontId="22" fillId="4" borderId="0" xfId="0" applyNumberFormat="1" applyFont="1" applyFill="1" applyBorder="1" applyAlignment="1">
      <alignment horizontal="right" vertical="center"/>
    </xf>
    <xf numFmtId="0" fontId="0" fillId="0" borderId="0" xfId="0" applyNumberFormat="1" applyFill="1"/>
    <xf numFmtId="1" fontId="22" fillId="4" borderId="0" xfId="0" applyNumberFormat="1" applyFont="1" applyFill="1" applyBorder="1" applyAlignment="1">
      <alignment horizontal="right" vertical="center"/>
    </xf>
    <xf numFmtId="0" fontId="28" fillId="34" borderId="6" xfId="5" applyFont="1" applyFill="1" applyBorder="1" applyAlignment="1">
      <alignment horizontal="center" vertical="center" wrapText="1"/>
    </xf>
    <xf numFmtId="0" fontId="4" fillId="22" borderId="7" xfId="0" applyFont="1" applyFill="1" applyBorder="1"/>
    <xf numFmtId="0" fontId="4" fillId="22" borderId="8" xfId="0" applyFont="1" applyFill="1" applyBorder="1"/>
    <xf numFmtId="0" fontId="4" fillId="22" borderId="9" xfId="0" applyFont="1" applyFill="1" applyBorder="1"/>
    <xf numFmtId="165" fontId="0" fillId="0" borderId="0" xfId="8" applyNumberFormat="1" applyFont="1"/>
    <xf numFmtId="4" fontId="6" fillId="0" borderId="1" xfId="0" applyNumberFormat="1" applyFont="1" applyBorder="1"/>
    <xf numFmtId="4" fontId="0" fillId="0" borderId="0" xfId="8" applyNumberFormat="1" applyFont="1"/>
    <xf numFmtId="0" fontId="6" fillId="0" borderId="1" xfId="0" applyNumberFormat="1" applyFont="1" applyBorder="1"/>
    <xf numFmtId="0" fontId="0" fillId="5" borderId="0" xfId="8" applyNumberFormat="1" applyFont="1" applyFill="1"/>
    <xf numFmtId="171" fontId="28" fillId="34" borderId="6" xfId="4" applyNumberFormat="1" applyFont="1" applyFill="1" applyBorder="1" applyAlignment="1">
      <alignment horizontal="center" vertical="center" wrapText="1"/>
    </xf>
    <xf numFmtId="171" fontId="28" fillId="31" borderId="6" xfId="4" applyNumberFormat="1" applyFont="1" applyFill="1" applyBorder="1" applyAlignment="1">
      <alignment horizontal="center" vertical="center" wrapText="1"/>
    </xf>
    <xf numFmtId="171" fontId="28" fillId="31" borderId="6" xfId="6" applyNumberFormat="1" applyFont="1" applyFill="1" applyBorder="1" applyAlignment="1">
      <alignment horizontal="center" vertical="center" wrapText="1"/>
    </xf>
    <xf numFmtId="174" fontId="28" fillId="12" borderId="6" xfId="4" applyNumberFormat="1" applyFont="1" applyFill="1" applyBorder="1" applyAlignment="1">
      <alignment horizontal="center" vertical="center" wrapText="1"/>
    </xf>
    <xf numFmtId="173" fontId="28" fillId="31" borderId="6" xfId="4" applyNumberFormat="1" applyFont="1" applyFill="1" applyBorder="1" applyAlignment="1">
      <alignment horizontal="center" vertical="center" wrapText="1"/>
    </xf>
    <xf numFmtId="172" fontId="28" fillId="31" borderId="6" xfId="4" applyNumberFormat="1" applyFont="1" applyFill="1" applyBorder="1" applyAlignment="1">
      <alignment horizontal="center" vertical="center" wrapText="1"/>
    </xf>
    <xf numFmtId="10" fontId="28" fillId="31" borderId="6" xfId="4" applyNumberFormat="1" applyFont="1" applyFill="1" applyBorder="1" applyAlignment="1">
      <alignment horizontal="center" vertical="center" wrapText="1"/>
    </xf>
    <xf numFmtId="166" fontId="0" fillId="35" borderId="0" xfId="0" applyNumberFormat="1" applyFill="1"/>
    <xf numFmtId="2" fontId="0" fillId="35" borderId="0" xfId="0" applyNumberFormat="1" applyFill="1"/>
    <xf numFmtId="0" fontId="0" fillId="35" borderId="4" xfId="4" applyNumberFormat="1" applyFont="1" applyFill="1" applyBorder="1"/>
    <xf numFmtId="10" fontId="0" fillId="35" borderId="0" xfId="4" applyNumberFormat="1" applyFont="1" applyFill="1"/>
    <xf numFmtId="167" fontId="28" fillId="4" borderId="0" xfId="6" applyNumberFormat="1" applyFont="1" applyFill="1" applyBorder="1" applyAlignment="1">
      <alignment horizontal="center"/>
    </xf>
    <xf numFmtId="9" fontId="28" fillId="4" borderId="0" xfId="4" applyFont="1" applyFill="1" applyBorder="1"/>
    <xf numFmtId="0" fontId="0" fillId="0" borderId="0" xfId="0" applyAlignment="1">
      <alignment horizontal="left" indent="2"/>
    </xf>
    <xf numFmtId="0" fontId="6" fillId="0" borderId="0" xfId="0" applyFont="1" applyFill="1"/>
    <xf numFmtId="0" fontId="0" fillId="0" borderId="0" xfId="0" applyFill="1" applyAlignment="1">
      <alignment horizontal="left"/>
    </xf>
    <xf numFmtId="171" fontId="0" fillId="0" borderId="0" xfId="0" applyNumberFormat="1" applyFill="1"/>
    <xf numFmtId="10" fontId="0" fillId="0" borderId="0" xfId="0" applyNumberFormat="1" applyFill="1"/>
    <xf numFmtId="10" fontId="0" fillId="0" borderId="0" xfId="4" applyNumberFormat="1" applyFont="1" applyFill="1"/>
    <xf numFmtId="0" fontId="0" fillId="0" borderId="0" xfId="0" applyFill="1" applyAlignment="1">
      <alignment horizontal="left" indent="1"/>
    </xf>
    <xf numFmtId="0" fontId="0" fillId="4" borderId="0" xfId="0" applyFill="1" applyAlignment="1">
      <alignment horizontal="right"/>
    </xf>
    <xf numFmtId="0" fontId="33" fillId="0" borderId="0" xfId="10" applyAlignment="1">
      <alignment horizontal="left" vertical="center" indent="2"/>
    </xf>
    <xf numFmtId="164" fontId="0" fillId="0" borderId="0" xfId="8" applyNumberFormat="1" applyFont="1"/>
    <xf numFmtId="0" fontId="6" fillId="6" borderId="7" xfId="0" applyFont="1" applyFill="1" applyBorder="1"/>
    <xf numFmtId="0" fontId="6" fillId="0" borderId="0" xfId="0" applyFont="1" applyFill="1" applyAlignment="1">
      <alignment horizontal="center"/>
    </xf>
    <xf numFmtId="0" fontId="0" fillId="0" borderId="0" xfId="0" quotePrefix="1"/>
    <xf numFmtId="0" fontId="6" fillId="0" borderId="0" xfId="0" applyFont="1" applyFill="1" applyBorder="1" applyAlignment="1"/>
    <xf numFmtId="0" fontId="0" fillId="0" borderId="0" xfId="0" applyFill="1" applyAlignment="1">
      <alignment horizontal="center"/>
    </xf>
    <xf numFmtId="0" fontId="6" fillId="6" borderId="8" xfId="0" applyFont="1" applyFill="1" applyBorder="1"/>
    <xf numFmtId="0" fontId="6" fillId="6" borderId="9" xfId="0" applyFont="1" applyFill="1" applyBorder="1"/>
    <xf numFmtId="0" fontId="0" fillId="33" borderId="7" xfId="0" applyFill="1" applyBorder="1"/>
    <xf numFmtId="0" fontId="0" fillId="33" borderId="8" xfId="0" applyFill="1" applyBorder="1"/>
    <xf numFmtId="0" fontId="0" fillId="33" borderId="9" xfId="0" applyFill="1" applyBorder="1"/>
    <xf numFmtId="0" fontId="6" fillId="33" borderId="7" xfId="0" applyFont="1" applyFill="1" applyBorder="1"/>
    <xf numFmtId="0" fontId="6" fillId="33" borderId="8" xfId="0" applyFont="1" applyFill="1" applyBorder="1"/>
    <xf numFmtId="0" fontId="6" fillId="33" borderId="9" xfId="0" applyFont="1" applyFill="1" applyBorder="1"/>
    <xf numFmtId="0" fontId="6" fillId="33" borderId="7" xfId="0" applyFont="1" applyFill="1" applyBorder="1" applyAlignment="1">
      <alignment horizontal="center"/>
    </xf>
    <xf numFmtId="0" fontId="6" fillId="33" borderId="8" xfId="0" applyFont="1" applyFill="1" applyBorder="1" applyAlignment="1">
      <alignment horizontal="center"/>
    </xf>
    <xf numFmtId="0" fontId="6" fillId="33" borderId="9" xfId="0" applyFont="1" applyFill="1" applyBorder="1" applyAlignment="1">
      <alignment horizontal="center"/>
    </xf>
    <xf numFmtId="0" fontId="6" fillId="0" borderId="0" xfId="0" applyFont="1" applyFill="1" applyBorder="1" applyAlignment="1">
      <alignment horizontal="center"/>
    </xf>
    <xf numFmtId="0" fontId="6" fillId="33" borderId="8" xfId="0" applyFont="1" applyFill="1" applyBorder="1" applyAlignment="1">
      <alignment horizontal="center"/>
    </xf>
    <xf numFmtId="0" fontId="6" fillId="33" borderId="9" xfId="0" applyFont="1" applyFill="1" applyBorder="1" applyAlignment="1">
      <alignment horizontal="center"/>
    </xf>
    <xf numFmtId="0" fontId="6" fillId="33" borderId="7" xfId="0" applyFont="1" applyFill="1" applyBorder="1" applyAlignment="1">
      <alignment horizontal="center"/>
    </xf>
    <xf numFmtId="0" fontId="6" fillId="0" borderId="7" xfId="0" applyFont="1" applyBorder="1"/>
    <xf numFmtId="0" fontId="42" fillId="4" borderId="0" xfId="0" applyFont="1" applyFill="1"/>
    <xf numFmtId="0" fontId="6" fillId="33" borderId="0" xfId="0" applyFont="1" applyFill="1" applyBorder="1" applyAlignment="1">
      <alignment horizontal="center"/>
    </xf>
    <xf numFmtId="10" fontId="28" fillId="33" borderId="6" xfId="4" applyNumberFormat="1" applyFont="1" applyFill="1" applyBorder="1" applyAlignment="1">
      <alignment horizontal="center" vertical="center" wrapText="1"/>
    </xf>
    <xf numFmtId="10" fontId="28" fillId="6" borderId="6" xfId="8" applyNumberFormat="1" applyFont="1" applyFill="1" applyBorder="1" applyAlignment="1">
      <alignment horizontal="center" vertical="center" wrapText="1"/>
    </xf>
    <xf numFmtId="0" fontId="28" fillId="34" borderId="2" xfId="5" applyFont="1" applyFill="1" applyBorder="1" applyAlignment="1">
      <alignment horizontal="center" vertical="center" wrapText="1"/>
    </xf>
    <xf numFmtId="0" fontId="28" fillId="34" borderId="6" xfId="5" applyFont="1" applyFill="1" applyBorder="1" applyAlignment="1">
      <alignment horizontal="center" vertical="center" wrapText="1"/>
    </xf>
    <xf numFmtId="0" fontId="28" fillId="28" borderId="2" xfId="5" applyFont="1" applyFill="1" applyBorder="1" applyAlignment="1">
      <alignment horizontal="center" vertical="center" wrapText="1"/>
    </xf>
    <xf numFmtId="0" fontId="28" fillId="28" borderId="6" xfId="5" applyFont="1" applyFill="1" applyBorder="1" applyAlignment="1">
      <alignment horizontal="center" vertical="center" wrapText="1"/>
    </xf>
    <xf numFmtId="0" fontId="28" fillId="12" borderId="2" xfId="5" applyFont="1" applyFill="1" applyBorder="1" applyAlignment="1">
      <alignment horizontal="center" vertical="center" wrapText="1"/>
    </xf>
    <xf numFmtId="0" fontId="28" fillId="12" borderId="6" xfId="5" applyFont="1" applyFill="1" applyBorder="1" applyAlignment="1">
      <alignment horizontal="center" vertical="center" wrapText="1"/>
    </xf>
    <xf numFmtId="0" fontId="28" fillId="28" borderId="15" xfId="5" applyFont="1" applyFill="1" applyBorder="1" applyAlignment="1">
      <alignment horizontal="center" vertical="center" wrapText="1"/>
    </xf>
    <xf numFmtId="0" fontId="28" fillId="28" borderId="10" xfId="5" applyFont="1" applyFill="1" applyBorder="1" applyAlignment="1">
      <alignment horizontal="center" vertical="center" wrapText="1"/>
    </xf>
    <xf numFmtId="167" fontId="7" fillId="4" borderId="0" xfId="6" applyNumberFormat="1" applyFont="1" applyFill="1" applyBorder="1" applyAlignment="1">
      <alignment horizontal="center" vertical="center" wrapText="1"/>
    </xf>
    <xf numFmtId="0" fontId="0" fillId="4" borderId="0" xfId="0" applyFill="1" applyBorder="1" applyAlignment="1">
      <alignment horizontal="left" vertical="top" wrapText="1"/>
    </xf>
    <xf numFmtId="0" fontId="0" fillId="4" borderId="1" xfId="0" applyFill="1" applyBorder="1" applyAlignment="1">
      <alignment horizontal="left" vertical="top" wrapText="1"/>
    </xf>
    <xf numFmtId="0" fontId="0" fillId="4" borderId="0" xfId="0" applyFill="1" applyAlignment="1">
      <alignment horizontal="left" vertical="top" wrapText="1"/>
    </xf>
    <xf numFmtId="0" fontId="17" fillId="4" borderId="0" xfId="0" applyFont="1" applyFill="1" applyAlignment="1">
      <alignment horizontal="left" vertical="top" wrapText="1"/>
    </xf>
    <xf numFmtId="0" fontId="23" fillId="34" borderId="8" xfId="0" applyNumberFormat="1" applyFont="1" applyFill="1" applyBorder="1" applyAlignment="1">
      <alignment horizontal="center"/>
    </xf>
    <xf numFmtId="0" fontId="23" fillId="34" borderId="9" xfId="0" applyNumberFormat="1" applyFont="1" applyFill="1" applyBorder="1" applyAlignment="1">
      <alignment horizontal="center"/>
    </xf>
    <xf numFmtId="0" fontId="4" fillId="39" borderId="14" xfId="0" applyFont="1" applyFill="1" applyBorder="1" applyAlignment="1">
      <alignment horizontal="center" vertical="center"/>
    </xf>
    <xf numFmtId="0" fontId="4" fillId="39" borderId="5" xfId="0" applyFont="1" applyFill="1" applyBorder="1" applyAlignment="1">
      <alignment horizontal="center" vertical="center"/>
    </xf>
    <xf numFmtId="0" fontId="4" fillId="39" borderId="15" xfId="0" applyFont="1" applyFill="1" applyBorder="1" applyAlignment="1">
      <alignment horizontal="center" vertical="center"/>
    </xf>
    <xf numFmtId="0" fontId="4" fillId="39" borderId="12" xfId="0" applyFont="1" applyFill="1" applyBorder="1" applyAlignment="1">
      <alignment horizontal="center" vertical="center"/>
    </xf>
    <xf numFmtId="0" fontId="4" fillId="39" borderId="1" xfId="0" applyFont="1" applyFill="1" applyBorder="1" applyAlignment="1">
      <alignment horizontal="center" vertical="center"/>
    </xf>
    <xf numFmtId="0" fontId="4" fillId="39" borderId="13" xfId="0" applyFont="1" applyFill="1" applyBorder="1" applyAlignment="1">
      <alignment horizontal="center" vertical="center"/>
    </xf>
    <xf numFmtId="0" fontId="18" fillId="0" borderId="0" xfId="0" applyFont="1" applyAlignment="1">
      <alignment horizontal="left" vertical="top" wrapText="1"/>
    </xf>
    <xf numFmtId="10" fontId="3" fillId="5" borderId="11" xfId="4" applyNumberFormat="1" applyFont="1" applyFill="1" applyBorder="1" applyAlignment="1">
      <alignment horizontal="center" vertical="center" wrapText="1"/>
    </xf>
    <xf numFmtId="10" fontId="0" fillId="5" borderId="0" xfId="4" applyNumberFormat="1" applyFont="1" applyFill="1" applyBorder="1" applyAlignment="1">
      <alignment horizontal="center"/>
    </xf>
    <xf numFmtId="10" fontId="0" fillId="5" borderId="10" xfId="4" applyNumberFormat="1" applyFont="1" applyFill="1" applyBorder="1" applyAlignment="1">
      <alignment horizontal="center"/>
    </xf>
    <xf numFmtId="10" fontId="3" fillId="22" borderId="11" xfId="4" applyNumberFormat="1" applyFont="1" applyFill="1" applyBorder="1" applyAlignment="1">
      <alignment horizontal="center" vertical="center" wrapText="1"/>
    </xf>
    <xf numFmtId="10" fontId="0" fillId="22" borderId="0" xfId="4" applyNumberFormat="1" applyFont="1" applyFill="1" applyBorder="1" applyAlignment="1">
      <alignment horizontal="center"/>
    </xf>
    <xf numFmtId="10" fontId="0" fillId="22" borderId="10" xfId="4" applyNumberFormat="1" applyFont="1" applyFill="1" applyBorder="1" applyAlignment="1">
      <alignment horizontal="center"/>
    </xf>
    <xf numFmtId="9" fontId="8" fillId="5" borderId="11" xfId="4" applyFont="1" applyFill="1" applyBorder="1" applyAlignment="1">
      <alignment horizontal="center" vertical="center" wrapText="1"/>
    </xf>
    <xf numFmtId="0" fontId="0" fillId="5" borderId="0" xfId="0" applyFill="1" applyBorder="1" applyAlignment="1">
      <alignment horizontal="center"/>
    </xf>
    <xf numFmtId="0" fontId="0" fillId="5" borderId="10" xfId="0" applyFill="1" applyBorder="1" applyAlignment="1">
      <alignment horizontal="center"/>
    </xf>
    <xf numFmtId="0" fontId="3" fillId="5" borderId="12" xfId="5" applyFont="1" applyFill="1" applyBorder="1" applyAlignment="1">
      <alignment horizontal="center" vertical="center" wrapText="1"/>
    </xf>
    <xf numFmtId="0" fontId="0" fillId="5" borderId="1" xfId="0" applyFill="1" applyBorder="1" applyAlignment="1">
      <alignment horizontal="center"/>
    </xf>
    <xf numFmtId="0" fontId="0" fillId="5" borderId="13" xfId="0" applyFill="1" applyBorder="1" applyAlignment="1">
      <alignment horizontal="center"/>
    </xf>
    <xf numFmtId="0" fontId="9" fillId="5" borderId="7" xfId="5" applyFont="1" applyFill="1" applyBorder="1" applyAlignment="1">
      <alignment horizontal="center" vertical="center" wrapText="1"/>
    </xf>
    <xf numFmtId="0" fontId="0" fillId="0" borderId="8" xfId="0" applyBorder="1" applyAlignment="1">
      <alignment horizontal="center"/>
    </xf>
    <xf numFmtId="0" fontId="0" fillId="0" borderId="9" xfId="0" applyBorder="1" applyAlignment="1">
      <alignment horizontal="center"/>
    </xf>
    <xf numFmtId="0" fontId="10" fillId="5" borderId="7" xfId="5" applyFont="1" applyFill="1" applyBorder="1" applyAlignment="1">
      <alignment horizontal="center" vertical="center" wrapText="1"/>
    </xf>
    <xf numFmtId="0" fontId="3" fillId="5" borderId="14" xfId="5" applyFont="1" applyFill="1" applyBorder="1" applyAlignment="1">
      <alignment horizontal="center" vertical="center" wrapText="1"/>
    </xf>
    <xf numFmtId="0" fontId="0" fillId="5" borderId="5" xfId="0" applyFill="1" applyBorder="1" applyAlignment="1">
      <alignment horizontal="center"/>
    </xf>
    <xf numFmtId="0" fontId="0" fillId="5" borderId="15" xfId="0" applyFill="1" applyBorder="1" applyAlignment="1">
      <alignment horizontal="center"/>
    </xf>
    <xf numFmtId="171" fontId="3" fillId="5" borderId="11" xfId="4" applyNumberFormat="1" applyFont="1" applyFill="1" applyBorder="1" applyAlignment="1">
      <alignment horizontal="center" vertical="center" wrapText="1"/>
    </xf>
    <xf numFmtId="171" fontId="0" fillId="5" borderId="0" xfId="0" applyNumberFormat="1" applyFill="1" applyBorder="1" applyAlignment="1">
      <alignment horizontal="center"/>
    </xf>
    <xf numFmtId="171" fontId="0" fillId="5" borderId="10" xfId="0" applyNumberFormat="1" applyFill="1" applyBorder="1" applyAlignment="1">
      <alignment horizontal="center"/>
    </xf>
    <xf numFmtId="3" fontId="3" fillId="5" borderId="11" xfId="6" applyNumberFormat="1" applyFont="1" applyFill="1" applyBorder="1" applyAlignment="1">
      <alignment horizontal="center" vertical="center" wrapText="1"/>
    </xf>
    <xf numFmtId="3" fontId="0" fillId="5" borderId="0" xfId="0" applyNumberFormat="1" applyFill="1" applyBorder="1" applyAlignment="1">
      <alignment horizontal="center"/>
    </xf>
    <xf numFmtId="3" fontId="0" fillId="5" borderId="10" xfId="0" applyNumberFormat="1" applyFill="1" applyBorder="1" applyAlignment="1">
      <alignment horizontal="center"/>
    </xf>
    <xf numFmtId="3" fontId="3" fillId="22" borderId="11" xfId="6" applyNumberFormat="1" applyFont="1" applyFill="1" applyBorder="1" applyAlignment="1">
      <alignment horizontal="center" vertical="center" wrapText="1"/>
    </xf>
    <xf numFmtId="0" fontId="0" fillId="22" borderId="0" xfId="0" applyFill="1" applyBorder="1" applyAlignment="1">
      <alignment horizontal="center"/>
    </xf>
    <xf numFmtId="0" fontId="0" fillId="22" borderId="10" xfId="0" applyFill="1" applyBorder="1" applyAlignment="1">
      <alignment horizontal="center"/>
    </xf>
    <xf numFmtId="10" fontId="0" fillId="5" borderId="0" xfId="0" applyNumberFormat="1" applyFill="1" applyBorder="1" applyAlignment="1">
      <alignment horizontal="center"/>
    </xf>
    <xf numFmtId="10" fontId="0" fillId="5" borderId="10" xfId="0" applyNumberFormat="1" applyFill="1" applyBorder="1" applyAlignment="1">
      <alignment horizontal="center"/>
    </xf>
    <xf numFmtId="10" fontId="8" fillId="5" borderId="11" xfId="4" applyNumberFormat="1" applyFont="1" applyFill="1" applyBorder="1" applyAlignment="1">
      <alignment horizontal="center" vertical="center" wrapText="1"/>
    </xf>
    <xf numFmtId="0" fontId="23" fillId="5" borderId="2" xfId="0" applyFont="1" applyFill="1" applyBorder="1" applyAlignment="1">
      <alignment horizontal="center" vertical="center"/>
    </xf>
    <xf numFmtId="0" fontId="6" fillId="5" borderId="4" xfId="0" applyFont="1" applyFill="1" applyBorder="1" applyAlignment="1">
      <alignment horizontal="center" vertical="center"/>
    </xf>
    <xf numFmtId="0" fontId="37" fillId="4" borderId="1" xfId="0" applyFont="1" applyFill="1" applyBorder="1" applyAlignment="1">
      <alignment horizontal="center"/>
    </xf>
    <xf numFmtId="0" fontId="37" fillId="4" borderId="0" xfId="0" applyFont="1" applyFill="1" applyAlignment="1">
      <alignment horizontal="center"/>
    </xf>
    <xf numFmtId="170" fontId="3" fillId="5" borderId="11" xfId="4" applyNumberFormat="1" applyFont="1" applyFill="1" applyBorder="1" applyAlignment="1">
      <alignment horizontal="center" vertical="center" wrapText="1"/>
    </xf>
    <xf numFmtId="170" fontId="0" fillId="5" borderId="0" xfId="4" applyNumberFormat="1" applyFont="1" applyFill="1" applyBorder="1" applyAlignment="1">
      <alignment horizontal="center"/>
    </xf>
    <xf numFmtId="170" fontId="0" fillId="5" borderId="10" xfId="4" applyNumberFormat="1" applyFont="1" applyFill="1" applyBorder="1" applyAlignment="1">
      <alignment horizontal="center"/>
    </xf>
    <xf numFmtId="170" fontId="3" fillId="22" borderId="11" xfId="4" applyNumberFormat="1" applyFont="1" applyFill="1" applyBorder="1" applyAlignment="1">
      <alignment horizontal="center" vertical="center" wrapText="1"/>
    </xf>
    <xf numFmtId="170" fontId="0" fillId="22" borderId="0" xfId="4" applyNumberFormat="1" applyFont="1" applyFill="1" applyBorder="1" applyAlignment="1">
      <alignment horizontal="center"/>
    </xf>
    <xf numFmtId="170" fontId="0" fillId="22" borderId="10" xfId="4" applyNumberFormat="1" applyFont="1" applyFill="1" applyBorder="1" applyAlignment="1">
      <alignment horizontal="center"/>
    </xf>
    <xf numFmtId="0" fontId="36" fillId="4" borderId="1" xfId="0" applyFont="1" applyFill="1" applyBorder="1" applyAlignment="1">
      <alignment horizontal="center"/>
    </xf>
    <xf numFmtId="2" fontId="3" fillId="22" borderId="11" xfId="6" applyNumberFormat="1" applyFont="1" applyFill="1" applyBorder="1" applyAlignment="1">
      <alignment horizontal="center" vertical="center" wrapText="1"/>
    </xf>
    <xf numFmtId="2" fontId="0" fillId="22" borderId="0" xfId="0" applyNumberFormat="1" applyFill="1" applyBorder="1" applyAlignment="1">
      <alignment horizontal="center"/>
    </xf>
    <xf numFmtId="2" fontId="0" fillId="22" borderId="10" xfId="0" applyNumberFormat="1" applyFill="1" applyBorder="1" applyAlignment="1">
      <alignment horizontal="center"/>
    </xf>
    <xf numFmtId="9" fontId="3" fillId="5" borderId="11" xfId="4" applyFont="1" applyFill="1" applyBorder="1" applyAlignment="1">
      <alignment horizontal="center" vertical="center" wrapText="1"/>
    </xf>
    <xf numFmtId="9" fontId="0" fillId="5" borderId="0" xfId="4" applyFont="1" applyFill="1" applyBorder="1" applyAlignment="1">
      <alignment horizontal="center"/>
    </xf>
    <xf numFmtId="9" fontId="0" fillId="5" borderId="10" xfId="4" applyFont="1" applyFill="1" applyBorder="1" applyAlignment="1">
      <alignment horizontal="center"/>
    </xf>
    <xf numFmtId="2" fontId="3" fillId="5" borderId="11" xfId="6" applyNumberFormat="1" applyFont="1" applyFill="1" applyBorder="1" applyAlignment="1">
      <alignment horizontal="center" vertical="center" wrapText="1"/>
    </xf>
    <xf numFmtId="2" fontId="0" fillId="5" borderId="0" xfId="0" applyNumberFormat="1" applyFill="1" applyBorder="1" applyAlignment="1">
      <alignment horizontal="center"/>
    </xf>
    <xf numFmtId="2" fontId="0" fillId="5" borderId="10" xfId="0" applyNumberFormat="1" applyFill="1" applyBorder="1" applyAlignment="1">
      <alignment horizontal="center"/>
    </xf>
    <xf numFmtId="2" fontId="3" fillId="5" borderId="11" xfId="4" applyNumberFormat="1" applyFont="1" applyFill="1" applyBorder="1" applyAlignment="1">
      <alignment horizontal="center" vertical="center" wrapText="1"/>
    </xf>
    <xf numFmtId="0" fontId="23" fillId="5" borderId="14" xfId="0" applyFont="1" applyFill="1" applyBorder="1" applyAlignment="1">
      <alignment horizontal="center" vertical="center"/>
    </xf>
    <xf numFmtId="0" fontId="6" fillId="5" borderId="12" xfId="0" applyFont="1" applyFill="1" applyBorder="1" applyAlignment="1">
      <alignment horizontal="center" vertical="center"/>
    </xf>
    <xf numFmtId="0" fontId="21" fillId="4" borderId="0" xfId="0" applyFont="1" applyFill="1" applyBorder="1" applyAlignment="1">
      <alignment horizontal="center" vertical="center"/>
    </xf>
    <xf numFmtId="0" fontId="9" fillId="4" borderId="0" xfId="5" applyFont="1" applyFill="1" applyBorder="1" applyAlignment="1">
      <alignment horizontal="center" vertical="center" wrapText="1"/>
    </xf>
    <xf numFmtId="0" fontId="21" fillId="4" borderId="0" xfId="0" applyFont="1" applyFill="1" applyBorder="1" applyAlignment="1">
      <alignment horizontal="center" vertical="center" wrapText="1"/>
    </xf>
    <xf numFmtId="0" fontId="10" fillId="4" borderId="0" xfId="5" applyFont="1" applyFill="1" applyBorder="1" applyAlignment="1">
      <alignment horizontal="center" vertical="center" wrapText="1"/>
    </xf>
    <xf numFmtId="37" fontId="3" fillId="5" borderId="11" xfId="8" applyNumberFormat="1" applyFont="1" applyFill="1" applyBorder="1" applyAlignment="1">
      <alignment horizontal="center" vertical="center"/>
    </xf>
    <xf numFmtId="37" fontId="3" fillId="5" borderId="0" xfId="8" applyNumberFormat="1" applyFont="1" applyFill="1" applyBorder="1" applyAlignment="1">
      <alignment horizontal="center" vertical="center"/>
    </xf>
    <xf numFmtId="37" fontId="3" fillId="5" borderId="10" xfId="8" applyNumberFormat="1" applyFont="1" applyFill="1" applyBorder="1" applyAlignment="1">
      <alignment horizontal="center" vertical="center"/>
    </xf>
    <xf numFmtId="0" fontId="24" fillId="5" borderId="7" xfId="0" applyFont="1" applyFill="1" applyBorder="1" applyAlignment="1">
      <alignment horizontal="center" wrapText="1"/>
    </xf>
    <xf numFmtId="39" fontId="3" fillId="5" borderId="11" xfId="6" applyNumberFormat="1" applyFont="1" applyFill="1" applyBorder="1" applyAlignment="1">
      <alignment horizontal="center" vertical="center" wrapText="1"/>
    </xf>
    <xf numFmtId="39" fontId="0" fillId="5" borderId="0" xfId="0" applyNumberFormat="1" applyFill="1" applyBorder="1" applyAlignment="1">
      <alignment horizontal="center"/>
    </xf>
    <xf numFmtId="39" fontId="0" fillId="5" borderId="10" xfId="0" applyNumberFormat="1" applyFill="1" applyBorder="1" applyAlignment="1">
      <alignment horizontal="center"/>
    </xf>
    <xf numFmtId="4" fontId="3" fillId="5" borderId="11" xfId="6" applyNumberFormat="1" applyFont="1" applyFill="1" applyBorder="1" applyAlignment="1">
      <alignment horizontal="center" vertical="center" wrapText="1"/>
    </xf>
    <xf numFmtId="4" fontId="0" fillId="5" borderId="0" xfId="0" applyNumberFormat="1" applyFill="1" applyBorder="1" applyAlignment="1">
      <alignment horizontal="center"/>
    </xf>
    <xf numFmtId="4" fontId="0" fillId="5" borderId="10" xfId="0" applyNumberFormat="1" applyFill="1" applyBorder="1" applyAlignment="1">
      <alignment horizontal="center"/>
    </xf>
    <xf numFmtId="39" fontId="3" fillId="5" borderId="11" xfId="8" applyNumberFormat="1" applyFont="1" applyFill="1" applyBorder="1" applyAlignment="1">
      <alignment horizontal="center" vertical="center"/>
    </xf>
    <xf numFmtId="39" fontId="3" fillId="5" borderId="0" xfId="8" applyNumberFormat="1" applyFont="1" applyFill="1" applyBorder="1" applyAlignment="1">
      <alignment horizontal="center" vertical="center"/>
    </xf>
    <xf numFmtId="39" fontId="3" fillId="5" borderId="10" xfId="8" applyNumberFormat="1" applyFont="1" applyFill="1" applyBorder="1" applyAlignment="1">
      <alignment horizontal="center" vertical="center"/>
    </xf>
    <xf numFmtId="0" fontId="24" fillId="4" borderId="0" xfId="0" applyFont="1" applyFill="1" applyAlignment="1">
      <alignment horizontal="center"/>
    </xf>
    <xf numFmtId="1" fontId="3" fillId="5" borderId="11" xfId="4" applyNumberFormat="1" applyFont="1" applyFill="1" applyBorder="1" applyAlignment="1">
      <alignment horizontal="center" vertical="center" wrapText="1"/>
    </xf>
    <xf numFmtId="1" fontId="3" fillId="5" borderId="0" xfId="4" applyNumberFormat="1" applyFont="1" applyFill="1" applyBorder="1" applyAlignment="1">
      <alignment horizontal="center" vertical="center" wrapText="1"/>
    </xf>
    <xf numFmtId="1" fontId="3" fillId="5" borderId="10" xfId="4" applyNumberFormat="1" applyFont="1" applyFill="1" applyBorder="1" applyAlignment="1">
      <alignment horizontal="center" vertical="center" wrapText="1"/>
    </xf>
    <xf numFmtId="1" fontId="3" fillId="22" borderId="11" xfId="4" applyNumberFormat="1" applyFont="1" applyFill="1" applyBorder="1" applyAlignment="1">
      <alignment horizontal="center" vertical="center" wrapText="1"/>
    </xf>
    <xf numFmtId="1" fontId="3" fillId="22" borderId="0" xfId="4" applyNumberFormat="1" applyFont="1" applyFill="1" applyBorder="1" applyAlignment="1">
      <alignment horizontal="center" vertical="center" wrapText="1"/>
    </xf>
    <xf numFmtId="1" fontId="3" fillId="22" borderId="10" xfId="4" applyNumberFormat="1" applyFont="1" applyFill="1" applyBorder="1" applyAlignment="1">
      <alignment horizontal="center" vertical="center" wrapText="1"/>
    </xf>
    <xf numFmtId="168" fontId="8" fillId="5" borderId="11" xfId="4" applyNumberFormat="1" applyFont="1" applyFill="1" applyBorder="1" applyAlignment="1">
      <alignment horizontal="center" vertical="center" wrapText="1"/>
    </xf>
    <xf numFmtId="168" fontId="0" fillId="5" borderId="0" xfId="4" applyNumberFormat="1" applyFont="1" applyFill="1" applyBorder="1" applyAlignment="1">
      <alignment horizontal="center"/>
    </xf>
    <xf numFmtId="168" fontId="0" fillId="5" borderId="10" xfId="4" applyNumberFormat="1" applyFont="1" applyFill="1" applyBorder="1" applyAlignment="1">
      <alignment horizontal="center"/>
    </xf>
    <xf numFmtId="0" fontId="10" fillId="5" borderId="8" xfId="5" applyFont="1" applyFill="1" applyBorder="1" applyAlignment="1">
      <alignment horizontal="center" vertical="center" wrapText="1"/>
    </xf>
    <xf numFmtId="0" fontId="10" fillId="5" borderId="9" xfId="5" applyFont="1" applyFill="1" applyBorder="1" applyAlignment="1">
      <alignment horizontal="center" vertical="center" wrapText="1"/>
    </xf>
    <xf numFmtId="1" fontId="0" fillId="5" borderId="0" xfId="0" applyNumberFormat="1" applyFill="1" applyBorder="1" applyAlignment="1">
      <alignment horizontal="center"/>
    </xf>
    <xf numFmtId="1" fontId="0" fillId="5" borderId="10" xfId="0" applyNumberFormat="1" applyFill="1" applyBorder="1" applyAlignment="1">
      <alignment horizontal="center"/>
    </xf>
    <xf numFmtId="173" fontId="3" fillId="5" borderId="11" xfId="4" applyNumberFormat="1" applyFont="1" applyFill="1" applyBorder="1" applyAlignment="1">
      <alignment horizontal="center" vertical="center" wrapText="1"/>
    </xf>
    <xf numFmtId="173" fontId="0" fillId="5" borderId="0" xfId="4" applyNumberFormat="1" applyFont="1" applyFill="1" applyBorder="1" applyAlignment="1">
      <alignment horizontal="center"/>
    </xf>
    <xf numFmtId="173" fontId="0" fillId="5" borderId="10" xfId="4" applyNumberFormat="1" applyFont="1" applyFill="1" applyBorder="1" applyAlignment="1">
      <alignment horizontal="center"/>
    </xf>
    <xf numFmtId="10" fontId="8" fillId="5" borderId="0" xfId="4" applyNumberFormat="1" applyFont="1" applyFill="1" applyBorder="1" applyAlignment="1">
      <alignment horizontal="center" vertical="center" wrapText="1"/>
    </xf>
    <xf numFmtId="10" fontId="8" fillId="5" borderId="10" xfId="4" applyNumberFormat="1" applyFont="1" applyFill="1" applyBorder="1" applyAlignment="1">
      <alignment horizontal="center" vertical="center" wrapText="1"/>
    </xf>
    <xf numFmtId="0" fontId="24" fillId="4" borderId="1" xfId="0" applyFont="1" applyFill="1" applyBorder="1" applyAlignment="1">
      <alignment horizontal="center"/>
    </xf>
    <xf numFmtId="0" fontId="11" fillId="5" borderId="7" xfId="5" applyFont="1" applyFill="1" applyBorder="1" applyAlignment="1">
      <alignment horizontal="center" vertical="center" wrapText="1"/>
    </xf>
    <xf numFmtId="0" fontId="11" fillId="5" borderId="3" xfId="5" applyFont="1" applyFill="1" applyBorder="1" applyAlignment="1">
      <alignment horizontal="center" vertical="center" wrapText="1"/>
    </xf>
    <xf numFmtId="0" fontId="10" fillId="5" borderId="14" xfId="5" applyFont="1" applyFill="1" applyBorder="1" applyAlignment="1">
      <alignment horizontal="center" vertical="center" wrapText="1"/>
    </xf>
    <xf numFmtId="0" fontId="0" fillId="0" borderId="5" xfId="0" applyBorder="1" applyAlignment="1">
      <alignment horizontal="center"/>
    </xf>
    <xf numFmtId="0" fontId="0" fillId="0" borderId="15" xfId="0" applyBorder="1" applyAlignment="1">
      <alignment horizontal="center"/>
    </xf>
    <xf numFmtId="0" fontId="0" fillId="0" borderId="12" xfId="0" applyBorder="1" applyAlignment="1">
      <alignment horizontal="center"/>
    </xf>
    <xf numFmtId="0" fontId="0" fillId="0" borderId="1" xfId="0" applyBorder="1" applyAlignment="1">
      <alignment horizontal="center"/>
    </xf>
    <xf numFmtId="0" fontId="0" fillId="0" borderId="13" xfId="0" applyBorder="1" applyAlignment="1">
      <alignment horizontal="center"/>
    </xf>
    <xf numFmtId="0" fontId="9" fillId="5" borderId="14" xfId="5" applyFont="1" applyFill="1" applyBorder="1" applyAlignment="1">
      <alignment horizontal="center" vertical="center" wrapText="1"/>
    </xf>
    <xf numFmtId="4" fontId="3" fillId="22" borderId="11" xfId="6" applyNumberFormat="1" applyFont="1" applyFill="1" applyBorder="1" applyAlignment="1">
      <alignment horizontal="center" vertical="center" wrapText="1"/>
    </xf>
    <xf numFmtId="4" fontId="0" fillId="22" borderId="0" xfId="0" applyNumberFormat="1" applyFill="1" applyBorder="1" applyAlignment="1">
      <alignment horizontal="center"/>
    </xf>
    <xf numFmtId="4" fontId="0" fillId="22" borderId="10" xfId="0" applyNumberFormat="1" applyFill="1" applyBorder="1" applyAlignment="1">
      <alignment horizontal="center"/>
    </xf>
    <xf numFmtId="0" fontId="11" fillId="5" borderId="14" xfId="5" applyFont="1" applyFill="1" applyBorder="1" applyAlignment="1">
      <alignment horizontal="center" vertical="center" wrapText="1"/>
    </xf>
    <xf numFmtId="0" fontId="11" fillId="5" borderId="12" xfId="5" applyFont="1" applyFill="1" applyBorder="1" applyAlignment="1">
      <alignment horizontal="center" vertical="center" wrapText="1"/>
    </xf>
    <xf numFmtId="9" fontId="3" fillId="22" borderId="11" xfId="4" applyFont="1" applyFill="1" applyBorder="1" applyAlignment="1">
      <alignment horizontal="center" vertical="center" wrapText="1"/>
    </xf>
    <xf numFmtId="9" fontId="0" fillId="22" borderId="0" xfId="4" applyFont="1" applyFill="1" applyBorder="1" applyAlignment="1">
      <alignment horizontal="center"/>
    </xf>
    <xf numFmtId="9" fontId="0" fillId="22" borderId="10" xfId="4" applyFont="1" applyFill="1" applyBorder="1" applyAlignment="1">
      <alignment horizontal="center"/>
    </xf>
    <xf numFmtId="0" fontId="8" fillId="5" borderId="7" xfId="5" applyFont="1" applyFill="1" applyBorder="1" applyAlignment="1">
      <alignment horizontal="center" vertical="center" wrapText="1"/>
    </xf>
    <xf numFmtId="0" fontId="3" fillId="5" borderId="7" xfId="5" applyFont="1" applyFill="1" applyBorder="1" applyAlignment="1">
      <alignment horizontal="center" vertical="center" wrapText="1"/>
    </xf>
    <xf numFmtId="0" fontId="0" fillId="0" borderId="5" xfId="0" applyBorder="1" applyAlignment="1"/>
    <xf numFmtId="0" fontId="0" fillId="0" borderId="15" xfId="0" applyBorder="1" applyAlignment="1"/>
    <xf numFmtId="0" fontId="0" fillId="0" borderId="12" xfId="0" applyBorder="1" applyAlignment="1"/>
    <xf numFmtId="0" fontId="0" fillId="0" borderId="1" xfId="0" applyBorder="1" applyAlignment="1"/>
    <xf numFmtId="0" fontId="0" fillId="0" borderId="13" xfId="0" applyBorder="1" applyAlignment="1"/>
    <xf numFmtId="0" fontId="24" fillId="5" borderId="8" xfId="0" applyFont="1" applyFill="1" applyBorder="1" applyAlignment="1">
      <alignment horizontal="center" wrapText="1"/>
    </xf>
    <xf numFmtId="0" fontId="24" fillId="5" borderId="9" xfId="0" applyFont="1" applyFill="1" applyBorder="1" applyAlignment="1">
      <alignment horizontal="center" wrapText="1"/>
    </xf>
    <xf numFmtId="0" fontId="9" fillId="5" borderId="8" xfId="5" applyFont="1" applyFill="1" applyBorder="1" applyAlignment="1">
      <alignment horizontal="center" vertical="center" wrapText="1"/>
    </xf>
    <xf numFmtId="0" fontId="9" fillId="5" borderId="9" xfId="5" applyFont="1" applyFill="1" applyBorder="1" applyAlignment="1">
      <alignment horizontal="center" vertical="center" wrapText="1"/>
    </xf>
    <xf numFmtId="0" fontId="2" fillId="4" borderId="1" xfId="0" applyFont="1" applyFill="1" applyBorder="1" applyAlignment="1">
      <alignment horizontal="center"/>
    </xf>
    <xf numFmtId="0" fontId="2" fillId="4" borderId="0" xfId="0" applyFont="1" applyFill="1" applyBorder="1" applyAlignment="1">
      <alignment horizontal="center"/>
    </xf>
    <xf numFmtId="173" fontId="3" fillId="22" borderId="11" xfId="4" applyNumberFormat="1" applyFont="1" applyFill="1" applyBorder="1" applyAlignment="1">
      <alignment horizontal="center" vertical="center"/>
    </xf>
    <xf numFmtId="173" fontId="3" fillId="22" borderId="0" xfId="4" applyNumberFormat="1" applyFont="1" applyFill="1" applyBorder="1" applyAlignment="1">
      <alignment horizontal="center" vertical="center"/>
    </xf>
    <xf numFmtId="173" fontId="3" fillId="22" borderId="10" xfId="4" applyNumberFormat="1" applyFont="1" applyFill="1" applyBorder="1" applyAlignment="1">
      <alignment horizontal="center" vertical="center"/>
    </xf>
    <xf numFmtId="172" fontId="8" fillId="5" borderId="11" xfId="4" applyNumberFormat="1" applyFont="1" applyFill="1" applyBorder="1" applyAlignment="1">
      <alignment horizontal="center" vertical="center" wrapText="1"/>
    </xf>
    <xf numFmtId="172" fontId="0" fillId="5" borderId="0" xfId="0" applyNumberFormat="1" applyFill="1" applyBorder="1" applyAlignment="1">
      <alignment horizontal="center"/>
    </xf>
    <xf numFmtId="172" fontId="0" fillId="5" borderId="10" xfId="0" applyNumberFormat="1" applyFill="1" applyBorder="1" applyAlignment="1">
      <alignment horizontal="center"/>
    </xf>
    <xf numFmtId="173" fontId="3" fillId="5" borderId="11" xfId="4" applyNumberFormat="1" applyFont="1" applyFill="1" applyBorder="1" applyAlignment="1">
      <alignment horizontal="center" vertical="center"/>
    </xf>
    <xf numFmtId="173" fontId="3" fillId="5" borderId="0" xfId="4" applyNumberFormat="1" applyFont="1" applyFill="1" applyBorder="1" applyAlignment="1">
      <alignment horizontal="center" vertical="center"/>
    </xf>
    <xf numFmtId="173" fontId="3" fillId="5" borderId="10" xfId="4" applyNumberFormat="1" applyFont="1" applyFill="1" applyBorder="1" applyAlignment="1">
      <alignment horizontal="center" vertical="center"/>
    </xf>
    <xf numFmtId="0" fontId="34" fillId="0" borderId="8" xfId="0" applyFont="1" applyBorder="1" applyAlignment="1">
      <alignment horizontal="center"/>
    </xf>
    <xf numFmtId="0" fontId="34" fillId="0" borderId="9" xfId="0" applyFont="1" applyBorder="1" applyAlignment="1">
      <alignment horizontal="center"/>
    </xf>
    <xf numFmtId="0" fontId="0" fillId="0" borderId="8" xfId="0" applyBorder="1" applyAlignment="1"/>
    <xf numFmtId="0" fontId="0" fillId="0" borderId="9" xfId="0" applyBorder="1" applyAlignment="1"/>
    <xf numFmtId="0" fontId="6" fillId="33" borderId="8" xfId="0" applyFont="1" applyFill="1" applyBorder="1" applyAlignment="1">
      <alignment horizontal="center"/>
    </xf>
    <xf numFmtId="0" fontId="6" fillId="33" borderId="9" xfId="0" applyFont="1" applyFill="1" applyBorder="1" applyAlignment="1">
      <alignment horizontal="center"/>
    </xf>
    <xf numFmtId="0" fontId="6" fillId="33" borderId="7" xfId="0" applyFont="1" applyFill="1" applyBorder="1" applyAlignment="1">
      <alignment horizontal="center"/>
    </xf>
    <xf numFmtId="0" fontId="6" fillId="4" borderId="7" xfId="0" applyFont="1" applyFill="1" applyBorder="1" applyAlignment="1">
      <alignment horizontal="center"/>
    </xf>
    <xf numFmtId="0" fontId="6" fillId="4" borderId="9" xfId="0" applyFont="1" applyFill="1" applyBorder="1" applyAlignment="1">
      <alignment horizontal="center"/>
    </xf>
    <xf numFmtId="0" fontId="6" fillId="4" borderId="11" xfId="0" applyFont="1" applyFill="1" applyBorder="1" applyAlignment="1">
      <alignment horizontal="center"/>
    </xf>
    <xf numFmtId="0" fontId="6" fillId="4" borderId="0" xfId="0" applyFont="1" applyFill="1" applyBorder="1" applyAlignment="1">
      <alignment horizontal="center"/>
    </xf>
    <xf numFmtId="0" fontId="6" fillId="6" borderId="7" xfId="0" applyFont="1" applyFill="1" applyBorder="1" applyAlignment="1">
      <alignment horizontal="center"/>
    </xf>
    <xf numFmtId="0" fontId="6" fillId="6" borderId="8" xfId="0" applyFont="1" applyFill="1" applyBorder="1" applyAlignment="1">
      <alignment horizontal="center"/>
    </xf>
    <xf numFmtId="0" fontId="6" fillId="6" borderId="9" xfId="0" applyFont="1" applyFill="1" applyBorder="1" applyAlignment="1">
      <alignment horizontal="center"/>
    </xf>
    <xf numFmtId="0" fontId="0" fillId="4" borderId="2" xfId="0" applyFill="1" applyBorder="1" applyAlignment="1">
      <alignment horizontal="center" wrapText="1"/>
    </xf>
    <xf numFmtId="0" fontId="0" fillId="4" borderId="4" xfId="0" applyFill="1" applyBorder="1" applyAlignment="1">
      <alignment horizontal="center" wrapText="1"/>
    </xf>
    <xf numFmtId="0" fontId="6" fillId="4" borderId="10" xfId="0" applyFont="1" applyFill="1" applyBorder="1" applyAlignment="1">
      <alignment horizontal="center"/>
    </xf>
    <xf numFmtId="0" fontId="39" fillId="4" borderId="11" xfId="0" applyFont="1" applyFill="1" applyBorder="1" applyAlignment="1">
      <alignment horizontal="center"/>
    </xf>
    <xf numFmtId="0" fontId="39" fillId="4" borderId="10" xfId="0" applyFont="1" applyFill="1" applyBorder="1" applyAlignment="1">
      <alignment horizontal="center"/>
    </xf>
    <xf numFmtId="0" fontId="6" fillId="33" borderId="0" xfId="0" applyFont="1" applyFill="1" applyAlignment="1">
      <alignment horizontal="center"/>
    </xf>
  </cellXfs>
  <cellStyles count="11">
    <cellStyle name="Comma 2" xfId="9"/>
    <cellStyle name="Currency" xfId="8" builtinId="4"/>
    <cellStyle name="Currency 2" xfId="2"/>
    <cellStyle name="Currency 3" xfId="6"/>
    <cellStyle name="Hyperlink" xfId="10" builtinId="8"/>
    <cellStyle name="Normal" xfId="0" builtinId="0"/>
    <cellStyle name="Normal 2" xfId="1"/>
    <cellStyle name="Normal 3 2 2" xfId="7"/>
    <cellStyle name="Normal_Sheet1" xfId="5"/>
    <cellStyle name="Percent" xfId="4" builtinId="5"/>
    <cellStyle name="Percent 2" xfId="3"/>
  </cellStyles>
  <dxfs count="83">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92D050"/>
        </patternFill>
      </fill>
    </dxf>
    <dxf>
      <fill>
        <patternFill>
          <bgColor theme="0" tint="-0.34998626667073579"/>
        </patternFill>
      </fill>
    </dxf>
    <dxf>
      <fill>
        <patternFill>
          <bgColor rgb="FFFF0000"/>
        </patternFill>
      </fill>
    </dxf>
    <dxf>
      <fill>
        <patternFill>
          <bgColor rgb="FF92D050"/>
        </patternFill>
      </fill>
    </dxf>
    <dxf>
      <fill>
        <patternFill>
          <bgColor rgb="FF92D050"/>
        </patternFill>
      </fill>
    </dxf>
  </dxfs>
  <tableStyles count="0" defaultTableStyle="TableStyleMedium2" defaultPivotStyle="PivotStyleLight16"/>
  <colors>
    <mruColors>
      <color rgb="FF66FF33"/>
      <color rgb="FFA8FE90"/>
      <color rgb="FFFF5050"/>
      <color rgb="FF8EFE66"/>
      <color rgb="FFC0FDA1"/>
      <color rgb="FF66FF66"/>
      <color rgb="FF66FFFF"/>
      <color rgb="FF00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pivotCacheDefinition" Target="pivotCache/pivotCacheDefinition8.xml"/><Relationship Id="rId50" Type="http://schemas.openxmlformats.org/officeDocument/2006/relationships/pivotCacheDefinition" Target="pivotCache/pivotCacheDefinition11.xml"/><Relationship Id="rId55" Type="http://schemas.openxmlformats.org/officeDocument/2006/relationships/pivotCacheDefinition" Target="pivotCache/pivotCacheDefinition16.xml"/><Relationship Id="rId63" Type="http://schemas.openxmlformats.org/officeDocument/2006/relationships/pivotCacheDefinition" Target="pivotCache/pivotCacheDefinition24.xml"/><Relationship Id="rId68" Type="http://schemas.openxmlformats.org/officeDocument/2006/relationships/pivotCacheDefinition" Target="pivotCache/pivotCacheDefinition29.xml"/><Relationship Id="rId76" Type="http://schemas.openxmlformats.org/officeDocument/2006/relationships/pivotCacheDefinition" Target="pivotCache/pivotCacheDefinition37.xml"/><Relationship Id="rId84" Type="http://schemas.openxmlformats.org/officeDocument/2006/relationships/theme" Target="theme/theme1.xml"/><Relationship Id="rId89"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pivotCacheDefinition" Target="pivotCache/pivotCacheDefinition3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pivotCacheDefinition" Target="pivotCache/pivotCacheDefinition6.xml"/><Relationship Id="rId53" Type="http://schemas.openxmlformats.org/officeDocument/2006/relationships/pivotCacheDefinition" Target="pivotCache/pivotCacheDefinition14.xml"/><Relationship Id="rId58" Type="http://schemas.openxmlformats.org/officeDocument/2006/relationships/pivotCacheDefinition" Target="pivotCache/pivotCacheDefinition19.xml"/><Relationship Id="rId66" Type="http://schemas.openxmlformats.org/officeDocument/2006/relationships/pivotCacheDefinition" Target="pivotCache/pivotCacheDefinition27.xml"/><Relationship Id="rId74" Type="http://schemas.openxmlformats.org/officeDocument/2006/relationships/pivotCacheDefinition" Target="pivotCache/pivotCacheDefinition35.xml"/><Relationship Id="rId79" Type="http://schemas.openxmlformats.org/officeDocument/2006/relationships/pivotCacheDefinition" Target="pivotCache/pivotCacheDefinition40.xml"/><Relationship Id="rId87"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pivotCacheDefinition" Target="pivotCache/pivotCacheDefinition22.xml"/><Relationship Id="rId82" Type="http://schemas.openxmlformats.org/officeDocument/2006/relationships/pivotCacheDefinition" Target="pivotCache/pivotCacheDefinition43.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pivotCacheDefinition" Target="pivotCache/pivotCacheDefinition9.xml"/><Relationship Id="rId56" Type="http://schemas.openxmlformats.org/officeDocument/2006/relationships/pivotCacheDefinition" Target="pivotCache/pivotCacheDefinition17.xml"/><Relationship Id="rId64" Type="http://schemas.openxmlformats.org/officeDocument/2006/relationships/pivotCacheDefinition" Target="pivotCache/pivotCacheDefinition25.xml"/><Relationship Id="rId69" Type="http://schemas.openxmlformats.org/officeDocument/2006/relationships/pivotCacheDefinition" Target="pivotCache/pivotCacheDefinition30.xml"/><Relationship Id="rId77" Type="http://schemas.openxmlformats.org/officeDocument/2006/relationships/pivotCacheDefinition" Target="pivotCache/pivotCacheDefinition38.xml"/><Relationship Id="rId8" Type="http://schemas.openxmlformats.org/officeDocument/2006/relationships/worksheet" Target="worksheets/sheet8.xml"/><Relationship Id="rId51" Type="http://schemas.openxmlformats.org/officeDocument/2006/relationships/pivotCacheDefinition" Target="pivotCache/pivotCacheDefinition12.xml"/><Relationship Id="rId72" Type="http://schemas.openxmlformats.org/officeDocument/2006/relationships/pivotCacheDefinition" Target="pivotCache/pivotCacheDefinition33.xml"/><Relationship Id="rId80" Type="http://schemas.openxmlformats.org/officeDocument/2006/relationships/pivotCacheDefinition" Target="pivotCache/pivotCacheDefinition41.xml"/><Relationship Id="rId85"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7.xml"/><Relationship Id="rId59" Type="http://schemas.openxmlformats.org/officeDocument/2006/relationships/pivotCacheDefinition" Target="pivotCache/pivotCacheDefinition20.xml"/><Relationship Id="rId67" Type="http://schemas.openxmlformats.org/officeDocument/2006/relationships/pivotCacheDefinition" Target="pivotCache/pivotCacheDefinition28.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openxmlformats.org/officeDocument/2006/relationships/pivotCacheDefinition" Target="pivotCache/pivotCacheDefinition15.xml"/><Relationship Id="rId62" Type="http://schemas.openxmlformats.org/officeDocument/2006/relationships/pivotCacheDefinition" Target="pivotCache/pivotCacheDefinition23.xml"/><Relationship Id="rId70" Type="http://schemas.openxmlformats.org/officeDocument/2006/relationships/pivotCacheDefinition" Target="pivotCache/pivotCacheDefinition31.xml"/><Relationship Id="rId75" Type="http://schemas.openxmlformats.org/officeDocument/2006/relationships/pivotCacheDefinition" Target="pivotCache/pivotCacheDefinition36.xml"/><Relationship Id="rId83" Type="http://schemas.openxmlformats.org/officeDocument/2006/relationships/pivotCacheDefinition" Target="pivotCache/pivotCacheDefinition44.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0.xml"/><Relationship Id="rId57" Type="http://schemas.openxmlformats.org/officeDocument/2006/relationships/pivotCacheDefinition" Target="pivotCache/pivotCacheDefinition18.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pivotCacheDefinition" Target="pivotCache/pivotCacheDefinition13.xml"/><Relationship Id="rId60" Type="http://schemas.openxmlformats.org/officeDocument/2006/relationships/pivotCacheDefinition" Target="pivotCache/pivotCacheDefinition21.xml"/><Relationship Id="rId65" Type="http://schemas.openxmlformats.org/officeDocument/2006/relationships/pivotCacheDefinition" Target="pivotCache/pivotCacheDefinition26.xml"/><Relationship Id="rId73" Type="http://schemas.openxmlformats.org/officeDocument/2006/relationships/pivotCacheDefinition" Target="pivotCache/pivotCacheDefinition34.xml"/><Relationship Id="rId78" Type="http://schemas.openxmlformats.org/officeDocument/2006/relationships/pivotCacheDefinition" Target="pivotCache/pivotCacheDefinition39.xml"/><Relationship Id="rId81" Type="http://schemas.openxmlformats.org/officeDocument/2006/relationships/pivotCacheDefinition" Target="pivotCache/pivotCacheDefinition42.xml"/><Relationship Id="rId86"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[KPI-CCC.xlsm]Ratio Data!PivotTable6</c:name>
    <c:fmtId val="15"/>
  </c:pivotSource>
  <c:chart>
    <c:title>
      <c:tx>
        <c:rich>
          <a:bodyPr rot="0" spcFirstLastPara="1" vertOverflow="ellipsis" vert="horz" wrap="square" anchor="ctr" anchorCtr="1"/>
          <a:lstStyle/>
          <a:p>
            <a:pPr algn="ctr" rtl="0">
              <a:defRPr lang="en-US" sz="1600" b="1" i="0" u="none" strike="noStrike" kern="1200" spc="0" baseline="0">
                <a:solidFill>
                  <a:srgbClr val="4472C4">
                    <a:lumMod val="75000"/>
                  </a:srgbClr>
                </a:solidFill>
                <a:latin typeface="+mn-lt"/>
                <a:ea typeface="+mn-ea"/>
                <a:cs typeface="+mn-cs"/>
              </a:defRPr>
            </a:pPr>
            <a:r>
              <a:rPr lang="en-US" sz="1600" b="1" i="0" u="none" strike="noStrike" kern="1200" spc="0" baseline="0">
                <a:solidFill>
                  <a:sysClr val="windowText" lastClr="000000"/>
                </a:solidFill>
                <a:latin typeface="+mn-lt"/>
                <a:ea typeface="+mn-ea"/>
                <a:cs typeface="+mn-cs"/>
              </a:rPr>
              <a:t>ROI Ratios = ROA and ROE</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72C4">
                  <a:lumMod val="75000"/>
                </a:srgb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rgbClr val="FF0000"/>
            </a:solidFill>
            <a:round/>
          </a:ln>
          <a:effectLst/>
        </c:spPr>
        <c:marker>
          <c:symbol val="none"/>
        </c:marker>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FF0000"/>
            </a:solidFill>
            <a:round/>
          </a:ln>
          <a:effectLst/>
        </c:spPr>
        <c:marker>
          <c:symbol val="none"/>
        </c:marker>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FF0000"/>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FF0000"/>
            </a:solidFill>
            <a:round/>
          </a:ln>
          <a:effectLst/>
        </c:spPr>
        <c:marker>
          <c:symbol val="none"/>
        </c:marker>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pivotFmt>
    </c:pivotFmts>
    <c:plotArea>
      <c:layout/>
      <c:lineChart>
        <c:grouping val="standard"/>
        <c:varyColors val="0"/>
        <c:ser>
          <c:idx val="0"/>
          <c:order val="0"/>
          <c:tx>
            <c:strRef>
              <c:f>'Ratio Data'!$AZ$19</c:f>
              <c:strCache>
                <c:ptCount val="1"/>
                <c:pt idx="0">
                  <c:v>ROA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 Data'!$AY$20:$AY$27</c:f>
              <c:strCache>
                <c:ptCount val="7"/>
                <c:pt idx="0">
                  <c:v>2010</c:v>
                </c:pt>
                <c:pt idx="1">
                  <c:v>2011</c:v>
                </c:pt>
                <c:pt idx="2">
                  <c:v>2012</c:v>
                </c:pt>
                <c:pt idx="3">
                  <c:v>2013</c:v>
                </c:pt>
                <c:pt idx="4">
                  <c:v>2014</c:v>
                </c:pt>
                <c:pt idx="5">
                  <c:v>2015</c:v>
                </c:pt>
                <c:pt idx="6">
                  <c:v>2016</c:v>
                </c:pt>
              </c:strCache>
            </c:strRef>
          </c:cat>
          <c:val>
            <c:numRef>
              <c:f>'Ratio Data'!$AZ$20:$AZ$27</c:f>
              <c:numCache>
                <c:formatCode>0.00%</c:formatCode>
                <c:ptCount val="7"/>
                <c:pt idx="0">
                  <c:v>0</c:v>
                </c:pt>
                <c:pt idx="1">
                  <c:v>0</c:v>
                </c:pt>
                <c:pt idx="2">
                  <c:v>0</c:v>
                </c:pt>
                <c:pt idx="3">
                  <c:v>0</c:v>
                </c:pt>
                <c:pt idx="4">
                  <c:v>-2.1528922664833766E-3</c:v>
                </c:pt>
                <c:pt idx="5">
                  <c:v>-0.59083095501729255</c:v>
                </c:pt>
                <c:pt idx="6">
                  <c:v>0.87854473296806301</c:v>
                </c:pt>
              </c:numCache>
            </c:numRef>
          </c:val>
          <c:smooth val="0"/>
        </c:ser>
        <c:ser>
          <c:idx val="1"/>
          <c:order val="1"/>
          <c:tx>
            <c:strRef>
              <c:f>'Ratio Data'!$BA$19</c:f>
              <c:strCache>
                <c:ptCount val="1"/>
                <c:pt idx="0">
                  <c:v> ROE </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 Data'!$AY$20:$AY$27</c:f>
              <c:strCache>
                <c:ptCount val="7"/>
                <c:pt idx="0">
                  <c:v>2010</c:v>
                </c:pt>
                <c:pt idx="1">
                  <c:v>2011</c:v>
                </c:pt>
                <c:pt idx="2">
                  <c:v>2012</c:v>
                </c:pt>
                <c:pt idx="3">
                  <c:v>2013</c:v>
                </c:pt>
                <c:pt idx="4">
                  <c:v>2014</c:v>
                </c:pt>
                <c:pt idx="5">
                  <c:v>2015</c:v>
                </c:pt>
                <c:pt idx="6">
                  <c:v>2016</c:v>
                </c:pt>
              </c:strCache>
            </c:strRef>
          </c:cat>
          <c:val>
            <c:numRef>
              <c:f>'Ratio Data'!$BA$20:$BA$27</c:f>
              <c:numCache>
                <c:formatCode>0.00%</c:formatCode>
                <c:ptCount val="7"/>
                <c:pt idx="0">
                  <c:v>0</c:v>
                </c:pt>
                <c:pt idx="1">
                  <c:v>0</c:v>
                </c:pt>
                <c:pt idx="2">
                  <c:v>0</c:v>
                </c:pt>
                <c:pt idx="3">
                  <c:v>0</c:v>
                </c:pt>
                <c:pt idx="4">
                  <c:v>0</c:v>
                </c:pt>
                <c:pt idx="5">
                  <c:v>0</c:v>
                </c:pt>
                <c:pt idx="6">
                  <c:v>0</c:v>
                </c:pt>
              </c:numCache>
            </c:numRef>
          </c:val>
          <c:smooth val="0"/>
        </c:ser>
        <c:ser>
          <c:idx val="2"/>
          <c:order val="2"/>
          <c:tx>
            <c:strRef>
              <c:f>'Ratio Data'!$BB$19</c:f>
              <c:strCache>
                <c:ptCount val="1"/>
                <c:pt idx="0">
                  <c:v>ROE Target </c:v>
                </c:pt>
              </c:strCache>
            </c:strRef>
          </c:tx>
          <c:spPr>
            <a:ln w="28575" cap="rnd">
              <a:solidFill>
                <a:srgbClr val="FF0000"/>
              </a:solidFill>
              <a:round/>
            </a:ln>
            <a:effectLst/>
          </c:spPr>
          <c:marker>
            <c:symbol val="none"/>
          </c:marker>
          <c:cat>
            <c:strRef>
              <c:f>'Ratio Data'!$AY$20:$AY$27</c:f>
              <c:strCache>
                <c:ptCount val="7"/>
                <c:pt idx="0">
                  <c:v>2010</c:v>
                </c:pt>
                <c:pt idx="1">
                  <c:v>2011</c:v>
                </c:pt>
                <c:pt idx="2">
                  <c:v>2012</c:v>
                </c:pt>
                <c:pt idx="3">
                  <c:v>2013</c:v>
                </c:pt>
                <c:pt idx="4">
                  <c:v>2014</c:v>
                </c:pt>
                <c:pt idx="5">
                  <c:v>2015</c:v>
                </c:pt>
                <c:pt idx="6">
                  <c:v>2016</c:v>
                </c:pt>
              </c:strCache>
            </c:strRef>
          </c:cat>
          <c:val>
            <c:numRef>
              <c:f>'Ratio Data'!$BB$20:$BB$27</c:f>
              <c:numCache>
                <c:formatCode>0.00%</c:formatCode>
                <c:ptCount val="7"/>
                <c:pt idx="0">
                  <c:v>0.255</c:v>
                </c:pt>
                <c:pt idx="1">
                  <c:v>0.255</c:v>
                </c:pt>
                <c:pt idx="2">
                  <c:v>0.255</c:v>
                </c:pt>
                <c:pt idx="3">
                  <c:v>0.255</c:v>
                </c:pt>
                <c:pt idx="4">
                  <c:v>0.255</c:v>
                </c:pt>
                <c:pt idx="5">
                  <c:v>0.255</c:v>
                </c:pt>
                <c:pt idx="6">
                  <c:v>0.255</c:v>
                </c:pt>
              </c:numCache>
            </c:numRef>
          </c:val>
          <c:smooth val="0"/>
        </c:ser>
        <c:dLbls>
          <c:showLegendKey val="0"/>
          <c:showVal val="0"/>
          <c:showCatName val="0"/>
          <c:showSerName val="0"/>
          <c:showPercent val="0"/>
          <c:showBubbleSize val="0"/>
        </c:dLbls>
        <c:smooth val="0"/>
        <c:axId val="560547760"/>
        <c:axId val="560541880"/>
      </c:lineChart>
      <c:catAx>
        <c:axId val="56054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41880"/>
        <c:crosses val="autoZero"/>
        <c:auto val="1"/>
        <c:lblAlgn val="ctr"/>
        <c:lblOffset val="100"/>
        <c:noMultiLvlLbl val="0"/>
      </c:catAx>
      <c:valAx>
        <c:axId val="560541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Percentage</a:t>
                </a:r>
                <a:r>
                  <a:rPr lang="en-CA" baseline="0">
                    <a:solidFill>
                      <a:sysClr val="windowText" lastClr="000000"/>
                    </a:solidFill>
                  </a:rPr>
                  <a:t> of Rate of Return</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47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[KPI-CCC.xlsm]Ratio Data!PivotTable8</c:name>
    <c:fmtId val="15"/>
  </c:pivotSource>
  <c:chart>
    <c:title>
      <c:tx>
        <c:rich>
          <a:bodyPr rot="0" spcFirstLastPara="1" vertOverflow="ellipsis" vert="horz" wrap="square" anchor="ctr" anchorCtr="1"/>
          <a:lstStyle/>
          <a:p>
            <a:pPr algn="ctr" rtl="0">
              <a:defRPr lang="en-CA" sz="1600" b="1" i="0" u="none" strike="noStrike" kern="1200" spc="0" baseline="0">
                <a:solidFill>
                  <a:sysClr val="windowText" lastClr="000000"/>
                </a:solidFill>
                <a:latin typeface="+mn-lt"/>
                <a:ea typeface="+mn-ea"/>
                <a:cs typeface="+mn-cs"/>
              </a:defRPr>
            </a:pPr>
            <a:r>
              <a:rPr lang="en-CA" sz="1600" b="1" i="0" u="none" strike="noStrike" kern="1200" spc="0" baseline="0">
                <a:solidFill>
                  <a:sysClr val="windowText" lastClr="000000"/>
                </a:solidFill>
                <a:latin typeface="+mn-lt"/>
                <a:ea typeface="+mn-ea"/>
                <a:cs typeface="+mn-cs"/>
              </a:rPr>
              <a:t>DAYS SALES OUTSTANDING and TOTAL CASH CYCLE</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F0000"/>
            </a:solidFill>
            <a:round/>
          </a:ln>
          <a:effectLst/>
        </c:spPr>
        <c:marker>
          <c:symbol val="none"/>
        </c:marker>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0000"/>
            </a:solidFill>
            <a:round/>
          </a:ln>
          <a:effectLst/>
        </c:spPr>
        <c:marker>
          <c:symbol val="none"/>
        </c:marker>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FF0000"/>
            </a:solidFill>
            <a:round/>
          </a:ln>
          <a:effectLst/>
        </c:spPr>
        <c:marker>
          <c:symbol val="none"/>
        </c:marker>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rgbClr val="FF0000"/>
            </a:solidFill>
            <a:round/>
          </a:ln>
          <a:effectLst/>
        </c:spPr>
        <c:marker>
          <c:symbol val="none"/>
        </c:marker>
      </c:pivotFmt>
    </c:pivotFmts>
    <c:plotArea>
      <c:layout/>
      <c:lineChart>
        <c:grouping val="standard"/>
        <c:varyColors val="0"/>
        <c:ser>
          <c:idx val="0"/>
          <c:order val="0"/>
          <c:tx>
            <c:strRef>
              <c:f>'Ratio Data'!$BF$19</c:f>
              <c:strCache>
                <c:ptCount val="1"/>
                <c:pt idx="0">
                  <c:v>DSO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 Data'!$BE$20:$BE$26</c:f>
              <c:strCache>
                <c:ptCount val="6"/>
                <c:pt idx="0">
                  <c:v>2010</c:v>
                </c:pt>
                <c:pt idx="1">
                  <c:v>2011</c:v>
                </c:pt>
                <c:pt idx="2">
                  <c:v>2012</c:v>
                </c:pt>
                <c:pt idx="3">
                  <c:v>2013</c:v>
                </c:pt>
                <c:pt idx="4">
                  <c:v>2014</c:v>
                </c:pt>
                <c:pt idx="5">
                  <c:v>2015</c:v>
                </c:pt>
              </c:strCache>
            </c:strRef>
          </c:cat>
          <c:val>
            <c:numRef>
              <c:f>'Ratio Data'!$BF$20:$BF$26</c:f>
              <c:numCache>
                <c:formatCode>#,##0.00</c:formatCode>
                <c:ptCount val="6"/>
                <c:pt idx="0">
                  <c:v>0</c:v>
                </c:pt>
                <c:pt idx="1">
                  <c:v>0</c:v>
                </c:pt>
                <c:pt idx="2">
                  <c:v>0</c:v>
                </c:pt>
                <c:pt idx="3">
                  <c:v>0</c:v>
                </c:pt>
                <c:pt idx="4">
                  <c:v>157246.59114007291</c:v>
                </c:pt>
                <c:pt idx="5">
                  <c:v>74.004770767427843</c:v>
                </c:pt>
              </c:numCache>
            </c:numRef>
          </c:val>
          <c:smooth val="0"/>
        </c:ser>
        <c:ser>
          <c:idx val="1"/>
          <c:order val="1"/>
          <c:tx>
            <c:strRef>
              <c:f>'Ratio Data'!$BG$19</c:f>
              <c:strCache>
                <c:ptCount val="1"/>
                <c:pt idx="0">
                  <c:v> CC </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 Data'!$BE$20:$BE$26</c:f>
              <c:strCache>
                <c:ptCount val="6"/>
                <c:pt idx="0">
                  <c:v>2010</c:v>
                </c:pt>
                <c:pt idx="1">
                  <c:v>2011</c:v>
                </c:pt>
                <c:pt idx="2">
                  <c:v>2012</c:v>
                </c:pt>
                <c:pt idx="3">
                  <c:v>2013</c:v>
                </c:pt>
                <c:pt idx="4">
                  <c:v>2014</c:v>
                </c:pt>
                <c:pt idx="5">
                  <c:v>2015</c:v>
                </c:pt>
              </c:strCache>
            </c:strRef>
          </c:cat>
          <c:val>
            <c:numRef>
              <c:f>'Ratio Data'!$BG$20:$BG$26</c:f>
              <c:numCache>
                <c:formatCode>#,##0.00</c:formatCode>
                <c:ptCount val="6"/>
                <c:pt idx="0">
                  <c:v>0</c:v>
                </c:pt>
                <c:pt idx="1">
                  <c:v>0</c:v>
                </c:pt>
                <c:pt idx="2">
                  <c:v>0</c:v>
                </c:pt>
                <c:pt idx="3">
                  <c:v>0</c:v>
                </c:pt>
                <c:pt idx="4">
                  <c:v>200686.46076861641</c:v>
                </c:pt>
                <c:pt idx="5">
                  <c:v>16.159003561100427</c:v>
                </c:pt>
              </c:numCache>
            </c:numRef>
          </c:val>
          <c:smooth val="0"/>
        </c:ser>
        <c:ser>
          <c:idx val="2"/>
          <c:order val="2"/>
          <c:tx>
            <c:strRef>
              <c:f>'Ratio Data'!$BH$19</c:f>
              <c:strCache>
                <c:ptCount val="1"/>
                <c:pt idx="0">
                  <c:v> CC Target</c:v>
                </c:pt>
              </c:strCache>
            </c:strRef>
          </c:tx>
          <c:spPr>
            <a:ln w="28575" cap="rnd">
              <a:solidFill>
                <a:srgbClr val="FF0000"/>
              </a:solidFill>
              <a:round/>
            </a:ln>
            <a:effectLst/>
          </c:spPr>
          <c:marker>
            <c:symbol val="none"/>
          </c:marker>
          <c:cat>
            <c:strRef>
              <c:f>'Ratio Data'!$BE$20:$BE$26</c:f>
              <c:strCache>
                <c:ptCount val="6"/>
                <c:pt idx="0">
                  <c:v>2010</c:v>
                </c:pt>
                <c:pt idx="1">
                  <c:v>2011</c:v>
                </c:pt>
                <c:pt idx="2">
                  <c:v>2012</c:v>
                </c:pt>
                <c:pt idx="3">
                  <c:v>2013</c:v>
                </c:pt>
                <c:pt idx="4">
                  <c:v>2014</c:v>
                </c:pt>
                <c:pt idx="5">
                  <c:v>2015</c:v>
                </c:pt>
              </c:strCache>
            </c:strRef>
          </c:cat>
          <c:val>
            <c:numRef>
              <c:f>'Ratio Data'!$BH$20:$BH$26</c:f>
              <c:numCache>
                <c:formatCode>General</c:formatCode>
                <c:ptCount val="6"/>
                <c:pt idx="0">
                  <c:v>45</c:v>
                </c:pt>
                <c:pt idx="1">
                  <c:v>45</c:v>
                </c:pt>
                <c:pt idx="2">
                  <c:v>45</c:v>
                </c:pt>
                <c:pt idx="3">
                  <c:v>45</c:v>
                </c:pt>
                <c:pt idx="4">
                  <c:v>45</c:v>
                </c:pt>
                <c:pt idx="5">
                  <c:v>45</c:v>
                </c:pt>
              </c:numCache>
            </c:numRef>
          </c:val>
          <c:smooth val="0"/>
        </c:ser>
        <c:dLbls>
          <c:showLegendKey val="0"/>
          <c:showVal val="0"/>
          <c:showCatName val="0"/>
          <c:showSerName val="0"/>
          <c:showPercent val="0"/>
          <c:showBubbleSize val="0"/>
        </c:dLbls>
        <c:smooth val="0"/>
        <c:axId val="560551680"/>
        <c:axId val="560551288"/>
      </c:lineChart>
      <c:catAx>
        <c:axId val="56055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51288"/>
        <c:crosses val="autoZero"/>
        <c:auto val="1"/>
        <c:lblAlgn val="ctr"/>
        <c:lblOffset val="100"/>
        <c:noMultiLvlLbl val="0"/>
      </c:catAx>
      <c:valAx>
        <c:axId val="560551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51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[KPI-CCC.xlsm]Ratio Data!PivotTable9</c:name>
    <c:fmtId val="11"/>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solidFill>
                <a:latin typeface="+mn-lt"/>
                <a:ea typeface="+mn-ea"/>
                <a:cs typeface="+mn-cs"/>
              </a:defRPr>
            </a:pPr>
            <a:r>
              <a:rPr lang="en-US" sz="1600" b="1" i="0" u="none" strike="noStrike" kern="1200" spc="0" baseline="0">
                <a:solidFill>
                  <a:sysClr val="windowText" lastClr="000000"/>
                </a:solidFill>
                <a:latin typeface="+mn-lt"/>
                <a:ea typeface="+mn-ea"/>
                <a:cs typeface="+mn-cs"/>
              </a:rPr>
              <a:t>SALES GROWTH PERCENTAGE</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'Ratio Data'!$BL$19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 Data'!$BK$20:$BK$25</c:f>
              <c:strCache>
                <c:ptCount val="5"/>
                <c:pt idx="0">
                  <c:v>2011</c:v>
                </c:pt>
                <c:pt idx="1">
                  <c:v>2012</c:v>
                </c:pt>
                <c:pt idx="2">
                  <c:v>2013</c:v>
                </c:pt>
                <c:pt idx="3">
                  <c:v>2014</c:v>
                </c:pt>
                <c:pt idx="4">
                  <c:v>2015</c:v>
                </c:pt>
              </c:strCache>
            </c:strRef>
          </c:cat>
          <c:val>
            <c:numRef>
              <c:f>'Ratio Data'!$BL$20:$BL$25</c:f>
              <c:numCache>
                <c:formatCode>0.00%</c:formatCode>
                <c:ptCount val="5"/>
                <c:pt idx="0">
                  <c:v>0</c:v>
                </c:pt>
                <c:pt idx="1">
                  <c:v>0</c:v>
                </c:pt>
                <c:pt idx="2">
                  <c:v>0</c:v>
                </c:pt>
                <c:pt idx="3">
                  <c:v>0</c:v>
                </c:pt>
                <c:pt idx="4">
                  <c:v>2441.3623961260237</c:v>
                </c:pt>
              </c:numCache>
            </c:numRef>
          </c:val>
          <c:smooth val="0"/>
        </c:ser>
        <c:dLbls>
          <c:dLblPos val="t"/>
          <c:showLegendKey val="0"/>
          <c:showVal val="1"/>
          <c:showCatName val="0"/>
          <c:showSerName val="0"/>
          <c:showPercent val="0"/>
          <c:showBubbleSize val="0"/>
        </c:dLbls>
        <c:smooth val="0"/>
        <c:axId val="560555208"/>
        <c:axId val="560555600"/>
      </c:lineChart>
      <c:catAx>
        <c:axId val="560555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55600"/>
        <c:crosses val="autoZero"/>
        <c:auto val="1"/>
        <c:lblAlgn val="ctr"/>
        <c:lblOffset val="100"/>
        <c:noMultiLvlLbl val="0"/>
      </c:catAx>
      <c:valAx>
        <c:axId val="560555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Growth Percentage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55208"/>
        <c:crosses val="autoZero"/>
        <c:crossBetween val="between"/>
      </c:valAx>
      <c:spPr>
        <a:noFill/>
        <a:ln>
          <a:noFill/>
        </a:ln>
        <a:effectLst/>
      </c:spPr>
    </c:plotArea>
    <c:plotVisOnly val="1"/>
    <c:dispBlanksAs val="gap"/>
    <c:showDLblsOverMax val="0"/>
  </c:chart>
  <c:spPr>
    <a:gradFill>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Charts!PivotTable4</c:name>
    <c:fmtId val="22"/>
  </c:pivotSource>
  <c:chart>
    <c:title>
      <c:tx>
        <c:rich>
          <a:bodyPr rot="0" spcFirstLastPara="1" vertOverflow="ellipsis" vert="horz" wrap="square" anchor="ctr" anchorCtr="1"/>
          <a:lstStyle/>
          <a:p>
            <a:pPr algn="ctr" rtl="0">
              <a:defRPr lang="en-CA" sz="1400" b="1" i="0" u="none" strike="noStrike" kern="1200" spc="0" baseline="0">
                <a:solidFill>
                  <a:srgbClr val="002060"/>
                </a:solidFill>
                <a:latin typeface="+mn-lt"/>
                <a:ea typeface="+mn-ea"/>
                <a:cs typeface="+mn-cs"/>
              </a:defRPr>
            </a:pPr>
            <a:r>
              <a:rPr lang="en-CA" sz="1600" b="1" i="0" u="none" strike="noStrike" kern="1200" spc="0" baseline="0">
                <a:solidFill>
                  <a:sysClr val="windowText" lastClr="000000"/>
                </a:solidFill>
                <a:latin typeface="+mn-lt"/>
                <a:ea typeface="+mn-ea"/>
                <a:cs typeface="+mn-cs"/>
              </a:rPr>
              <a:t>EBITDA &amp; OH % of SALES</a:t>
            </a:r>
          </a:p>
        </c:rich>
      </c:tx>
      <c:overlay val="0"/>
      <c:spPr>
        <a:noFill/>
        <a:ln>
          <a:noFill/>
        </a:ln>
        <a:effectLst/>
      </c:spPr>
      <c:txPr>
        <a:bodyPr rot="0" spcFirstLastPara="1" vertOverflow="ellipsis" vert="horz" wrap="square" anchor="ctr" anchorCtr="1"/>
        <a:lstStyle/>
        <a:p>
          <a:pPr algn="ctr" rtl="0">
            <a:defRPr lang="en-CA" sz="1400" b="1"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a:noFill/>
          </a:ln>
          <a:effectLst/>
          <a:scene3d>
            <a:camera prst="orthographicFront"/>
            <a:lightRig rig="threePt" dir="t"/>
          </a:scene3d>
          <a:sp3d>
            <a:bevelT/>
          </a:sp3d>
        </c:spPr>
        <c:marker>
          <c:symbol val="none"/>
        </c:marker>
      </c:pivotFmt>
      <c:pivotFmt>
        <c:idx val="9"/>
        <c:spPr>
          <a:solidFill>
            <a:schemeClr val="accent1"/>
          </a:solidFill>
          <a:ln>
            <a:noFill/>
          </a:ln>
          <a:effectLst/>
          <a:scene3d>
            <a:camera prst="orthographicFront"/>
            <a:lightRig rig="threePt" dir="t"/>
          </a:scene3d>
          <a:sp3d>
            <a:bevelT/>
          </a:sp3d>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barChart>
        <c:barDir val="col"/>
        <c:grouping val="clustered"/>
        <c:varyColors val="0"/>
        <c:ser>
          <c:idx val="0"/>
          <c:order val="0"/>
          <c:tx>
            <c:strRef>
              <c:f>'YOY Charts'!$P$1</c:f>
              <c:strCache>
                <c:ptCount val="1"/>
                <c:pt idx="0">
                  <c:v>OH </c:v>
                </c:pt>
              </c:strCache>
            </c:strRef>
          </c:tx>
          <c:spPr>
            <a:solidFill>
              <a:schemeClr val="accent1"/>
            </a:solidFill>
            <a:ln>
              <a:noFill/>
            </a:ln>
            <a:effectLst/>
            <a:scene3d>
              <a:camera prst="orthographicFront"/>
              <a:lightRig rig="threePt" dir="t"/>
            </a:scene3d>
            <a:sp3d>
              <a:bevelT/>
            </a:sp3d>
          </c:spPr>
          <c:invertIfNegative val="0"/>
          <c:cat>
            <c:strRef>
              <c:f>'YOY Charts'!$O$2:$O$5</c:f>
              <c:strCache>
                <c:ptCount val="3"/>
                <c:pt idx="0">
                  <c:v>2014</c:v>
                </c:pt>
                <c:pt idx="1">
                  <c:v>2015</c:v>
                </c:pt>
                <c:pt idx="2">
                  <c:v>2016</c:v>
                </c:pt>
              </c:strCache>
            </c:strRef>
          </c:cat>
          <c:val>
            <c:numRef>
              <c:f>'YOY Charts'!$P$2:$P$5</c:f>
              <c:numCache>
                <c:formatCode>"$"#,##0</c:formatCode>
                <c:ptCount val="3"/>
                <c:pt idx="0">
                  <c:v>0</c:v>
                </c:pt>
                <c:pt idx="1">
                  <c:v>0</c:v>
                </c:pt>
                <c:pt idx="2">
                  <c:v>0</c:v>
                </c:pt>
              </c:numCache>
            </c:numRef>
          </c:val>
        </c:ser>
        <c:ser>
          <c:idx val="1"/>
          <c:order val="1"/>
          <c:tx>
            <c:strRef>
              <c:f>'YOY Charts'!$Q$1</c:f>
              <c:strCache>
                <c:ptCount val="1"/>
                <c:pt idx="0">
                  <c:v>EBITDA </c:v>
                </c:pt>
              </c:strCache>
            </c:strRef>
          </c:tx>
          <c:spPr>
            <a:solidFill>
              <a:schemeClr val="accent2"/>
            </a:solidFill>
            <a:ln>
              <a:noFill/>
            </a:ln>
            <a:effectLst/>
            <a:scene3d>
              <a:camera prst="orthographicFront"/>
              <a:lightRig rig="threePt" dir="t"/>
            </a:scene3d>
            <a:sp3d>
              <a:bevelT/>
            </a:sp3d>
          </c:spPr>
          <c:invertIfNegative val="0"/>
          <c:cat>
            <c:strRef>
              <c:f>'YOY Charts'!$O$2:$O$5</c:f>
              <c:strCache>
                <c:ptCount val="3"/>
                <c:pt idx="0">
                  <c:v>2014</c:v>
                </c:pt>
                <c:pt idx="1">
                  <c:v>2015</c:v>
                </c:pt>
                <c:pt idx="2">
                  <c:v>2016</c:v>
                </c:pt>
              </c:strCache>
            </c:strRef>
          </c:cat>
          <c:val>
            <c:numRef>
              <c:f>'YOY Charts'!$Q$2:$Q$5</c:f>
              <c:numCache>
                <c:formatCode>"$"#,##0</c:formatCode>
                <c:ptCount val="3"/>
                <c:pt idx="0">
                  <c:v>10132.99</c:v>
                </c:pt>
                <c:pt idx="1">
                  <c:v>-1769073.3600000003</c:v>
                </c:pt>
                <c:pt idx="2">
                  <c:v>-3413654.3500000006</c:v>
                </c:pt>
              </c:numCache>
            </c:numRef>
          </c:val>
        </c:ser>
        <c:dLbls>
          <c:showLegendKey val="0"/>
          <c:showVal val="0"/>
          <c:showCatName val="0"/>
          <c:showSerName val="0"/>
          <c:showPercent val="0"/>
          <c:showBubbleSize val="0"/>
        </c:dLbls>
        <c:gapWidth val="219"/>
        <c:overlap val="-27"/>
        <c:axId val="560557952"/>
        <c:axId val="560558344"/>
      </c:barChart>
      <c:lineChart>
        <c:grouping val="standard"/>
        <c:varyColors val="0"/>
        <c:ser>
          <c:idx val="2"/>
          <c:order val="2"/>
          <c:tx>
            <c:strRef>
              <c:f>'YOY Charts'!$R$1</c:f>
              <c:strCache>
                <c:ptCount val="1"/>
                <c:pt idx="0">
                  <c:v>EBITDA % of Sales </c:v>
                </c:pt>
              </c:strCache>
            </c:strRef>
          </c:tx>
          <c:spPr>
            <a:ln w="28575" cap="rnd">
              <a:solidFill>
                <a:schemeClr val="accent3"/>
              </a:solidFill>
              <a:round/>
            </a:ln>
            <a:effectLst/>
          </c:spPr>
          <c:marker>
            <c:symbol val="none"/>
          </c:marker>
          <c:cat>
            <c:strRef>
              <c:f>'YOY Charts'!$O$2:$O$5</c:f>
              <c:strCache>
                <c:ptCount val="3"/>
                <c:pt idx="0">
                  <c:v>2014</c:v>
                </c:pt>
                <c:pt idx="1">
                  <c:v>2015</c:v>
                </c:pt>
                <c:pt idx="2">
                  <c:v>2016</c:v>
                </c:pt>
              </c:strCache>
            </c:strRef>
          </c:cat>
          <c:val>
            <c:numRef>
              <c:f>'YOY Charts'!$R$2:$R$5</c:f>
              <c:numCache>
                <c:formatCode>0.00%</c:formatCode>
                <c:ptCount val="3"/>
                <c:pt idx="0">
                  <c:v>-6.0578645303999519</c:v>
                </c:pt>
                <c:pt idx="1">
                  <c:v>0.43302969688507514</c:v>
                </c:pt>
                <c:pt idx="2">
                  <c:v>0.48135584620704475</c:v>
                </c:pt>
              </c:numCache>
            </c:numRef>
          </c:val>
          <c:smooth val="0"/>
        </c:ser>
        <c:ser>
          <c:idx val="3"/>
          <c:order val="3"/>
          <c:tx>
            <c:strRef>
              <c:f>'YOY Charts'!$S$1</c:f>
              <c:strCache>
                <c:ptCount val="1"/>
                <c:pt idx="0">
                  <c:v>OH % of Sales </c:v>
                </c:pt>
              </c:strCache>
            </c:strRef>
          </c:tx>
          <c:spPr>
            <a:ln w="28575" cap="rnd">
              <a:solidFill>
                <a:schemeClr val="accent4"/>
              </a:solidFill>
              <a:round/>
            </a:ln>
            <a:effectLst/>
          </c:spPr>
          <c:marker>
            <c:symbol val="none"/>
          </c:marker>
          <c:cat>
            <c:strRef>
              <c:f>'YOY Charts'!$O$2:$O$5</c:f>
              <c:strCache>
                <c:ptCount val="3"/>
                <c:pt idx="0">
                  <c:v>2014</c:v>
                </c:pt>
                <c:pt idx="1">
                  <c:v>2015</c:v>
                </c:pt>
                <c:pt idx="2">
                  <c:v>2016</c:v>
                </c:pt>
              </c:strCache>
            </c:strRef>
          </c:cat>
          <c:val>
            <c:numRef>
              <c:f>'YOY Charts'!$S$2:$S$5</c:f>
              <c:numCache>
                <c:formatCode>0.00%</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560561872"/>
        <c:axId val="560561480"/>
      </c:lineChart>
      <c:catAx>
        <c:axId val="56055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58344"/>
        <c:crosses val="autoZero"/>
        <c:auto val="1"/>
        <c:lblAlgn val="ctr"/>
        <c:lblOffset val="100"/>
        <c:noMultiLvlLbl val="0"/>
      </c:catAx>
      <c:valAx>
        <c:axId val="5605583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57952"/>
        <c:crosses val="autoZero"/>
        <c:crossBetween val="between"/>
      </c:valAx>
      <c:valAx>
        <c:axId val="560561480"/>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1872"/>
        <c:crosses val="max"/>
        <c:crossBetween val="between"/>
      </c:valAx>
      <c:catAx>
        <c:axId val="560561872"/>
        <c:scaling>
          <c:orientation val="minMax"/>
        </c:scaling>
        <c:delete val="1"/>
        <c:axPos val="b"/>
        <c:numFmt formatCode="General" sourceLinked="1"/>
        <c:majorTickMark val="out"/>
        <c:minorTickMark val="none"/>
        <c:tickLblPos val="nextTo"/>
        <c:crossAx val="560561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Charts!PivotTable20</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BUDGET</a:t>
            </a:r>
            <a:r>
              <a:rPr lang="en-CA" sz="1600" b="1" baseline="0">
                <a:solidFill>
                  <a:sysClr val="windowText" lastClr="000000"/>
                </a:solidFill>
              </a:rPr>
              <a:t> VS ACTUAL</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pivotFmt>
      <c:pivotFmt>
        <c:idx val="9"/>
        <c:spPr>
          <a:solidFill>
            <a:schemeClr val="accent2"/>
          </a:solidFill>
          <a:ln>
            <a:noFill/>
          </a:ln>
          <a:effectLst/>
          <a:scene3d>
            <a:camera prst="orthographicFront"/>
            <a:lightRig rig="threePt" dir="t"/>
          </a:scene3d>
          <a:sp3d>
            <a:bevelT/>
          </a:sp3d>
        </c:spPr>
      </c:pivotFmt>
      <c:pivotFmt>
        <c:idx val="10"/>
        <c:spPr>
          <a:solidFill>
            <a:schemeClr val="accent2"/>
          </a:solidFill>
          <a:ln>
            <a:noFill/>
          </a:ln>
          <a:effectLst/>
        </c:spPr>
      </c:pivotFmt>
    </c:pivotFmts>
    <c:plotArea>
      <c:layout/>
      <c:barChart>
        <c:barDir val="col"/>
        <c:grouping val="clustered"/>
        <c:varyColors val="0"/>
        <c:ser>
          <c:idx val="0"/>
          <c:order val="0"/>
          <c:tx>
            <c:strRef>
              <c:f>'YOY Charts'!$B$3</c:f>
              <c:strCache>
                <c:ptCount val="1"/>
                <c:pt idx="0">
                  <c:v>SALES </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'YOY Charts'!$A$4:$A$7</c:f>
              <c:strCache>
                <c:ptCount val="3"/>
                <c:pt idx="0">
                  <c:v>2014</c:v>
                </c:pt>
                <c:pt idx="1">
                  <c:v>2015</c:v>
                </c:pt>
                <c:pt idx="2">
                  <c:v>2016</c:v>
                </c:pt>
              </c:strCache>
            </c:strRef>
          </c:cat>
          <c:val>
            <c:numRef>
              <c:f>'YOY Charts'!$B$4:$B$7</c:f>
              <c:numCache>
                <c:formatCode>"$"#,##0</c:formatCode>
                <c:ptCount val="3"/>
                <c:pt idx="0">
                  <c:v>1560888</c:v>
                </c:pt>
                <c:pt idx="1">
                  <c:v>281496679</c:v>
                </c:pt>
                <c:pt idx="2">
                  <c:v>11163687</c:v>
                </c:pt>
              </c:numCache>
            </c:numRef>
          </c:val>
        </c:ser>
        <c:ser>
          <c:idx val="1"/>
          <c:order val="1"/>
          <c:tx>
            <c:strRef>
              <c:f>'YOY Charts'!$C$3</c:f>
              <c:strCache>
                <c:ptCount val="1"/>
                <c:pt idx="0">
                  <c:v>BUDGET </c:v>
                </c:pt>
              </c:strCache>
            </c:strRef>
          </c:tx>
          <c:spPr>
            <a:solidFill>
              <a:schemeClr val="accent2"/>
            </a:solidFill>
            <a:ln>
              <a:noFill/>
            </a:ln>
            <a:effectLst/>
          </c:spPr>
          <c:invertIfNegative val="0"/>
          <c:dPt>
            <c:idx val="1"/>
            <c:invertIfNegative val="0"/>
            <c:bubble3D val="0"/>
            <c:spPr>
              <a:solidFill>
                <a:schemeClr val="accent2"/>
              </a:solidFill>
              <a:ln>
                <a:noFill/>
              </a:ln>
              <a:effectLst/>
              <a:scene3d>
                <a:camera prst="orthographicFront"/>
                <a:lightRig rig="threePt" dir="t"/>
              </a:scene3d>
              <a:sp3d>
                <a:bevel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'YOY Charts'!$A$4:$A$7</c:f>
              <c:strCache>
                <c:ptCount val="3"/>
                <c:pt idx="0">
                  <c:v>2014</c:v>
                </c:pt>
                <c:pt idx="1">
                  <c:v>2015</c:v>
                </c:pt>
                <c:pt idx="2">
                  <c:v>2016</c:v>
                </c:pt>
              </c:strCache>
            </c:strRef>
          </c:cat>
          <c:val>
            <c:numRef>
              <c:f>'YOY Charts'!$C$4:$C$7</c:f>
              <c:numCache>
                <c:formatCode>"$"#,##0</c:formatCode>
                <c:ptCount val="3"/>
                <c:pt idx="0">
                  <c:v>25351585.52</c:v>
                </c:pt>
                <c:pt idx="1">
                  <c:v>152109513.12</c:v>
                </c:pt>
                <c:pt idx="2">
                  <c:v>25351585.52</c:v>
                </c:pt>
              </c:numCache>
            </c:numRef>
          </c:val>
        </c:ser>
        <c:dLbls>
          <c:showLegendKey val="0"/>
          <c:showVal val="0"/>
          <c:showCatName val="0"/>
          <c:showSerName val="0"/>
          <c:showPercent val="0"/>
          <c:showBubbleSize val="0"/>
        </c:dLbls>
        <c:gapWidth val="219"/>
        <c:overlap val="-27"/>
        <c:axId val="560569712"/>
        <c:axId val="560571672"/>
      </c:barChart>
      <c:lineChart>
        <c:grouping val="standard"/>
        <c:varyColors val="0"/>
        <c:ser>
          <c:idx val="2"/>
          <c:order val="2"/>
          <c:tx>
            <c:strRef>
              <c:f>'YOY Charts'!$D$3</c:f>
              <c:strCache>
                <c:ptCount val="1"/>
                <c:pt idx="0">
                  <c:v>% of Budget </c:v>
                </c:pt>
              </c:strCache>
            </c:strRef>
          </c:tx>
          <c:spPr>
            <a:ln w="28575" cap="rnd">
              <a:solidFill>
                <a:schemeClr val="accent3"/>
              </a:solidFill>
              <a:round/>
            </a:ln>
            <a:effectLst/>
          </c:spPr>
          <c:marker>
            <c:symbol val="none"/>
          </c:marker>
          <c:cat>
            <c:strRef>
              <c:f>'YOY Charts'!$A$4:$A$7</c:f>
              <c:strCache>
                <c:ptCount val="3"/>
                <c:pt idx="0">
                  <c:v>2014</c:v>
                </c:pt>
                <c:pt idx="1">
                  <c:v>2015</c:v>
                </c:pt>
                <c:pt idx="2">
                  <c:v>2016</c:v>
                </c:pt>
              </c:strCache>
            </c:strRef>
          </c:cat>
          <c:val>
            <c:numRef>
              <c:f>'YOY Charts'!$D$4:$D$7</c:f>
              <c:numCache>
                <c:formatCode>0%</c:formatCode>
                <c:ptCount val="3"/>
                <c:pt idx="0">
                  <c:v>6.1569640240789168E-2</c:v>
                </c:pt>
                <c:pt idx="1">
                  <c:v>1.8506184999614441</c:v>
                </c:pt>
                <c:pt idx="2">
                  <c:v>0.44035458812597378</c:v>
                </c:pt>
              </c:numCache>
            </c:numRef>
          </c:val>
          <c:smooth val="0"/>
        </c:ser>
        <c:dLbls>
          <c:showLegendKey val="0"/>
          <c:showVal val="0"/>
          <c:showCatName val="0"/>
          <c:showSerName val="0"/>
          <c:showPercent val="0"/>
          <c:showBubbleSize val="0"/>
        </c:dLbls>
        <c:marker val="1"/>
        <c:smooth val="0"/>
        <c:axId val="560567752"/>
        <c:axId val="560572848"/>
      </c:lineChart>
      <c:catAx>
        <c:axId val="56056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60571672"/>
        <c:crosses val="autoZero"/>
        <c:auto val="1"/>
        <c:lblAlgn val="ctr"/>
        <c:lblOffset val="100"/>
        <c:noMultiLvlLbl val="0"/>
      </c:catAx>
      <c:valAx>
        <c:axId val="56057167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971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valAx>
        <c:axId val="56057284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of 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7752"/>
        <c:crosses val="max"/>
        <c:crossBetween val="between"/>
      </c:valAx>
      <c:catAx>
        <c:axId val="560567752"/>
        <c:scaling>
          <c:orientation val="minMax"/>
        </c:scaling>
        <c:delete val="1"/>
        <c:axPos val="b"/>
        <c:numFmt formatCode="General" sourceLinked="1"/>
        <c:majorTickMark val="out"/>
        <c:minorTickMark val="none"/>
        <c:tickLblPos val="nextTo"/>
        <c:crossAx val="5605728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Charts!PivotTable21</c:name>
    <c:fmtId val="8"/>
  </c:pivotSource>
  <c:chart>
    <c:title>
      <c:tx>
        <c:rich>
          <a:bodyPr rot="0" spcFirstLastPara="1" vertOverflow="ellipsis" vert="horz" wrap="square" anchor="ctr" anchorCtr="1"/>
          <a:lstStyle/>
          <a:p>
            <a:pPr algn="ctr" rtl="0">
              <a:defRPr lang="en-CA" sz="1600" b="1" i="0" u="none" strike="noStrike" kern="1200" spc="0" baseline="0">
                <a:solidFill>
                  <a:sysClr val="windowText" lastClr="000000"/>
                </a:solidFill>
                <a:latin typeface="+mn-lt"/>
                <a:ea typeface="+mn-ea"/>
                <a:cs typeface="+mn-cs"/>
              </a:defRPr>
            </a:pPr>
            <a:r>
              <a:rPr lang="en-CA" sz="1600" b="1" i="0" u="none" strike="noStrike" kern="1200" spc="0" baseline="0">
                <a:solidFill>
                  <a:sysClr val="windowText" lastClr="000000"/>
                </a:solidFill>
                <a:latin typeface="+mn-lt"/>
                <a:ea typeface="+mn-ea"/>
                <a:cs typeface="+mn-cs"/>
              </a:rPr>
              <a:t>GM % </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'YOY Charts'!$I$3</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'YOY Charts'!$H$4:$H$7</c:f>
              <c:strCache>
                <c:ptCount val="3"/>
                <c:pt idx="0">
                  <c:v>2014</c:v>
                </c:pt>
                <c:pt idx="1">
                  <c:v>2015</c:v>
                </c:pt>
                <c:pt idx="2">
                  <c:v>2016</c:v>
                </c:pt>
              </c:strCache>
            </c:strRef>
          </c:cat>
          <c:val>
            <c:numRef>
              <c:f>'YOY Charts'!$I$4:$I$7</c:f>
              <c:numCache>
                <c:formatCode>#,##0.00</c:formatCode>
                <c:ptCount val="3"/>
                <c:pt idx="0">
                  <c:v>0</c:v>
                </c:pt>
                <c:pt idx="1">
                  <c:v>82.003333333333316</c:v>
                </c:pt>
                <c:pt idx="2">
                  <c:v>86.72999999999999</c:v>
                </c:pt>
              </c:numCache>
            </c:numRef>
          </c:val>
        </c:ser>
        <c:dLbls>
          <c:dLblPos val="outEnd"/>
          <c:showLegendKey val="0"/>
          <c:showVal val="1"/>
          <c:showCatName val="0"/>
          <c:showSerName val="0"/>
          <c:showPercent val="0"/>
          <c:showBubbleSize val="0"/>
        </c:dLbls>
        <c:gapWidth val="219"/>
        <c:overlap val="-27"/>
        <c:axId val="560570104"/>
        <c:axId val="560575200"/>
      </c:barChart>
      <c:catAx>
        <c:axId val="560570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5200"/>
        <c:crosses val="autoZero"/>
        <c:auto val="1"/>
        <c:lblAlgn val="ctr"/>
        <c:lblOffset val="100"/>
        <c:noMultiLvlLbl val="0"/>
      </c:catAx>
      <c:valAx>
        <c:axId val="560575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0104"/>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TOTAL</a:t>
            </a:r>
            <a:r>
              <a:rPr lang="en-CA" sz="1600" b="1" baseline="0">
                <a:solidFill>
                  <a:sysClr val="windowText" lastClr="000000"/>
                </a:solidFill>
              </a:rPr>
              <a:t> COSTS </a:t>
            </a:r>
            <a:r>
              <a:rPr lang="en-CA" sz="1600" b="1">
                <a:solidFill>
                  <a:sysClr val="windowText" lastClr="000000"/>
                </a:solidFill>
              </a:rPr>
              <a:t>ACTUAL</a:t>
            </a:r>
            <a:r>
              <a:rPr lang="en-CA" sz="1600" b="1" baseline="0">
                <a:solidFill>
                  <a:sysClr val="windowText" lastClr="000000"/>
                </a:solidFill>
              </a:rPr>
              <a:t> VS ESTIMATE</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pivotFmt>
    </c:pivotFmts>
    <c:plotArea>
      <c:layout/>
      <c:barChart>
        <c:barDir val="col"/>
        <c:grouping val="clustered"/>
        <c:varyColors val="0"/>
        <c:ser>
          <c:idx val="0"/>
          <c:order val="0"/>
          <c:tx>
            <c:strRef>
              <c:f>'YOY Charts'!$W$3</c:f>
              <c:strCache>
                <c:ptCount val="1"/>
                <c:pt idx="0">
                  <c:v>Actual  </c:v>
                </c:pt>
              </c:strCache>
            </c:strRef>
          </c:tx>
          <c:spPr>
            <a:solidFill>
              <a:schemeClr val="accent1"/>
            </a:solidFill>
            <a:ln>
              <a:noFill/>
            </a:ln>
            <a:effectLst/>
            <a:scene3d>
              <a:camera prst="orthographicFront"/>
              <a:lightRig rig="threePt" dir="t"/>
            </a:scene3d>
            <a:sp3d>
              <a:bevelT/>
            </a:sp3d>
          </c:spPr>
          <c:invertIfNegative val="0"/>
          <c:cat>
            <c:strRef>
              <c:f>'YOY Charts'!$V$4:$V$6</c:f>
              <c:strCache>
                <c:ptCount val="2"/>
                <c:pt idx="0">
                  <c:v>2015</c:v>
                </c:pt>
                <c:pt idx="1">
                  <c:v>2016</c:v>
                </c:pt>
              </c:strCache>
            </c:strRef>
          </c:cat>
          <c:val>
            <c:numRef>
              <c:f>'YOY Charts'!$W$4:$W$6</c:f>
              <c:numCache>
                <c:formatCode>"$"#,##0</c:formatCode>
                <c:ptCount val="2"/>
                <c:pt idx="0">
                  <c:v>1962143.66</c:v>
                </c:pt>
                <c:pt idx="1">
                  <c:v>50762.619999999995</c:v>
                </c:pt>
              </c:numCache>
            </c:numRef>
          </c:val>
        </c:ser>
        <c:ser>
          <c:idx val="1"/>
          <c:order val="1"/>
          <c:tx>
            <c:strRef>
              <c:f>'YOY Charts'!$X$3</c:f>
              <c:strCache>
                <c:ptCount val="1"/>
                <c:pt idx="0">
                  <c:v>Estimate  </c:v>
                </c:pt>
              </c:strCache>
            </c:strRef>
          </c:tx>
          <c:spPr>
            <a:solidFill>
              <a:schemeClr val="accent2"/>
            </a:solidFill>
            <a:ln>
              <a:noFill/>
            </a:ln>
            <a:effectLst/>
            <a:scene3d>
              <a:camera prst="orthographicFront"/>
              <a:lightRig rig="threePt" dir="t"/>
            </a:scene3d>
            <a:sp3d>
              <a:bevelT/>
            </a:sp3d>
          </c:spPr>
          <c:invertIfNegative val="0"/>
          <c:cat>
            <c:strRef>
              <c:f>'YOY Charts'!$V$4:$V$6</c:f>
              <c:strCache>
                <c:ptCount val="2"/>
                <c:pt idx="0">
                  <c:v>2015</c:v>
                </c:pt>
                <c:pt idx="1">
                  <c:v>2016</c:v>
                </c:pt>
              </c:strCache>
            </c:strRef>
          </c:cat>
          <c:val>
            <c:numRef>
              <c:f>'YOY Charts'!$X$4:$X$6</c:f>
              <c:numCache>
                <c:formatCode>"$"#,##0</c:formatCode>
                <c:ptCount val="2"/>
                <c:pt idx="0">
                  <c:v>3247094.4</c:v>
                </c:pt>
                <c:pt idx="1">
                  <c:v>37519.42</c:v>
                </c:pt>
              </c:numCache>
            </c:numRef>
          </c:val>
        </c:ser>
        <c:dLbls>
          <c:showLegendKey val="0"/>
          <c:showVal val="0"/>
          <c:showCatName val="0"/>
          <c:showSerName val="0"/>
          <c:showPercent val="0"/>
          <c:showBubbleSize val="0"/>
        </c:dLbls>
        <c:gapWidth val="219"/>
        <c:overlap val="-27"/>
        <c:axId val="560565792"/>
        <c:axId val="560573240"/>
      </c:barChart>
      <c:lineChart>
        <c:grouping val="standard"/>
        <c:varyColors val="0"/>
        <c:ser>
          <c:idx val="2"/>
          <c:order val="2"/>
          <c:tx>
            <c:strRef>
              <c:f>'YOY Charts'!$Y$3</c:f>
              <c:strCache>
                <c:ptCount val="1"/>
                <c:pt idx="0">
                  <c:v>Avg % Estimate </c:v>
                </c:pt>
              </c:strCache>
            </c:strRef>
          </c:tx>
          <c:spPr>
            <a:ln w="28575" cap="rnd">
              <a:solidFill>
                <a:schemeClr val="accent3"/>
              </a:solidFill>
              <a:round/>
            </a:ln>
            <a:effectLst/>
          </c:spPr>
          <c:marker>
            <c:symbol val="none"/>
          </c:marker>
          <c:cat>
            <c:strRef>
              <c:f>'YOY Charts'!$V$4:$V$6</c:f>
              <c:strCache>
                <c:ptCount val="2"/>
                <c:pt idx="0">
                  <c:v>2015</c:v>
                </c:pt>
                <c:pt idx="1">
                  <c:v>2016</c:v>
                </c:pt>
              </c:strCache>
            </c:strRef>
          </c:cat>
          <c:val>
            <c:numRef>
              <c:f>'YOY Charts'!$Y$4:$Y$6</c:f>
              <c:numCache>
                <c:formatCode>0.00%</c:formatCode>
                <c:ptCount val="2"/>
                <c:pt idx="0">
                  <c:v>0.60427675277934634</c:v>
                </c:pt>
                <c:pt idx="1">
                  <c:v>1.3529692090122927</c:v>
                </c:pt>
              </c:numCache>
            </c:numRef>
          </c:val>
          <c:smooth val="0"/>
        </c:ser>
        <c:dLbls>
          <c:showLegendKey val="0"/>
          <c:showVal val="0"/>
          <c:showCatName val="0"/>
          <c:showSerName val="0"/>
          <c:showPercent val="0"/>
          <c:showBubbleSize val="0"/>
        </c:dLbls>
        <c:marker val="1"/>
        <c:smooth val="0"/>
        <c:axId val="560565400"/>
        <c:axId val="560570496"/>
      </c:lineChart>
      <c:catAx>
        <c:axId val="56056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3240"/>
        <c:crosses val="autoZero"/>
        <c:auto val="1"/>
        <c:lblAlgn val="ctr"/>
        <c:lblOffset val="100"/>
        <c:noMultiLvlLbl val="0"/>
      </c:catAx>
      <c:valAx>
        <c:axId val="5605732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57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valAx>
        <c:axId val="560570496"/>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5400"/>
        <c:crosses val="max"/>
        <c:crossBetween val="between"/>
      </c:valAx>
      <c:catAx>
        <c:axId val="560565400"/>
        <c:scaling>
          <c:orientation val="minMax"/>
        </c:scaling>
        <c:delete val="1"/>
        <c:axPos val="b"/>
        <c:numFmt formatCode="General" sourceLinked="1"/>
        <c:majorTickMark val="out"/>
        <c:minorTickMark val="none"/>
        <c:tickLblPos val="nextTo"/>
        <c:crossAx val="5605704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REWORK</a:t>
            </a:r>
            <a:r>
              <a:rPr lang="en-CA" sz="1600" b="1" baseline="0">
                <a:solidFill>
                  <a:sysClr val="windowText" lastClr="000000"/>
                </a:solidFill>
              </a:rPr>
              <a:t> % OF SALES</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w="28575" cap="rnd">
            <a:solidFill>
              <a:schemeClr val="accent6"/>
            </a:solidFill>
            <a:round/>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w="28575" cap="rnd">
            <a:solidFill>
              <a:schemeClr val="accent6"/>
            </a:solidFill>
            <a:round/>
          </a:ln>
          <a:effectLst/>
        </c:spPr>
        <c:marker>
          <c:symbol val="none"/>
        </c:marker>
      </c:pivotFmt>
      <c:pivotFmt>
        <c:idx val="6"/>
        <c:spPr>
          <a:solidFill>
            <a:schemeClr val="accent6"/>
          </a:solidFill>
          <a:ln>
            <a:noFill/>
          </a:ln>
          <a:effectLst/>
          <a:scene3d>
            <a:camera prst="orthographicFront"/>
            <a:lightRig rig="threePt" dir="t"/>
          </a:scene3d>
          <a:sp3d>
            <a:bevelT/>
          </a:sp3d>
        </c:spPr>
        <c:marker>
          <c:symbol val="none"/>
        </c:marker>
      </c:pivotFmt>
      <c:pivotFmt>
        <c:idx val="7"/>
        <c:spPr>
          <a:solidFill>
            <a:schemeClr val="accent6"/>
          </a:solidFill>
          <a:ln>
            <a:noFill/>
          </a:ln>
          <a:effectLst/>
        </c:spPr>
        <c:marker>
          <c:symbol val="none"/>
        </c:marker>
      </c:pivotFmt>
      <c:pivotFmt>
        <c:idx val="8"/>
        <c:spPr>
          <a:ln w="28575" cap="rnd">
            <a:solidFill>
              <a:schemeClr val="accent6"/>
            </a:solidFill>
            <a:round/>
          </a:ln>
          <a:effectLst/>
        </c:spPr>
        <c:marker>
          <c:symbol val="none"/>
        </c:marker>
      </c:pivotFmt>
    </c:pivotFmts>
    <c:plotArea>
      <c:layout/>
      <c:barChart>
        <c:barDir val="col"/>
        <c:grouping val="clustered"/>
        <c:varyColors val="0"/>
        <c:ser>
          <c:idx val="0"/>
          <c:order val="0"/>
          <c:tx>
            <c:strRef>
              <c:f>'YOY Charts'!$AD$3</c:f>
              <c:strCache>
                <c:ptCount val="1"/>
                <c:pt idx="0">
                  <c:v>Sales </c:v>
                </c:pt>
              </c:strCache>
            </c:strRef>
          </c:tx>
          <c:spPr>
            <a:solidFill>
              <a:schemeClr val="accent6"/>
            </a:solidFill>
            <a:ln>
              <a:noFill/>
            </a:ln>
            <a:effectLst/>
            <a:scene3d>
              <a:camera prst="orthographicFront"/>
              <a:lightRig rig="threePt" dir="t"/>
            </a:scene3d>
            <a:sp3d>
              <a:bevelT/>
            </a:sp3d>
          </c:spPr>
          <c:invertIfNegative val="0"/>
          <c:cat>
            <c:strRef>
              <c:f>'YOY Charts'!$AC$4:$AC$7</c:f>
              <c:strCache>
                <c:ptCount val="3"/>
                <c:pt idx="0">
                  <c:v>2014</c:v>
                </c:pt>
                <c:pt idx="1">
                  <c:v>2015</c:v>
                </c:pt>
                <c:pt idx="2">
                  <c:v>2016</c:v>
                </c:pt>
              </c:strCache>
            </c:strRef>
          </c:cat>
          <c:val>
            <c:numRef>
              <c:f>'YOY Charts'!$AD$4:$AD$7</c:f>
              <c:numCache>
                <c:formatCode>#,##0</c:formatCode>
                <c:ptCount val="3"/>
                <c:pt idx="0">
                  <c:v>1560888</c:v>
                </c:pt>
                <c:pt idx="1">
                  <c:v>281496679</c:v>
                </c:pt>
                <c:pt idx="2">
                  <c:v>11163687</c:v>
                </c:pt>
              </c:numCache>
            </c:numRef>
          </c:val>
        </c:ser>
        <c:ser>
          <c:idx val="1"/>
          <c:order val="1"/>
          <c:tx>
            <c:strRef>
              <c:f>'YOY Charts'!$AE$3</c:f>
              <c:strCache>
                <c:ptCount val="1"/>
                <c:pt idx="0">
                  <c:v>Rework </c:v>
                </c:pt>
              </c:strCache>
            </c:strRef>
          </c:tx>
          <c:spPr>
            <a:solidFill>
              <a:schemeClr val="accent5"/>
            </a:solidFill>
            <a:ln>
              <a:noFill/>
            </a:ln>
            <a:effectLst/>
          </c:spPr>
          <c:invertIfNegative val="0"/>
          <c:cat>
            <c:strRef>
              <c:f>'YOY Charts'!$AC$4:$AC$7</c:f>
              <c:strCache>
                <c:ptCount val="3"/>
                <c:pt idx="0">
                  <c:v>2014</c:v>
                </c:pt>
                <c:pt idx="1">
                  <c:v>2015</c:v>
                </c:pt>
                <c:pt idx="2">
                  <c:v>2016</c:v>
                </c:pt>
              </c:strCache>
            </c:strRef>
          </c:cat>
          <c:val>
            <c:numRef>
              <c:f>'YOY Charts'!$AE$4:$AE$7</c:f>
              <c:numCache>
                <c:formatCode>#,##0</c:formatCode>
                <c:ptCount val="3"/>
                <c:pt idx="0">
                  <c:v>0.04</c:v>
                </c:pt>
                <c:pt idx="1">
                  <c:v>29201.499999999996</c:v>
                </c:pt>
              </c:numCache>
            </c:numRef>
          </c:val>
        </c:ser>
        <c:dLbls>
          <c:showLegendKey val="0"/>
          <c:showVal val="0"/>
          <c:showCatName val="0"/>
          <c:showSerName val="0"/>
          <c:showPercent val="0"/>
          <c:showBubbleSize val="0"/>
        </c:dLbls>
        <c:gapWidth val="219"/>
        <c:overlap val="-27"/>
        <c:axId val="560566184"/>
        <c:axId val="560566576"/>
      </c:barChart>
      <c:lineChart>
        <c:grouping val="standard"/>
        <c:varyColors val="0"/>
        <c:ser>
          <c:idx val="2"/>
          <c:order val="2"/>
          <c:tx>
            <c:strRef>
              <c:f>'YOY Charts'!$AF$3</c:f>
              <c:strCache>
                <c:ptCount val="1"/>
                <c:pt idx="0">
                  <c:v>Rework % of Sales</c:v>
                </c:pt>
              </c:strCache>
            </c:strRef>
          </c:tx>
          <c:spPr>
            <a:ln w="28575" cap="rnd">
              <a:solidFill>
                <a:schemeClr val="accent4"/>
              </a:solidFill>
              <a:round/>
            </a:ln>
            <a:effectLst/>
          </c:spPr>
          <c:marker>
            <c:symbol val="none"/>
          </c:marker>
          <c:cat>
            <c:strRef>
              <c:f>'YOY Charts'!$AC$4:$AC$7</c:f>
              <c:strCache>
                <c:ptCount val="3"/>
                <c:pt idx="0">
                  <c:v>2014</c:v>
                </c:pt>
                <c:pt idx="1">
                  <c:v>2015</c:v>
                </c:pt>
                <c:pt idx="2">
                  <c:v>2016</c:v>
                </c:pt>
              </c:strCache>
            </c:strRef>
          </c:cat>
          <c:val>
            <c:numRef>
              <c:f>'YOY Charts'!$AF$4:$AF$7</c:f>
              <c:numCache>
                <c:formatCode>0.00</c:formatCode>
                <c:ptCount val="3"/>
                <c:pt idx="0">
                  <c:v>0</c:v>
                </c:pt>
                <c:pt idx="1">
                  <c:v>0.13999999999999999</c:v>
                </c:pt>
              </c:numCache>
            </c:numRef>
          </c:val>
          <c:smooth val="0"/>
        </c:ser>
        <c:dLbls>
          <c:showLegendKey val="0"/>
          <c:showVal val="0"/>
          <c:showCatName val="0"/>
          <c:showSerName val="0"/>
          <c:showPercent val="0"/>
          <c:showBubbleSize val="0"/>
        </c:dLbls>
        <c:marker val="1"/>
        <c:smooth val="0"/>
        <c:axId val="560572064"/>
        <c:axId val="560568144"/>
      </c:lineChart>
      <c:catAx>
        <c:axId val="560566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6576"/>
        <c:crosses val="autoZero"/>
        <c:auto val="1"/>
        <c:lblAlgn val="ctr"/>
        <c:lblOffset val="100"/>
        <c:noMultiLvlLbl val="0"/>
      </c:catAx>
      <c:valAx>
        <c:axId val="560566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618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valAx>
        <c:axId val="56056814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of 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2064"/>
        <c:crosses val="max"/>
        <c:crossBetween val="between"/>
      </c:valAx>
      <c:catAx>
        <c:axId val="560572064"/>
        <c:scaling>
          <c:orientation val="minMax"/>
        </c:scaling>
        <c:delete val="1"/>
        <c:axPos val="b"/>
        <c:numFmt formatCode="General" sourceLinked="1"/>
        <c:majorTickMark val="out"/>
        <c:minorTickMark val="none"/>
        <c:tickLblPos val="nextTo"/>
        <c:crossAx val="5605681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Charts!PivotTable25</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ON-TIME DELIVERY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a:noFill/>
          </a:ln>
          <a:effectLst/>
          <a:scene3d>
            <a:camera prst="orthographicFront"/>
            <a:lightRig rig="threePt" dir="t"/>
          </a:scene3d>
          <a:sp3d>
            <a:bevelT/>
          </a:sp3d>
        </c:spPr>
        <c:marker>
          <c:symbol val="none"/>
        </c:marker>
      </c:pivotFmt>
      <c:pivotFmt>
        <c:idx val="9"/>
        <c:spPr>
          <a:solidFill>
            <a:schemeClr val="accent1"/>
          </a:solidFill>
          <a:ln>
            <a:noFill/>
          </a:ln>
          <a:effectLst/>
          <a:scene3d>
            <a:camera prst="orthographicFront"/>
            <a:lightRig rig="threePt" dir="t"/>
          </a:scene3d>
          <a:sp3d>
            <a:bevelT/>
          </a:sp3d>
        </c:spPr>
        <c:marker>
          <c:symbol val="none"/>
        </c:marker>
      </c:pivotFmt>
      <c:pivotFmt>
        <c:idx val="10"/>
        <c:spPr>
          <a:solidFill>
            <a:schemeClr val="accent1"/>
          </a:solidFill>
          <a:ln>
            <a:noFill/>
          </a:ln>
          <a:effectLst/>
          <a:scene3d>
            <a:camera prst="orthographicFront"/>
            <a:lightRig rig="threePt" dir="t"/>
          </a:scene3d>
          <a:sp3d>
            <a:bevelT/>
          </a:sp3d>
        </c:spPr>
        <c:marker>
          <c:symbol val="none"/>
        </c:marker>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'YOY Charts'!$AK$2</c:f>
              <c:strCache>
                <c:ptCount val="1"/>
                <c:pt idx="0">
                  <c:v>On-Time  </c:v>
                </c:pt>
              </c:strCache>
            </c:strRef>
          </c:tx>
          <c:spPr>
            <a:solidFill>
              <a:schemeClr val="accent1"/>
            </a:solidFill>
            <a:ln>
              <a:noFill/>
            </a:ln>
            <a:effectLst/>
            <a:scene3d>
              <a:camera prst="orthographicFront"/>
              <a:lightRig rig="threePt" dir="t"/>
            </a:scene3d>
            <a:sp3d>
              <a:bevelT/>
            </a:sp3d>
          </c:spPr>
          <c:invertIfNegative val="0"/>
          <c:cat>
            <c:strRef>
              <c:f>'YOY Charts'!$AJ$3</c:f>
              <c:strCache>
                <c:ptCount val="1"/>
                <c:pt idx="0">
                  <c:v>Grand Total</c:v>
                </c:pt>
              </c:strCache>
            </c:strRef>
          </c:cat>
          <c:val>
            <c:numRef>
              <c:f>'YOY Charts'!$AK$3</c:f>
              <c:numCache>
                <c:formatCode>#,##0</c:formatCode>
                <c:ptCount val="1"/>
              </c:numCache>
            </c:numRef>
          </c:val>
        </c:ser>
        <c:ser>
          <c:idx val="1"/>
          <c:order val="1"/>
          <c:tx>
            <c:strRef>
              <c:f>'YOY Charts'!$AL$2</c:f>
              <c:strCache>
                <c:ptCount val="1"/>
                <c:pt idx="0">
                  <c:v>Late  </c:v>
                </c:pt>
              </c:strCache>
            </c:strRef>
          </c:tx>
          <c:spPr>
            <a:solidFill>
              <a:schemeClr val="accent2"/>
            </a:solidFill>
            <a:ln>
              <a:noFill/>
            </a:ln>
            <a:effectLst/>
            <a:scene3d>
              <a:camera prst="orthographicFront"/>
              <a:lightRig rig="threePt" dir="t"/>
            </a:scene3d>
            <a:sp3d>
              <a:bevelT/>
            </a:sp3d>
          </c:spPr>
          <c:invertIfNegative val="0"/>
          <c:cat>
            <c:strRef>
              <c:f>'YOY Charts'!$AJ$3</c:f>
              <c:strCache>
                <c:ptCount val="1"/>
                <c:pt idx="0">
                  <c:v>Grand Total</c:v>
                </c:pt>
              </c:strCache>
            </c:strRef>
          </c:cat>
          <c:val>
            <c:numRef>
              <c:f>'YOY Charts'!$AL$3</c:f>
              <c:numCache>
                <c:formatCode>#,##0</c:formatCode>
                <c:ptCount val="1"/>
              </c:numCache>
            </c:numRef>
          </c:val>
        </c:ser>
        <c:ser>
          <c:idx val="2"/>
          <c:order val="2"/>
          <c:tx>
            <c:strRef>
              <c:f>'YOY Charts'!$AM$2</c:f>
              <c:strCache>
                <c:ptCount val="1"/>
                <c:pt idx="0">
                  <c:v>Early </c:v>
                </c:pt>
              </c:strCache>
            </c:strRef>
          </c:tx>
          <c:spPr>
            <a:solidFill>
              <a:schemeClr val="accent3"/>
            </a:solidFill>
            <a:ln>
              <a:noFill/>
            </a:ln>
            <a:effectLst/>
            <a:scene3d>
              <a:camera prst="orthographicFront"/>
              <a:lightRig rig="threePt" dir="t"/>
            </a:scene3d>
            <a:sp3d>
              <a:bevelT/>
            </a:sp3d>
          </c:spPr>
          <c:invertIfNegative val="0"/>
          <c:cat>
            <c:strRef>
              <c:f>'YOY Charts'!$AJ$3</c:f>
              <c:strCache>
                <c:ptCount val="1"/>
                <c:pt idx="0">
                  <c:v>Grand Total</c:v>
                </c:pt>
              </c:strCache>
            </c:strRef>
          </c:cat>
          <c:val>
            <c:numRef>
              <c:f>'YOY Charts'!$AM$3</c:f>
              <c:numCache>
                <c:formatCode>#,##0</c:formatCode>
                <c:ptCount val="1"/>
              </c:numCache>
            </c:numRef>
          </c:val>
        </c:ser>
        <c:dLbls>
          <c:showLegendKey val="0"/>
          <c:showVal val="0"/>
          <c:showCatName val="0"/>
          <c:showSerName val="0"/>
          <c:showPercent val="0"/>
          <c:showBubbleSize val="0"/>
        </c:dLbls>
        <c:gapWidth val="150"/>
        <c:overlap val="100"/>
        <c:axId val="560563832"/>
        <c:axId val="560567360"/>
      </c:barChart>
      <c:lineChart>
        <c:grouping val="standard"/>
        <c:varyColors val="0"/>
        <c:ser>
          <c:idx val="3"/>
          <c:order val="3"/>
          <c:tx>
            <c:strRef>
              <c:f>'YOY Charts'!$AN$2</c:f>
              <c:strCache>
                <c:ptCount val="1"/>
                <c:pt idx="0">
                  <c:v>% On-Time</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'YOY Charts'!$AJ$3</c:f>
              <c:strCache>
                <c:ptCount val="1"/>
                <c:pt idx="0">
                  <c:v>Grand Total</c:v>
                </c:pt>
              </c:strCache>
            </c:strRef>
          </c:cat>
          <c:val>
            <c:numRef>
              <c:f>'YOY Charts'!$AN$3</c:f>
              <c:numCache>
                <c:formatCode>0.00</c:formatCode>
                <c:ptCount val="1"/>
              </c:numCache>
            </c:numRef>
          </c:val>
          <c:smooth val="0"/>
        </c:ser>
        <c:dLbls>
          <c:showLegendKey val="0"/>
          <c:showVal val="0"/>
          <c:showCatName val="0"/>
          <c:showSerName val="0"/>
          <c:showPercent val="0"/>
          <c:showBubbleSize val="0"/>
        </c:dLbls>
        <c:marker val="1"/>
        <c:smooth val="0"/>
        <c:axId val="560574416"/>
        <c:axId val="560564224"/>
      </c:lineChart>
      <c:catAx>
        <c:axId val="56056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7360"/>
        <c:crosses val="autoZero"/>
        <c:auto val="1"/>
        <c:lblAlgn val="ctr"/>
        <c:lblOffset val="100"/>
        <c:noMultiLvlLbl val="0"/>
      </c:catAx>
      <c:valAx>
        <c:axId val="560567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 </a:t>
                </a:r>
                <a:r>
                  <a:rPr lang="en-CA">
                    <a:solidFill>
                      <a:sysClr val="windowText" lastClr="000000"/>
                    </a:solidFill>
                  </a:rPr>
                  <a:t>Lines Shipped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3832"/>
        <c:crosses val="autoZero"/>
        <c:crossBetween val="between"/>
      </c:valAx>
      <c:valAx>
        <c:axId val="56056422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 On-Time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4416"/>
        <c:crosses val="max"/>
        <c:crossBetween val="between"/>
      </c:valAx>
      <c:catAx>
        <c:axId val="560574416"/>
        <c:scaling>
          <c:orientation val="minMax"/>
        </c:scaling>
        <c:delete val="1"/>
        <c:axPos val="b"/>
        <c:numFmt formatCode="General" sourceLinked="1"/>
        <c:majorTickMark val="out"/>
        <c:minorTickMark val="none"/>
        <c:tickLblPos val="nextTo"/>
        <c:crossAx val="5605642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REVENUE PER LABOR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'YOY Charts'!$AS$4</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'YOY Charts'!$AR$5:$AR$7</c:f>
              <c:strCache>
                <c:ptCount val="2"/>
                <c:pt idx="0">
                  <c:v>2015</c:v>
                </c:pt>
                <c:pt idx="1">
                  <c:v>2016</c:v>
                </c:pt>
              </c:strCache>
            </c:strRef>
          </c:cat>
          <c:val>
            <c:numRef>
              <c:f>'YOY Charts'!$AS$5:$AS$7</c:f>
              <c:numCache>
                <c:formatCode>"$"#,##0</c:formatCode>
                <c:ptCount val="2"/>
                <c:pt idx="0">
                  <c:v>0</c:v>
                </c:pt>
                <c:pt idx="1">
                  <c:v>73530.444168725575</c:v>
                </c:pt>
              </c:numCache>
            </c:numRef>
          </c:val>
        </c:ser>
        <c:dLbls>
          <c:dLblPos val="outEnd"/>
          <c:showLegendKey val="0"/>
          <c:showVal val="1"/>
          <c:showCatName val="0"/>
          <c:showSerName val="0"/>
          <c:showPercent val="0"/>
          <c:showBubbleSize val="0"/>
        </c:dLbls>
        <c:gapWidth val="219"/>
        <c:overlap val="-27"/>
        <c:axId val="560574808"/>
        <c:axId val="560564616"/>
      </c:barChart>
      <c:catAx>
        <c:axId val="560574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4616"/>
        <c:crosses val="autoZero"/>
        <c:auto val="1"/>
        <c:lblAlgn val="ctr"/>
        <c:lblOffset val="100"/>
        <c:noMultiLvlLbl val="0"/>
      </c:catAx>
      <c:valAx>
        <c:axId val="5605646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4808"/>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[KPI-CCC.xlsm]YOY Charts!PivotTable27</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WC Utilization</a:t>
            </a:r>
            <a:r>
              <a:rPr lang="en-CA" sz="1600" b="1" baseline="0">
                <a:solidFill>
                  <a:sysClr val="windowText" lastClr="000000"/>
                </a:solidFill>
              </a:rPr>
              <a:t> %</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w="28575" cap="rnd">
            <a:solidFill>
              <a:schemeClr val="accent6"/>
            </a:solidFill>
            <a:round/>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w="28575" cap="rnd">
            <a:solidFill>
              <a:schemeClr val="accent6"/>
            </a:solidFill>
            <a:round/>
          </a:ln>
          <a:effectLst/>
        </c:spPr>
        <c:marker>
          <c:symbol val="none"/>
        </c:marker>
      </c:pivotFmt>
      <c:pivotFmt>
        <c:idx val="6"/>
        <c:spPr>
          <a:solidFill>
            <a:schemeClr val="accent6"/>
          </a:solidFill>
          <a:ln>
            <a:noFill/>
          </a:ln>
          <a:effectLst/>
          <a:scene3d>
            <a:camera prst="orthographicFront"/>
            <a:lightRig rig="threePt" dir="t"/>
          </a:scene3d>
          <a:sp3d>
            <a:bevelT/>
          </a:sp3d>
        </c:spPr>
        <c:marker>
          <c:symbol val="none"/>
        </c:marker>
      </c:pivotFmt>
      <c:pivotFmt>
        <c:idx val="7"/>
        <c:spPr>
          <a:solidFill>
            <a:schemeClr val="accent6"/>
          </a:solidFill>
          <a:ln>
            <a:noFill/>
          </a:ln>
          <a:effectLst/>
          <a:scene3d>
            <a:camera prst="orthographicFront"/>
            <a:lightRig rig="threePt" dir="t"/>
          </a:scene3d>
          <a:sp3d>
            <a:bevelT/>
          </a:sp3d>
        </c:spPr>
        <c:marker>
          <c:symbol val="none"/>
        </c:marker>
      </c:pivotFmt>
      <c:pivotFmt>
        <c:idx val="8"/>
        <c:spPr>
          <a:solidFill>
            <a:schemeClr val="accent6"/>
          </a:solidFill>
          <a:ln w="28575" cap="rnd">
            <a:solidFill>
              <a:schemeClr val="accent6"/>
            </a:solidFill>
            <a:round/>
          </a:ln>
          <a:effectLst/>
        </c:spPr>
        <c:marker>
          <c:symbol val="none"/>
        </c:marker>
      </c:pivotFmt>
    </c:pivotFmts>
    <c:plotArea>
      <c:layout/>
      <c:barChart>
        <c:barDir val="col"/>
        <c:grouping val="clustered"/>
        <c:varyColors val="0"/>
        <c:ser>
          <c:idx val="0"/>
          <c:order val="0"/>
          <c:tx>
            <c:strRef>
              <c:f>'YOY Charts'!$AY$5</c:f>
              <c:strCache>
                <c:ptCount val="1"/>
                <c:pt idx="0">
                  <c:v>Hours Worked</c:v>
                </c:pt>
              </c:strCache>
            </c:strRef>
          </c:tx>
          <c:spPr>
            <a:solidFill>
              <a:schemeClr val="accent6"/>
            </a:solidFill>
            <a:ln>
              <a:noFill/>
            </a:ln>
            <a:effectLst/>
            <a:scene3d>
              <a:camera prst="orthographicFront"/>
              <a:lightRig rig="threePt" dir="t"/>
            </a:scene3d>
            <a:sp3d>
              <a:bevelT/>
            </a:sp3d>
          </c:spPr>
          <c:invertIfNegative val="0"/>
          <c:cat>
            <c:strRef>
              <c:f>'YOY Charts'!$AX$6:$AX$8</c:f>
              <c:strCache>
                <c:ptCount val="2"/>
                <c:pt idx="0">
                  <c:v>2015</c:v>
                </c:pt>
                <c:pt idx="1">
                  <c:v>2016</c:v>
                </c:pt>
              </c:strCache>
            </c:strRef>
          </c:cat>
          <c:val>
            <c:numRef>
              <c:f>'YOY Charts'!$AY$6:$AY$8</c:f>
              <c:numCache>
                <c:formatCode>#,##0</c:formatCode>
                <c:ptCount val="2"/>
                <c:pt idx="0">
                  <c:v>37286.720000000045</c:v>
                </c:pt>
                <c:pt idx="1">
                  <c:v>2903.6299999999992</c:v>
                </c:pt>
              </c:numCache>
            </c:numRef>
          </c:val>
        </c:ser>
        <c:ser>
          <c:idx val="1"/>
          <c:order val="1"/>
          <c:tx>
            <c:strRef>
              <c:f>'YOY Charts'!$AZ$5</c:f>
              <c:strCache>
                <c:ptCount val="1"/>
                <c:pt idx="0">
                  <c:v>Hours Available</c:v>
                </c:pt>
              </c:strCache>
            </c:strRef>
          </c:tx>
          <c:spPr>
            <a:solidFill>
              <a:schemeClr val="accent5"/>
            </a:solidFill>
            <a:ln>
              <a:noFill/>
            </a:ln>
            <a:effectLst/>
            <a:scene3d>
              <a:camera prst="orthographicFront"/>
              <a:lightRig rig="threePt" dir="t"/>
            </a:scene3d>
            <a:sp3d>
              <a:bevelT/>
            </a:sp3d>
          </c:spPr>
          <c:invertIfNegative val="0"/>
          <c:cat>
            <c:strRef>
              <c:f>'YOY Charts'!$AX$6:$AX$8</c:f>
              <c:strCache>
                <c:ptCount val="2"/>
                <c:pt idx="0">
                  <c:v>2015</c:v>
                </c:pt>
                <c:pt idx="1">
                  <c:v>2016</c:v>
                </c:pt>
              </c:strCache>
            </c:strRef>
          </c:cat>
          <c:val>
            <c:numRef>
              <c:f>'YOY Charts'!$AZ$6:$AZ$8</c:f>
              <c:numCache>
                <c:formatCode>#,##0</c:formatCode>
                <c:ptCount val="2"/>
                <c:pt idx="0">
                  <c:v>50372</c:v>
                </c:pt>
                <c:pt idx="1">
                  <c:v>1874.5</c:v>
                </c:pt>
              </c:numCache>
            </c:numRef>
          </c:val>
        </c:ser>
        <c:dLbls>
          <c:showLegendKey val="0"/>
          <c:showVal val="0"/>
          <c:showCatName val="0"/>
          <c:showSerName val="0"/>
          <c:showPercent val="0"/>
          <c:showBubbleSize val="0"/>
        </c:dLbls>
        <c:gapWidth val="219"/>
        <c:overlap val="-27"/>
        <c:axId val="560568536"/>
        <c:axId val="560565008"/>
      </c:barChart>
      <c:catAx>
        <c:axId val="560568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5008"/>
        <c:crosses val="autoZero"/>
        <c:auto val="1"/>
        <c:lblAlgn val="ctr"/>
        <c:lblOffset val="100"/>
        <c:noMultiLvlLbl val="0"/>
      </c:catAx>
      <c:valAx>
        <c:axId val="560565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6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CA" sz="1600" b="1" i="0" u="none" strike="noStrike" kern="1200" spc="0" baseline="0">
                <a:solidFill>
                  <a:srgbClr val="4472C4">
                    <a:lumMod val="75000"/>
                  </a:srgbClr>
                </a:solidFill>
                <a:latin typeface="+mn-lt"/>
                <a:ea typeface="+mn-ea"/>
                <a:cs typeface="+mn-cs"/>
              </a:defRPr>
            </a:pPr>
            <a:r>
              <a:rPr lang="en-CA" sz="1600" b="1" i="0" u="none" strike="noStrike" kern="1200" spc="0" baseline="0">
                <a:solidFill>
                  <a:sysClr val="windowText" lastClr="000000"/>
                </a:solidFill>
                <a:latin typeface="+mn-lt"/>
                <a:ea typeface="+mn-ea"/>
                <a:cs typeface="+mn-cs"/>
              </a:rPr>
              <a:t>CASH BALANCE</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rgbClr val="4472C4">
                  <a:lumMod val="75000"/>
                </a:srgb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'Ratio Data'!$BS$6:$BS$10</c:f>
              <c:strCache>
                <c:ptCount val="5"/>
                <c:pt idx="0">
                  <c:v>Cash Balance</c:v>
                </c:pt>
                <c:pt idx="1">
                  <c:v>Cash</c:v>
                </c:pt>
                <c:pt idx="2">
                  <c:v>AR</c:v>
                </c:pt>
                <c:pt idx="3">
                  <c:v>AP</c:v>
                </c:pt>
                <c:pt idx="4">
                  <c:v>Total </c:v>
                </c:pt>
              </c:strCache>
            </c:strRef>
          </c:cat>
          <c:val>
            <c:numRef>
              <c:f>'Ratio Data'!$BT$6:$BT$10</c:f>
              <c:numCache>
                <c:formatCode>_-"$"* #,##0_-;\-"$"* #,##0_-;_-"$"* "-"??_-;_-@_-</c:formatCode>
                <c:ptCount val="5"/>
                <c:pt idx="0" formatCode="General">
                  <c:v>2015</c:v>
                </c:pt>
                <c:pt idx="1">
                  <c:v>431802.80000000005</c:v>
                </c:pt>
                <c:pt idx="2">
                  <c:v>215387.65</c:v>
                </c:pt>
                <c:pt idx="3">
                  <c:v>-96261.099999999948</c:v>
                </c:pt>
                <c:pt idx="4">
                  <c:v>743451.55</c:v>
                </c:pt>
              </c:numCache>
            </c:numRef>
          </c:val>
        </c:ser>
        <c:dLbls>
          <c:dLblPos val="outEnd"/>
          <c:showLegendKey val="0"/>
          <c:showVal val="1"/>
          <c:showCatName val="0"/>
          <c:showSerName val="0"/>
          <c:showPercent val="0"/>
          <c:showBubbleSize val="0"/>
        </c:dLbls>
        <c:gapWidth val="219"/>
        <c:axId val="560568928"/>
        <c:axId val="560570888"/>
      </c:barChart>
      <c:catAx>
        <c:axId val="560568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0888"/>
        <c:crosses val="autoZero"/>
        <c:auto val="1"/>
        <c:lblAlgn val="ctr"/>
        <c:lblOffset val="100"/>
        <c:noMultiLvlLbl val="0"/>
      </c:catAx>
      <c:valAx>
        <c:axId val="56057088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60568928"/>
        <c:crosses val="autoZero"/>
        <c:crossBetween val="between"/>
      </c:valAx>
      <c:spPr>
        <a:noFill/>
        <a:ln>
          <a:noFill/>
        </a:ln>
        <a:effectLst/>
      </c:spPr>
    </c:plotArea>
    <c:plotVisOnly val="1"/>
    <c:dispBlanksAs val="gap"/>
    <c:showDLblsOverMax val="0"/>
  </c:chart>
  <c:spPr>
    <a:gradFill>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CA" sz="1600" b="1" i="0" u="none" strike="noStrike" kern="1200" cap="all" spc="0" baseline="0">
                <a:solidFill>
                  <a:srgbClr val="4472C4">
                    <a:lumMod val="75000"/>
                  </a:srgbClr>
                </a:solidFill>
                <a:latin typeface="+mn-lt"/>
                <a:ea typeface="+mn-ea"/>
                <a:cs typeface="+mn-cs"/>
              </a:defRPr>
            </a:pPr>
            <a:r>
              <a:rPr lang="en-CA" sz="1600" b="1" i="0" u="none" strike="noStrike" kern="1200" spc="0" baseline="0">
                <a:solidFill>
                  <a:sysClr val="windowText" lastClr="000000"/>
                </a:solidFill>
                <a:latin typeface="+mn-lt"/>
                <a:ea typeface="+mn-ea"/>
                <a:cs typeface="+mn-cs"/>
              </a:rPr>
              <a:t>Inventory</a:t>
            </a:r>
          </a:p>
        </c:rich>
      </c:tx>
      <c:overlay val="0"/>
      <c:spPr>
        <a:noFill/>
        <a:ln>
          <a:noFill/>
        </a:ln>
        <a:effectLst/>
      </c:spPr>
      <c:txPr>
        <a:bodyPr rot="0" spcFirstLastPara="1" vertOverflow="ellipsis" vert="horz" wrap="square" anchor="ctr" anchorCtr="1"/>
        <a:lstStyle/>
        <a:p>
          <a:pPr algn="ctr" rtl="0">
            <a:defRPr lang="en-CA" sz="1600" b="1" i="0" u="none" strike="noStrike" kern="1200" cap="all" spc="0" baseline="0">
              <a:solidFill>
                <a:srgbClr val="4472C4">
                  <a:lumMod val="75000"/>
                </a:srgbClr>
              </a:solidFill>
              <a:latin typeface="+mn-lt"/>
              <a:ea typeface="+mn-ea"/>
              <a:cs typeface="+mn-cs"/>
            </a:defRPr>
          </a:pPr>
          <a:endParaRPr lang="en-US"/>
        </a:p>
      </c:txPr>
    </c:title>
    <c:autoTitleDeleted val="0"/>
    <c:plotArea>
      <c:layout/>
      <c:pieChart>
        <c:varyColors val="1"/>
        <c:ser>
          <c:idx val="0"/>
          <c:order val="0"/>
          <c:spPr>
            <a:scene3d>
              <a:camera prst="orthographicFront"/>
              <a:lightRig rig="brightRoom" dir="t"/>
            </a:scene3d>
            <a:sp3d prstMaterial="flat">
              <a:bevelT w="50800" h="101600"/>
              <a:contourClr>
                <a:srgbClr val="000000"/>
              </a:contourClr>
            </a:sp3d>
          </c:spPr>
          <c:dPt>
            <c:idx val="0"/>
            <c:bubble3D val="0"/>
            <c:spPr>
              <a:solidFill>
                <a:schemeClr val="accent1"/>
              </a:solidFill>
              <a:ln>
                <a:noFill/>
              </a:ln>
              <a:effectLst/>
              <a:scene3d>
                <a:camera prst="orthographicFront"/>
                <a:lightRig rig="brightRoom" dir="t"/>
              </a:scene3d>
              <a:sp3d prstMaterial="flat">
                <a:bevelT w="50800" h="101600"/>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a:contourClr>
                  <a:srgbClr val="000000"/>
                </a:contourClr>
              </a:sp3d>
            </c:spPr>
          </c:dPt>
          <c:dPt>
            <c:idx val="2"/>
            <c:bubble3D val="0"/>
            <c:spPr>
              <a:solidFill>
                <a:srgbClr val="FFC000"/>
              </a:solidFill>
              <a:ln>
                <a:noFill/>
              </a:ln>
              <a:effectLst/>
              <a:scene3d>
                <a:camera prst="orthographicFront"/>
                <a:lightRig rig="brightRoom" dir="t"/>
              </a:scene3d>
              <a:sp3d prstMaterial="flat">
                <a:bevelT w="50800" h="101600"/>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'Ratio Data'!$BV$7:$BV$9</c:f>
              <c:strCache>
                <c:ptCount val="3"/>
                <c:pt idx="0">
                  <c:v>FG</c:v>
                </c:pt>
                <c:pt idx="1">
                  <c:v>WIP</c:v>
                </c:pt>
                <c:pt idx="2">
                  <c:v>RM</c:v>
                </c:pt>
              </c:strCache>
            </c:strRef>
          </c:cat>
          <c:val>
            <c:numRef>
              <c:f>'Ratio Data'!$BW$7:$BW$9</c:f>
              <c:numCache>
                <c:formatCode>_-"$"* #,##0_-;\-"$"* #,##0_-;_-"$"* "-"??_-;_-@_-</c:formatCode>
                <c:ptCount val="3"/>
                <c:pt idx="0">
                  <c:v>-3436016.2399999998</c:v>
                </c:pt>
                <c:pt idx="1">
                  <c:v>0</c:v>
                </c:pt>
                <c:pt idx="2">
                  <c:v>-204485.03</c:v>
                </c:pt>
              </c:numCache>
            </c:numRef>
          </c:val>
        </c:ser>
        <c:dLbls>
          <c:showLegendKey val="0"/>
          <c:showVal val="1"/>
          <c:showCatName val="1"/>
          <c:showSerName val="0"/>
          <c:showPercent val="0"/>
          <c:showBubbleSize val="0"/>
          <c:showLeaderLines val="1"/>
        </c:dLbls>
        <c:firstSliceAng val="0"/>
      </c:pieChart>
      <c:spPr>
        <a:noFill/>
        <a:ln>
          <a:noFill/>
        </a:ln>
        <a:effectLst/>
      </c:spPr>
    </c:plotArea>
    <c:plotVisOnly val="1"/>
    <c:dispBlanksAs val="gap"/>
    <c:showDLblsOverMax val="0"/>
  </c:chart>
  <c:spPr>
    <a:gradFill>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[KPI-CCC.xlsm]GL Data!PivotTable1</c:name>
    <c:fmtId val="16"/>
  </c:pivotSource>
  <c:chart>
    <c:title>
      <c:tx>
        <c:rich>
          <a:bodyPr rot="0" spcFirstLastPara="1" vertOverflow="ellipsis" vert="horz" wrap="square" anchor="ctr" anchorCtr="1"/>
          <a:lstStyle/>
          <a:p>
            <a:pPr algn="ctr" rtl="0">
              <a:defRPr lang="en-CA" sz="1600" b="1" i="0" u="none" strike="noStrike" kern="1200" spc="0" baseline="0">
                <a:solidFill>
                  <a:schemeClr val="accent5">
                    <a:lumMod val="75000"/>
                  </a:schemeClr>
                </a:solidFill>
                <a:latin typeface="+mn-lt"/>
                <a:ea typeface="+mn-ea"/>
                <a:cs typeface="+mn-cs"/>
              </a:defRPr>
            </a:pPr>
            <a:r>
              <a:rPr lang="en-CA" sz="1600" b="1" i="0" u="none" strike="noStrike" kern="1200" spc="0" baseline="0">
                <a:solidFill>
                  <a:sysClr val="windowText" lastClr="000000"/>
                </a:solidFill>
                <a:latin typeface="+mn-lt"/>
                <a:ea typeface="+mn-ea"/>
                <a:cs typeface="+mn-cs"/>
              </a:rPr>
              <a:t>EBITDA &amp; OH % of Sales</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chemeClr val="accent5">
                  <a:lumMod val="7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pivotFmt>
      <c:pivotFmt>
        <c:idx val="6"/>
        <c:spPr>
          <a:solidFill>
            <a:schemeClr val="accent6"/>
          </a:solidFill>
          <a:ln>
            <a:noFill/>
          </a:ln>
          <a:effectLst/>
        </c:spPr>
        <c:marker>
          <c:symbol val="none"/>
        </c:marker>
      </c:pivotFmt>
      <c:pivotFmt>
        <c:idx val="7"/>
        <c:spPr>
          <a:solidFill>
            <a:schemeClr val="accent6"/>
          </a:solidFill>
          <a:ln>
            <a:noFill/>
          </a:ln>
          <a:effectLst/>
        </c:spPr>
        <c:marker>
          <c:symbol val="none"/>
        </c:marker>
      </c:pivotFmt>
      <c:pivotFmt>
        <c:idx val="8"/>
        <c:spPr>
          <a:solidFill>
            <a:schemeClr val="accent6"/>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a:scene3d>
            <a:camera prst="orthographicFront"/>
            <a:lightRig rig="threePt" dir="t"/>
          </a:scene3d>
          <a:sp3d>
            <a:bevelT/>
          </a:sp3d>
        </c:spPr>
        <c:marker>
          <c:symbol val="none"/>
        </c:marker>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a:scene3d>
            <a:camera prst="orthographicFront"/>
            <a:lightRig rig="threePt" dir="t"/>
          </a:scene3d>
          <a:sp3d>
            <a:bevelT/>
          </a:sp3d>
        </c:spPr>
        <c:marker>
          <c:symbol val="none"/>
        </c:marker>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a:scene3d>
            <a:camera prst="orthographicFront"/>
            <a:lightRig rig="threePt" dir="t"/>
          </a:scene3d>
          <a:sp3d>
            <a:bevelT/>
          </a:sp3d>
        </c:spPr>
        <c:marker>
          <c:symbol val="none"/>
        </c:marker>
      </c:pivotFmt>
      <c:pivotFmt>
        <c:idx val="1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'GL Data'!$AE$1</c:f>
              <c:strCache>
                <c:ptCount val="1"/>
                <c:pt idx="0">
                  <c:v>OH </c:v>
                </c:pt>
              </c:strCache>
            </c:strRef>
          </c:tx>
          <c:spPr>
            <a:solidFill>
              <a:schemeClr val="accent6"/>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Data'!$AE$2:$AE$10</c:f>
              <c:numCache>
                <c:formatCode>"$"#,##0</c:formatCode>
                <c:ptCount val="6"/>
                <c:pt idx="0">
                  <c:v>0</c:v>
                </c:pt>
                <c:pt idx="1">
                  <c:v>0</c:v>
                </c:pt>
                <c:pt idx="2">
                  <c:v>0</c:v>
                </c:pt>
                <c:pt idx="3">
                  <c:v>0</c:v>
                </c:pt>
                <c:pt idx="4">
                  <c:v>0</c:v>
                </c:pt>
                <c:pt idx="5">
                  <c:v>0</c:v>
                </c:pt>
              </c:numCache>
            </c:numRef>
          </c:val>
        </c:ser>
        <c:ser>
          <c:idx val="1"/>
          <c:order val="1"/>
          <c:tx>
            <c:strRef>
              <c:f>'GL Data'!$AF$1</c:f>
              <c:strCache>
                <c:ptCount val="1"/>
                <c:pt idx="0">
                  <c:v>EBITDA </c:v>
                </c:pt>
              </c:strCache>
            </c:strRef>
          </c:tx>
          <c:spPr>
            <a:solidFill>
              <a:schemeClr val="accent5"/>
            </a:solidFill>
            <a:ln>
              <a:noFill/>
            </a:ln>
            <a:effectLst/>
            <a:scene3d>
              <a:camera prst="orthographicFront"/>
              <a:lightRig rig="threePt" dir="t"/>
            </a:scene3d>
            <a:sp3d>
              <a:bevelT/>
            </a:sp3d>
          </c:spPr>
          <c:invertIfNegative val="0"/>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Data'!$AF$2:$AF$10</c:f>
              <c:numCache>
                <c:formatCode>"$"#,##0</c:formatCode>
                <c:ptCount val="6"/>
                <c:pt idx="0">
                  <c:v>-10133</c:v>
                </c:pt>
                <c:pt idx="1">
                  <c:v>-95872.699999999953</c:v>
                </c:pt>
                <c:pt idx="2">
                  <c:v>-617221.18999999994</c:v>
                </c:pt>
                <c:pt idx="3">
                  <c:v>-449959.72</c:v>
                </c:pt>
                <c:pt idx="4">
                  <c:v>-452568.08999999997</c:v>
                </c:pt>
                <c:pt idx="5">
                  <c:v>-428313.22</c:v>
                </c:pt>
              </c:numCache>
            </c:numRef>
          </c:val>
        </c:ser>
        <c:dLbls>
          <c:showLegendKey val="0"/>
          <c:showVal val="0"/>
          <c:showCatName val="0"/>
          <c:showSerName val="0"/>
          <c:showPercent val="0"/>
          <c:showBubbleSize val="0"/>
        </c:dLbls>
        <c:gapWidth val="219"/>
        <c:overlap val="-27"/>
        <c:axId val="560582648"/>
        <c:axId val="560578728"/>
      </c:barChart>
      <c:lineChart>
        <c:grouping val="standard"/>
        <c:varyColors val="0"/>
        <c:ser>
          <c:idx val="2"/>
          <c:order val="2"/>
          <c:tx>
            <c:strRef>
              <c:f>'GL Data'!$AG$1</c:f>
              <c:strCache>
                <c:ptCount val="1"/>
                <c:pt idx="0">
                  <c:v>EBITDA % of Sales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Data'!$AG$2:$AG$10</c:f>
              <c:numCache>
                <c:formatCode>0.00%</c:formatCode>
                <c:ptCount val="6"/>
                <c:pt idx="0">
                  <c:v>-6.0578705087582945</c:v>
                </c:pt>
                <c:pt idx="1">
                  <c:v>8.5884143126090606E-2</c:v>
                </c:pt>
                <c:pt idx="2">
                  <c:v>0.73586490146383565</c:v>
                </c:pt>
                <c:pt idx="3">
                  <c:v>0.47030334490553849</c:v>
                </c:pt>
                <c:pt idx="4">
                  <c:v>0.70259235114533114</c:v>
                </c:pt>
                <c:pt idx="5">
                  <c:v>0.40645299128590923</c:v>
                </c:pt>
              </c:numCache>
            </c:numRef>
          </c:val>
          <c:smooth val="0"/>
        </c:ser>
        <c:ser>
          <c:idx val="3"/>
          <c:order val="3"/>
          <c:tx>
            <c:strRef>
              <c:f>'GL Data'!$AH$1</c:f>
              <c:strCache>
                <c:ptCount val="1"/>
                <c:pt idx="0">
                  <c:v>OH % of Sales </c:v>
                </c:pt>
              </c:strCache>
            </c:strRef>
          </c:tx>
          <c:spPr>
            <a:ln w="28575" cap="rnd">
              <a:solidFill>
                <a:schemeClr val="accent6">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Data'!$AH$2:$AH$10</c:f>
              <c:numCache>
                <c:formatCode>0.00%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560581864"/>
        <c:axId val="560583040"/>
      </c:lineChart>
      <c:catAx>
        <c:axId val="560582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8728"/>
        <c:crosses val="autoZero"/>
        <c:auto val="1"/>
        <c:lblAlgn val="ctr"/>
        <c:lblOffset val="100"/>
        <c:noMultiLvlLbl val="0"/>
      </c:catAx>
      <c:valAx>
        <c:axId val="560578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264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valAx>
        <c:axId val="56058304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of 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1864"/>
        <c:crosses val="max"/>
        <c:crossBetween val="between"/>
      </c:valAx>
      <c:catAx>
        <c:axId val="560581864"/>
        <c:scaling>
          <c:orientation val="minMax"/>
        </c:scaling>
        <c:delete val="1"/>
        <c:axPos val="b"/>
        <c:numFmt formatCode="General" sourceLinked="1"/>
        <c:majorTickMark val="out"/>
        <c:minorTickMark val="none"/>
        <c:tickLblPos val="nextTo"/>
        <c:crossAx val="5605830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[KPI-CCC.xlsm]Open Orders PVT!PivotTable1</c:name>
    <c:fmtId val="3"/>
  </c:pivotSource>
  <c:chart>
    <c:title>
      <c:tx>
        <c:rich>
          <a:bodyPr rot="0" spcFirstLastPara="1" vertOverflow="ellipsis" vert="horz" wrap="square" anchor="ctr" anchorCtr="1"/>
          <a:lstStyle/>
          <a:p>
            <a:pPr algn="ctr" rtl="0">
              <a:defRPr lang="en-US" sz="1600" b="1" i="0" u="none" strike="noStrike" kern="1200" cap="all" spc="0" baseline="0">
                <a:solidFill>
                  <a:sysClr val="windowText" lastClr="000000"/>
                </a:solidFill>
                <a:latin typeface="+mn-lt"/>
                <a:ea typeface="+mn-ea"/>
                <a:cs typeface="+mn-cs"/>
              </a:defRPr>
            </a:pPr>
            <a:r>
              <a:rPr lang="en-US" sz="1600" b="1" i="0" u="none" strike="noStrike" kern="1200" cap="all" spc="0" baseline="0">
                <a:solidFill>
                  <a:sysClr val="windowText" lastClr="000000"/>
                </a:solidFill>
                <a:latin typeface="+mn-lt"/>
                <a:ea typeface="+mn-ea"/>
                <a:cs typeface="+mn-cs"/>
              </a:rPr>
              <a:t>TOTAL OPEN ORDERS  BY CUSTOMER</a:t>
            </a:r>
          </a:p>
        </c:rich>
      </c:tx>
      <c:layout>
        <c:manualLayout>
          <c:xMode val="edge"/>
          <c:yMode val="edge"/>
          <c:x val="0.39312008949700961"/>
          <c:y val="1.9047619047619049E-2"/>
        </c:manualLayout>
      </c:layout>
      <c:overlay val="0"/>
      <c:spPr>
        <a:noFill/>
        <a:ln>
          <a:noFill/>
        </a:ln>
        <a:effectLst/>
      </c:spPr>
      <c:txPr>
        <a:bodyPr rot="0" spcFirstLastPara="1" vertOverflow="ellipsis" vert="horz" wrap="square" anchor="ctr" anchorCtr="1"/>
        <a:lstStyle/>
        <a:p>
          <a:pPr algn="ctr" rtl="0">
            <a:defRPr lang="en-US" sz="1600" b="1" i="0" u="none" strike="noStrike" kern="1200" cap="all"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'Open Orders PVT'!$C$3</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'Open Orders PVT'!$B$4:$B$29</c:f>
              <c:strCache>
                <c:ptCount val="25"/>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GIANT STARSHIP</c:v>
                </c:pt>
                <c:pt idx="10">
                  <c:v>HOTH BASE</c:v>
                </c:pt>
                <c:pt idx="11">
                  <c:v>HOTH REBEL BASE</c:v>
                </c:pt>
                <c:pt idx="12">
                  <c:v>JAKKU COMPANY</c:v>
                </c:pt>
                <c:pt idx="13">
                  <c:v>KAMINO CENTER</c:v>
                </c:pt>
                <c:pt idx="14">
                  <c:v>KASHYYK SHOPPING CENTRE</c:v>
                </c:pt>
                <c:pt idx="15">
                  <c:v>LOTHAL REBEL BASE</c:v>
                </c:pt>
                <c:pt idx="16">
                  <c:v>MUSTAFAAR SYSTEMS</c:v>
                </c:pt>
                <c:pt idx="17">
                  <c:v>MYGEETO BUILDERS</c:v>
                </c:pt>
                <c:pt idx="18">
                  <c:v>NABOO BASE</c:v>
                </c:pt>
                <c:pt idx="19">
                  <c:v>NEUTRAL MAKERS</c:v>
                </c:pt>
                <c:pt idx="20">
                  <c:v>NEW RYLOTH</c:v>
                </c:pt>
                <c:pt idx="21">
                  <c:v>REBELS RULE!</c:v>
                </c:pt>
                <c:pt idx="22">
                  <c:v>TATOOINE BASE 4</c:v>
                </c:pt>
                <c:pt idx="23">
                  <c:v>UTAPAU BASE</c:v>
                </c:pt>
                <c:pt idx="24">
                  <c:v>(blank)</c:v>
                </c:pt>
              </c:strCache>
            </c:strRef>
          </c:cat>
          <c:val>
            <c:numRef>
              <c:f>'Open Orders PVT'!$C$4:$C$29</c:f>
              <c:numCache>
                <c:formatCode>"$"#,##0</c:formatCode>
                <c:ptCount val="25"/>
                <c:pt idx="0">
                  <c:v>23501.46</c:v>
                </c:pt>
                <c:pt idx="1">
                  <c:v>53245.53</c:v>
                </c:pt>
                <c:pt idx="2">
                  <c:v>14656.34</c:v>
                </c:pt>
                <c:pt idx="3">
                  <c:v>29683.8</c:v>
                </c:pt>
                <c:pt idx="4">
                  <c:v>36355.599999999999</c:v>
                </c:pt>
                <c:pt idx="5">
                  <c:v>96823.45</c:v>
                </c:pt>
                <c:pt idx="6">
                  <c:v>39274.78</c:v>
                </c:pt>
                <c:pt idx="7">
                  <c:v>6515.99</c:v>
                </c:pt>
                <c:pt idx="8">
                  <c:v>45094.82</c:v>
                </c:pt>
                <c:pt idx="9">
                  <c:v>16072.38</c:v>
                </c:pt>
                <c:pt idx="10">
                  <c:v>2600.9899999999998</c:v>
                </c:pt>
                <c:pt idx="11">
                  <c:v>122933.94</c:v>
                </c:pt>
                <c:pt idx="12">
                  <c:v>23652.55</c:v>
                </c:pt>
                <c:pt idx="13">
                  <c:v>17295.64</c:v>
                </c:pt>
                <c:pt idx="14">
                  <c:v>19586.16</c:v>
                </c:pt>
                <c:pt idx="15">
                  <c:v>116802.81</c:v>
                </c:pt>
                <c:pt idx="16">
                  <c:v>5390.19</c:v>
                </c:pt>
                <c:pt idx="17">
                  <c:v>7946.13</c:v>
                </c:pt>
                <c:pt idx="18">
                  <c:v>19135.91</c:v>
                </c:pt>
                <c:pt idx="19">
                  <c:v>120865.14</c:v>
                </c:pt>
                <c:pt idx="20">
                  <c:v>16118.24</c:v>
                </c:pt>
                <c:pt idx="21">
                  <c:v>59657.14</c:v>
                </c:pt>
                <c:pt idx="22">
                  <c:v>40872.519999999997</c:v>
                </c:pt>
                <c:pt idx="23">
                  <c:v>52721.36</c:v>
                </c:pt>
                <c:pt idx="24">
                  <c:v>14319.45</c:v>
                </c:pt>
              </c:numCache>
            </c:numRef>
          </c:val>
        </c:ser>
        <c:dLbls>
          <c:showLegendKey val="0"/>
          <c:showVal val="0"/>
          <c:showCatName val="0"/>
          <c:showSerName val="0"/>
          <c:showPercent val="0"/>
          <c:showBubbleSize val="0"/>
        </c:dLbls>
        <c:gapWidth val="182"/>
        <c:axId val="560585000"/>
        <c:axId val="560585392"/>
      </c:barChart>
      <c:catAx>
        <c:axId val="560585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5392"/>
        <c:crosses val="autoZero"/>
        <c:auto val="1"/>
        <c:lblAlgn val="ctr"/>
        <c:lblOffset val="100"/>
        <c:noMultiLvlLbl val="0"/>
      </c:catAx>
      <c:valAx>
        <c:axId val="56058539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5000"/>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[KPI-CCC.xlsm]Open Orders PVT!PivotTable2</c:name>
    <c:fmtId val="3"/>
  </c:pivotSource>
  <c:chart>
    <c:title>
      <c:tx>
        <c:rich>
          <a:bodyPr rot="0" spcFirstLastPara="1" vertOverflow="ellipsis" vert="horz" wrap="square" anchor="ctr" anchorCtr="1"/>
          <a:lstStyle/>
          <a:p>
            <a:pPr algn="ctr" rtl="0">
              <a:defRPr lang="en-CA" sz="1600" b="1" i="0" u="none" strike="noStrike" kern="1200" cap="all" spc="0" baseline="0">
                <a:solidFill>
                  <a:sysClr val="windowText" lastClr="000000"/>
                </a:solidFill>
                <a:latin typeface="+mn-lt"/>
                <a:ea typeface="+mn-ea"/>
                <a:cs typeface="+mn-cs"/>
              </a:defRPr>
            </a:pPr>
            <a:r>
              <a:rPr lang="en-CA" sz="1600" b="1" i="0" u="none" strike="noStrike" kern="1200" cap="all" spc="0" baseline="0">
                <a:solidFill>
                  <a:sysClr val="windowText" lastClr="000000"/>
                </a:solidFill>
                <a:latin typeface="+mn-lt"/>
                <a:ea typeface="+mn-ea"/>
                <a:cs typeface="+mn-cs"/>
              </a:rPr>
              <a:t>TOTAL OPEN ORDERS DUE BY MONTH (including # of lines)</a:t>
            </a:r>
          </a:p>
        </c:rich>
      </c:tx>
      <c:overlay val="0"/>
      <c:spPr>
        <a:noFill/>
        <a:ln>
          <a:noFill/>
        </a:ln>
        <a:effectLst/>
      </c:spPr>
      <c:txPr>
        <a:bodyPr rot="0" spcFirstLastPara="1" vertOverflow="ellipsis" vert="horz" wrap="square" anchor="ctr" anchorCtr="1"/>
        <a:lstStyle/>
        <a:p>
          <a:pPr algn="ctr" rtl="0">
            <a:defRPr lang="en-CA" sz="1600" b="1" i="0" u="none" strike="noStrike" kern="1200" cap="all"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'Open Orders PVT'!$I$3</c:f>
              <c:strCache>
                <c:ptCount val="1"/>
                <c:pt idx="0">
                  <c:v>Total Open Order $'s</c:v>
                </c:pt>
              </c:strCache>
            </c:strRef>
          </c:tx>
          <c:spPr>
            <a:solidFill>
              <a:schemeClr val="accent1"/>
            </a:solidFill>
            <a:ln>
              <a:noFill/>
            </a:ln>
            <a:effectLst/>
            <a:scene3d>
              <a:camera prst="orthographicFront"/>
              <a:lightRig rig="threePt" dir="t"/>
            </a:scene3d>
            <a:sp3d>
              <a:bevelT/>
            </a:sp3d>
          </c:spPr>
          <c:invertIfNegative val="0"/>
          <c:cat>
            <c:multiLvlStrRef>
              <c:f>'Open Orders PVT'!$H$4:$H$30</c:f>
              <c:multiLvlStrCache>
                <c:ptCount val="12"/>
                <c:lvl>
                  <c:pt idx="0">
                    <c:v>May</c:v>
                  </c:pt>
                  <c:pt idx="1">
                    <c:v>Jun</c:v>
                  </c:pt>
                  <c:pt idx="2">
                    <c:v>Jul</c:v>
                  </c:pt>
                  <c:pt idx="3">
                    <c:v>Aug</c:v>
                  </c:pt>
                  <c:pt idx="4">
                    <c:v>Sep</c:v>
                  </c:pt>
                  <c:pt idx="5">
                    <c:v>Oct</c:v>
                  </c:pt>
                  <c:pt idx="6">
                    <c:v>Nov</c:v>
                  </c:pt>
                  <c:pt idx="7">
                    <c:v>Dec</c:v>
                  </c:pt>
                  <c:pt idx="8">
                    <c:v>Jan</c:v>
                  </c:pt>
                  <c:pt idx="9">
                    <c:v>Feb</c:v>
                  </c:pt>
                  <c:pt idx="10">
                    <c:v>Mar</c:v>
                  </c:pt>
                  <c:pt idx="11">
                    <c:v>May</c:v>
                  </c:pt>
                </c:lvl>
                <c:lvl>
                  <c:pt idx="0">
                    <c:v>10</c:v>
                  </c:pt>
                  <c:pt idx="1">
                    <c:v>11</c:v>
                  </c:pt>
                  <c:pt idx="2">
                    <c:v>12</c:v>
                  </c:pt>
                  <c:pt idx="3">
                    <c:v>1</c:v>
                  </c:pt>
                  <c:pt idx="4">
                    <c:v>2</c:v>
                  </c:pt>
                  <c:pt idx="5">
                    <c:v>3</c:v>
                  </c:pt>
                  <c:pt idx="6">
                    <c:v>4</c:v>
                  </c:pt>
                  <c:pt idx="7">
                    <c:v>5</c:v>
                  </c:pt>
                  <c:pt idx="8">
                    <c:v>6</c:v>
                  </c:pt>
                  <c:pt idx="9">
                    <c:v>7</c:v>
                  </c:pt>
                  <c:pt idx="10">
                    <c:v>8</c:v>
                  </c:pt>
                  <c:pt idx="11">
                    <c:v>10</c:v>
                  </c:pt>
                </c:lvl>
                <c:lvl>
                  <c:pt idx="0">
                    <c:v>2015</c:v>
                  </c:pt>
                  <c:pt idx="3">
                    <c:v>2016</c:v>
                  </c:pt>
                </c:lvl>
              </c:multiLvlStrCache>
            </c:multiLvlStrRef>
          </c:cat>
          <c:val>
            <c:numRef>
              <c:f>'Open Orders PVT'!$I$4:$I$30</c:f>
              <c:numCache>
                <c:formatCode>"$"#,##0</c:formatCode>
                <c:ptCount val="12"/>
                <c:pt idx="0">
                  <c:v>2239.7399999999998</c:v>
                </c:pt>
                <c:pt idx="1">
                  <c:v>677.7</c:v>
                </c:pt>
                <c:pt idx="2">
                  <c:v>49513.47</c:v>
                </c:pt>
                <c:pt idx="3">
                  <c:v>3494.65</c:v>
                </c:pt>
                <c:pt idx="4">
                  <c:v>419068.17</c:v>
                </c:pt>
                <c:pt idx="5">
                  <c:v>261244.39</c:v>
                </c:pt>
                <c:pt idx="6">
                  <c:v>161382.79</c:v>
                </c:pt>
                <c:pt idx="7">
                  <c:v>15684.02</c:v>
                </c:pt>
                <c:pt idx="8">
                  <c:v>33456.199999999997</c:v>
                </c:pt>
                <c:pt idx="9">
                  <c:v>26478.89</c:v>
                </c:pt>
                <c:pt idx="10">
                  <c:v>4540.18</c:v>
                </c:pt>
                <c:pt idx="11">
                  <c:v>23342.12</c:v>
                </c:pt>
              </c:numCache>
            </c:numRef>
          </c:val>
        </c:ser>
        <c:dLbls>
          <c:showLegendKey val="0"/>
          <c:showVal val="0"/>
          <c:showCatName val="0"/>
          <c:showSerName val="0"/>
          <c:showPercent val="0"/>
          <c:showBubbleSize val="0"/>
        </c:dLbls>
        <c:gapWidth val="219"/>
        <c:overlap val="-27"/>
        <c:axId val="560584608"/>
        <c:axId val="560583824"/>
      </c:barChart>
      <c:lineChart>
        <c:grouping val="standard"/>
        <c:varyColors val="0"/>
        <c:ser>
          <c:idx val="1"/>
          <c:order val="1"/>
          <c:tx>
            <c:strRef>
              <c:f>'Open Orders PVT'!$J$3</c:f>
              <c:strCache>
                <c:ptCount val="1"/>
                <c:pt idx="0">
                  <c:v>Total Order Lines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'Open Orders PVT'!$H$4:$H$30</c:f>
              <c:multiLvlStrCache>
                <c:ptCount val="12"/>
                <c:lvl>
                  <c:pt idx="0">
                    <c:v>May</c:v>
                  </c:pt>
                  <c:pt idx="1">
                    <c:v>Jun</c:v>
                  </c:pt>
                  <c:pt idx="2">
                    <c:v>Jul</c:v>
                  </c:pt>
                  <c:pt idx="3">
                    <c:v>Aug</c:v>
                  </c:pt>
                  <c:pt idx="4">
                    <c:v>Sep</c:v>
                  </c:pt>
                  <c:pt idx="5">
                    <c:v>Oct</c:v>
                  </c:pt>
                  <c:pt idx="6">
                    <c:v>Nov</c:v>
                  </c:pt>
                  <c:pt idx="7">
                    <c:v>Dec</c:v>
                  </c:pt>
                  <c:pt idx="8">
                    <c:v>Jan</c:v>
                  </c:pt>
                  <c:pt idx="9">
                    <c:v>Feb</c:v>
                  </c:pt>
                  <c:pt idx="10">
                    <c:v>Mar</c:v>
                  </c:pt>
                  <c:pt idx="11">
                    <c:v>May</c:v>
                  </c:pt>
                </c:lvl>
                <c:lvl>
                  <c:pt idx="0">
                    <c:v>10</c:v>
                  </c:pt>
                  <c:pt idx="1">
                    <c:v>11</c:v>
                  </c:pt>
                  <c:pt idx="2">
                    <c:v>12</c:v>
                  </c:pt>
                  <c:pt idx="3">
                    <c:v>1</c:v>
                  </c:pt>
                  <c:pt idx="4">
                    <c:v>2</c:v>
                  </c:pt>
                  <c:pt idx="5">
                    <c:v>3</c:v>
                  </c:pt>
                  <c:pt idx="6">
                    <c:v>4</c:v>
                  </c:pt>
                  <c:pt idx="7">
                    <c:v>5</c:v>
                  </c:pt>
                  <c:pt idx="8">
                    <c:v>6</c:v>
                  </c:pt>
                  <c:pt idx="9">
                    <c:v>7</c:v>
                  </c:pt>
                  <c:pt idx="10">
                    <c:v>8</c:v>
                  </c:pt>
                  <c:pt idx="11">
                    <c:v>10</c:v>
                  </c:pt>
                </c:lvl>
                <c:lvl>
                  <c:pt idx="0">
                    <c:v>2015</c:v>
                  </c:pt>
                  <c:pt idx="3">
                    <c:v>2016</c:v>
                  </c:pt>
                </c:lvl>
              </c:multiLvlStrCache>
            </c:multiLvlStrRef>
          </c:cat>
          <c:val>
            <c:numRef>
              <c:f>'Open Orders PVT'!$J$4:$J$30</c:f>
              <c:numCache>
                <c:formatCode>General</c:formatCode>
                <c:ptCount val="12"/>
                <c:pt idx="0">
                  <c:v>2</c:v>
                </c:pt>
                <c:pt idx="1">
                  <c:v>2</c:v>
                </c:pt>
                <c:pt idx="2">
                  <c:v>10</c:v>
                </c:pt>
                <c:pt idx="3">
                  <c:v>12</c:v>
                </c:pt>
                <c:pt idx="4">
                  <c:v>103</c:v>
                </c:pt>
                <c:pt idx="5">
                  <c:v>16</c:v>
                </c:pt>
                <c:pt idx="6">
                  <c:v>6</c:v>
                </c:pt>
                <c:pt idx="7">
                  <c:v>2</c:v>
                </c:pt>
                <c:pt idx="8">
                  <c:v>11</c:v>
                </c:pt>
                <c:pt idx="9">
                  <c:v>3</c:v>
                </c:pt>
                <c:pt idx="10">
                  <c:v>3</c:v>
                </c:pt>
                <c:pt idx="11">
                  <c:v>11</c:v>
                </c:pt>
              </c:numCache>
            </c:numRef>
          </c:val>
          <c:smooth val="0"/>
        </c:ser>
        <c:dLbls>
          <c:showLegendKey val="0"/>
          <c:showVal val="0"/>
          <c:showCatName val="0"/>
          <c:showSerName val="0"/>
          <c:showPercent val="0"/>
          <c:showBubbleSize val="0"/>
        </c:dLbls>
        <c:marker val="1"/>
        <c:smooth val="0"/>
        <c:axId val="560585784"/>
        <c:axId val="560582256"/>
      </c:lineChart>
      <c:catAx>
        <c:axId val="560584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60583824"/>
        <c:crosses val="autoZero"/>
        <c:auto val="1"/>
        <c:lblAlgn val="ctr"/>
        <c:lblOffset val="100"/>
        <c:noMultiLvlLbl val="0"/>
      </c:catAx>
      <c:valAx>
        <c:axId val="560583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t>Open</a:t>
                </a:r>
                <a:r>
                  <a:rPr lang="en-CA" baseline="0"/>
                  <a:t> Order $'s</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60584608"/>
        <c:crosses val="autoZero"/>
        <c:crossBetween val="between"/>
      </c:valAx>
      <c:valAx>
        <c:axId val="560582256"/>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t>#</a:t>
                </a:r>
                <a:r>
                  <a:rPr lang="en-CA" baseline="0"/>
                  <a:t>of  Order Lines</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60585784"/>
        <c:crosses val="max"/>
        <c:crossBetween val="between"/>
      </c:valAx>
      <c:catAx>
        <c:axId val="560585784"/>
        <c:scaling>
          <c:orientation val="minMax"/>
        </c:scaling>
        <c:delete val="1"/>
        <c:axPos val="b"/>
        <c:numFmt formatCode="General" sourceLinked="1"/>
        <c:majorTickMark val="out"/>
        <c:minorTickMark val="none"/>
        <c:tickLblPos val="nextTo"/>
        <c:crossAx val="560582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PVT!PivotTable3</c:name>
    <c:fmtId val="5"/>
  </c:pivotSource>
  <c:chart>
    <c:title>
      <c:tx>
        <c:rich>
          <a:bodyPr rot="0" spcFirstLastPara="1" vertOverflow="ellipsis" vert="horz" wrap="square" anchor="ctr" anchorCtr="1"/>
          <a:lstStyle/>
          <a:p>
            <a:pPr algn="ctr" rtl="0">
              <a:defRPr lang="en-CA" sz="1600" b="1" i="0" u="none" strike="noStrike" kern="1200" cap="all" spc="0" baseline="0">
                <a:solidFill>
                  <a:sysClr val="windowText" lastClr="000000"/>
                </a:solidFill>
                <a:latin typeface="+mn-lt"/>
                <a:ea typeface="+mn-ea"/>
                <a:cs typeface="+mn-cs"/>
              </a:defRPr>
            </a:pPr>
            <a:r>
              <a:rPr lang="en-CA" sz="1600" b="1" i="0" u="none" strike="noStrike" kern="1200" cap="all" baseline="0">
                <a:solidFill>
                  <a:sysClr val="windowText" lastClr="000000"/>
                </a:solidFill>
                <a:latin typeface="+mn-lt"/>
                <a:ea typeface="+mn-ea"/>
                <a:cs typeface="+mn-cs"/>
              </a:rPr>
              <a:t>SALES VS BUDGET</a:t>
            </a:r>
          </a:p>
        </c:rich>
      </c:tx>
      <c:overlay val="0"/>
      <c:spPr>
        <a:noFill/>
        <a:ln>
          <a:noFill/>
        </a:ln>
        <a:effectLst/>
      </c:spPr>
      <c:txPr>
        <a:bodyPr rot="0" spcFirstLastPara="1" vertOverflow="ellipsis" vert="horz" wrap="square" anchor="ctr" anchorCtr="1"/>
        <a:lstStyle/>
        <a:p>
          <a:pPr algn="ctr" rtl="0">
            <a:defRPr lang="en-CA" sz="1600" b="1" i="0" u="none" strike="noStrike" kern="1200" cap="all"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PVT'!$B$3</c:f>
              <c:strCache>
                <c:ptCount val="1"/>
                <c:pt idx="0">
                  <c:v>SALES </c:v>
                </c:pt>
              </c:strCache>
            </c:strRef>
          </c:tx>
          <c:spPr>
            <a:solidFill>
              <a:schemeClr val="accent1"/>
            </a:solidFill>
            <a:ln>
              <a:noFill/>
            </a:ln>
            <a:effectLst/>
            <a:scene3d>
              <a:camera prst="orthographicFront"/>
              <a:lightRig rig="threePt" dir="t"/>
            </a:scene3d>
            <a:sp3d>
              <a:bevelT/>
            </a:sp3d>
          </c:spPr>
          <c:invertIfNegative val="0"/>
          <c:cat>
            <c:multiLvlStrRef>
              <c:f>'Sales PVT'!$A$4:$A$11</c:f>
              <c:multiLvlStrCache>
                <c:ptCount val="3"/>
                <c:lvl>
                  <c:pt idx="0">
                    <c:v>Aug</c:v>
                  </c:pt>
                  <c:pt idx="1">
                    <c:v>Jun</c:v>
                  </c:pt>
                  <c:pt idx="2">
                    <c:v>Jul</c:v>
                  </c:pt>
                </c:lvl>
                <c:lvl>
                  <c:pt idx="0">
                    <c:v>1</c:v>
                  </c:pt>
                  <c:pt idx="1">
                    <c:v>11</c:v>
                  </c:pt>
                  <c:pt idx="2">
                    <c:v>12</c:v>
                  </c:pt>
                </c:lvl>
                <c:lvl>
                  <c:pt idx="0">
                    <c:v>2015</c:v>
                  </c:pt>
                </c:lvl>
              </c:multiLvlStrCache>
            </c:multiLvlStrRef>
          </c:cat>
          <c:val>
            <c:numRef>
              <c:f>'Sales PVT'!$B$4:$B$11</c:f>
              <c:numCache>
                <c:formatCode>"$"#,##0</c:formatCode>
                <c:ptCount val="3"/>
                <c:pt idx="0">
                  <c:v>19818618</c:v>
                </c:pt>
                <c:pt idx="1">
                  <c:v>20813105</c:v>
                </c:pt>
                <c:pt idx="2">
                  <c:v>32832337</c:v>
                </c:pt>
              </c:numCache>
            </c:numRef>
          </c:val>
        </c:ser>
        <c:ser>
          <c:idx val="1"/>
          <c:order val="1"/>
          <c:tx>
            <c:strRef>
              <c:f>'Sales PVT'!$C$3</c:f>
              <c:strCache>
                <c:ptCount val="1"/>
                <c:pt idx="0">
                  <c:v>BUDGET </c:v>
                </c:pt>
              </c:strCache>
            </c:strRef>
          </c:tx>
          <c:spPr>
            <a:solidFill>
              <a:schemeClr val="accent2"/>
            </a:solidFill>
            <a:ln>
              <a:noFill/>
            </a:ln>
            <a:effectLst/>
            <a:scene3d>
              <a:camera prst="orthographicFront"/>
              <a:lightRig rig="threePt" dir="t"/>
            </a:scene3d>
            <a:sp3d>
              <a:bevelT/>
            </a:sp3d>
          </c:spPr>
          <c:invertIfNegative val="0"/>
          <c:cat>
            <c:multiLvlStrRef>
              <c:f>'Sales PVT'!$A$4:$A$11</c:f>
              <c:multiLvlStrCache>
                <c:ptCount val="3"/>
                <c:lvl>
                  <c:pt idx="0">
                    <c:v>Aug</c:v>
                  </c:pt>
                  <c:pt idx="1">
                    <c:v>Jun</c:v>
                  </c:pt>
                  <c:pt idx="2">
                    <c:v>Jul</c:v>
                  </c:pt>
                </c:lvl>
                <c:lvl>
                  <c:pt idx="0">
                    <c:v>1</c:v>
                  </c:pt>
                  <c:pt idx="1">
                    <c:v>11</c:v>
                  </c:pt>
                  <c:pt idx="2">
                    <c:v>12</c:v>
                  </c:pt>
                </c:lvl>
                <c:lvl>
                  <c:pt idx="0">
                    <c:v>2015</c:v>
                  </c:pt>
                </c:lvl>
              </c:multiLvlStrCache>
            </c:multiLvlStrRef>
          </c:cat>
          <c:val>
            <c:numRef>
              <c:f>'Sales PVT'!$C$4:$C$11</c:f>
              <c:numCache>
                <c:formatCode>"$"#,##0</c:formatCode>
                <c:ptCount val="3"/>
                <c:pt idx="0">
                  <c:v>12675792.76</c:v>
                </c:pt>
                <c:pt idx="1">
                  <c:v>12675792.76</c:v>
                </c:pt>
                <c:pt idx="2">
                  <c:v>12675792.76</c:v>
                </c:pt>
              </c:numCache>
            </c:numRef>
          </c:val>
        </c:ser>
        <c:dLbls>
          <c:showLegendKey val="0"/>
          <c:showVal val="0"/>
          <c:showCatName val="0"/>
          <c:showSerName val="0"/>
          <c:showPercent val="0"/>
          <c:showBubbleSize val="0"/>
        </c:dLbls>
        <c:gapWidth val="219"/>
        <c:overlap val="-27"/>
        <c:axId val="560579512"/>
        <c:axId val="560586960"/>
      </c:barChart>
      <c:lineChart>
        <c:grouping val="standard"/>
        <c:varyColors val="0"/>
        <c:ser>
          <c:idx val="2"/>
          <c:order val="2"/>
          <c:tx>
            <c:strRef>
              <c:f>'Sales PVT'!$D$3</c:f>
              <c:strCache>
                <c:ptCount val="1"/>
                <c:pt idx="0">
                  <c:v>% of Budget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PVT'!$A$4:$A$11</c:f>
              <c:multiLvlStrCache>
                <c:ptCount val="3"/>
                <c:lvl>
                  <c:pt idx="0">
                    <c:v>Aug</c:v>
                  </c:pt>
                  <c:pt idx="1">
                    <c:v>Jun</c:v>
                  </c:pt>
                  <c:pt idx="2">
                    <c:v>Jul</c:v>
                  </c:pt>
                </c:lvl>
                <c:lvl>
                  <c:pt idx="0">
                    <c:v>1</c:v>
                  </c:pt>
                  <c:pt idx="1">
                    <c:v>11</c:v>
                  </c:pt>
                  <c:pt idx="2">
                    <c:v>12</c:v>
                  </c:pt>
                </c:lvl>
                <c:lvl>
                  <c:pt idx="0">
                    <c:v>2015</c:v>
                  </c:pt>
                </c:lvl>
              </c:multiLvlStrCache>
            </c:multiLvlStrRef>
          </c:cat>
          <c:val>
            <c:numRef>
              <c:f>'Sales PVT'!$D$4:$D$11</c:f>
              <c:numCache>
                <c:formatCode>0%</c:formatCode>
                <c:ptCount val="3"/>
                <c:pt idx="0">
                  <c:v>1.5635012638057677</c:v>
                </c:pt>
                <c:pt idx="1">
                  <c:v>1.6419568696072624</c:v>
                </c:pt>
                <c:pt idx="2">
                  <c:v>2.5901604437401673</c:v>
                </c:pt>
              </c:numCache>
            </c:numRef>
          </c:val>
          <c:smooth val="0"/>
        </c:ser>
        <c:dLbls>
          <c:showLegendKey val="0"/>
          <c:showVal val="0"/>
          <c:showCatName val="0"/>
          <c:showSerName val="0"/>
          <c:showPercent val="0"/>
          <c:showBubbleSize val="0"/>
        </c:dLbls>
        <c:marker val="1"/>
        <c:smooth val="0"/>
        <c:axId val="560575984"/>
        <c:axId val="560579120"/>
      </c:lineChart>
      <c:catAx>
        <c:axId val="560579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6960"/>
        <c:crosses val="autoZero"/>
        <c:auto val="1"/>
        <c:lblAlgn val="ctr"/>
        <c:lblOffset val="100"/>
        <c:noMultiLvlLbl val="0"/>
      </c:catAx>
      <c:valAx>
        <c:axId val="560586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Sales</a:t>
                </a:r>
                <a:r>
                  <a:rPr lang="en-CA" baseline="0">
                    <a:solidFill>
                      <a:sysClr val="windowText" lastClr="000000"/>
                    </a:solidFill>
                  </a:rPr>
                  <a:t> &amp; Budget $'s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9512"/>
        <c:crosses val="autoZero"/>
        <c:crossBetween val="between"/>
      </c:valAx>
      <c:valAx>
        <c:axId val="560579120"/>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baseline="0">
                    <a:solidFill>
                      <a:sysClr val="windowText" lastClr="000000"/>
                    </a:solidFill>
                  </a:rPr>
                  <a:t> % of Budgete Achieved</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5984"/>
        <c:crosses val="max"/>
        <c:crossBetween val="between"/>
      </c:valAx>
      <c:catAx>
        <c:axId val="560575984"/>
        <c:scaling>
          <c:orientation val="minMax"/>
        </c:scaling>
        <c:delete val="1"/>
        <c:axPos val="b"/>
        <c:numFmt formatCode="General" sourceLinked="1"/>
        <c:majorTickMark val="out"/>
        <c:minorTickMark val="none"/>
        <c:tickLblPos val="nextTo"/>
        <c:crossAx val="560579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 - E vs A!PivotTable18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CLOSED</a:t>
            </a:r>
            <a:r>
              <a:rPr lang="en-CA" sz="1600" b="1" baseline="0">
                <a:solidFill>
                  <a:schemeClr val="tx1"/>
                </a:solidFill>
              </a:rPr>
              <a:t> WORK ORDERS- ACT vs EST - LABOR HOURS</a:t>
            </a:r>
            <a:endParaRPr lang="en-CA"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'Quote PVT - E vs A'!$J$3</c:f>
              <c:strCache>
                <c:ptCount val="1"/>
                <c:pt idx="0">
                  <c:v>Actual   </c:v>
                </c:pt>
              </c:strCache>
            </c:strRef>
          </c:tx>
          <c:spPr>
            <a:solidFill>
              <a:schemeClr val="accent1"/>
            </a:solidFill>
            <a:ln>
              <a:noFill/>
            </a:ln>
            <a:effectLst/>
            <a:scene3d>
              <a:camera prst="orthographicFront"/>
              <a:lightRig rig="threePt" dir="t"/>
            </a:scene3d>
            <a:sp3d>
              <a:bevelT/>
            </a:sp3d>
          </c:spPr>
          <c:invertIfNegative val="0"/>
          <c:cat>
            <c:multiLvlStrRef>
              <c:f>'Quote PVT - E vs A'!$I$4:$I$29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A'!$J$4:$J$29</c:f>
              <c:numCache>
                <c:formatCode>#,##0</c:formatCode>
                <c:ptCount val="12"/>
                <c:pt idx="0">
                  <c:v>33323.07</c:v>
                </c:pt>
                <c:pt idx="1">
                  <c:v>36263.07</c:v>
                </c:pt>
                <c:pt idx="2">
                  <c:v>18795.72</c:v>
                </c:pt>
                <c:pt idx="3">
                  <c:v>15604.41</c:v>
                </c:pt>
                <c:pt idx="4">
                  <c:v>25318.68</c:v>
                </c:pt>
                <c:pt idx="5">
                  <c:v>15904.48</c:v>
                </c:pt>
                <c:pt idx="6">
                  <c:v>164182.76999999999</c:v>
                </c:pt>
                <c:pt idx="7">
                  <c:v>55279.33</c:v>
                </c:pt>
                <c:pt idx="8">
                  <c:v>13427.02</c:v>
                </c:pt>
                <c:pt idx="9">
                  <c:v>43181.24</c:v>
                </c:pt>
                <c:pt idx="10">
                  <c:v>15477.57</c:v>
                </c:pt>
                <c:pt idx="11">
                  <c:v>269230.86</c:v>
                </c:pt>
              </c:numCache>
            </c:numRef>
          </c:val>
        </c:ser>
        <c:ser>
          <c:idx val="1"/>
          <c:order val="1"/>
          <c:tx>
            <c:strRef>
              <c:f>'Quote PVT - E vs A'!$K$3</c:f>
              <c:strCache>
                <c:ptCount val="1"/>
                <c:pt idx="0">
                  <c:v>Estimate </c:v>
                </c:pt>
              </c:strCache>
            </c:strRef>
          </c:tx>
          <c:spPr>
            <a:solidFill>
              <a:schemeClr val="accent2"/>
            </a:solidFill>
            <a:ln>
              <a:noFill/>
            </a:ln>
            <a:effectLst/>
          </c:spPr>
          <c:invertIfNegative val="0"/>
          <c:cat>
            <c:multiLvlStrRef>
              <c:f>'Quote PVT - E vs A'!$I$4:$I$29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A'!$K$4:$K$29</c:f>
              <c:numCache>
                <c:formatCode>#,##0</c:formatCode>
                <c:ptCount val="12"/>
                <c:pt idx="0">
                  <c:v>48</c:v>
                </c:pt>
                <c:pt idx="1">
                  <c:v>852.25</c:v>
                </c:pt>
                <c:pt idx="2">
                  <c:v>1079.32</c:v>
                </c:pt>
                <c:pt idx="3">
                  <c:v>979.34</c:v>
                </c:pt>
                <c:pt idx="4">
                  <c:v>1189.3900000000001</c:v>
                </c:pt>
                <c:pt idx="5">
                  <c:v>1619.85</c:v>
                </c:pt>
                <c:pt idx="6">
                  <c:v>5904.29</c:v>
                </c:pt>
                <c:pt idx="7">
                  <c:v>2462.2800000000002</c:v>
                </c:pt>
                <c:pt idx="8">
                  <c:v>4153.62</c:v>
                </c:pt>
                <c:pt idx="9">
                  <c:v>2833.66</c:v>
                </c:pt>
                <c:pt idx="10">
                  <c:v>1811.32</c:v>
                </c:pt>
                <c:pt idx="11">
                  <c:v>15685.94</c:v>
                </c:pt>
              </c:numCache>
            </c:numRef>
          </c:val>
        </c:ser>
        <c:dLbls>
          <c:showLegendKey val="0"/>
          <c:showVal val="0"/>
          <c:showCatName val="0"/>
          <c:showSerName val="0"/>
          <c:showPercent val="0"/>
          <c:showBubbleSize val="0"/>
        </c:dLbls>
        <c:gapWidth val="219"/>
        <c:overlap val="-27"/>
        <c:axId val="560583432"/>
        <c:axId val="560586568"/>
      </c:barChart>
      <c:lineChart>
        <c:grouping val="standard"/>
        <c:varyColors val="0"/>
        <c:ser>
          <c:idx val="2"/>
          <c:order val="2"/>
          <c:tx>
            <c:strRef>
              <c:f>'Quote PVT - E vs A'!$L$3</c:f>
              <c:strCache>
                <c:ptCount val="1"/>
                <c:pt idx="0">
                  <c:v>Avg % of Estimate</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'Quote PVT - E vs A'!$I$4:$I$29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A'!$L$4:$L$29</c:f>
              <c:numCache>
                <c:formatCode>0.00%</c:formatCode>
                <c:ptCount val="12"/>
                <c:pt idx="0">
                  <c:v>694.23062500000003</c:v>
                </c:pt>
                <c:pt idx="1">
                  <c:v>42.54980346142564</c:v>
                </c:pt>
                <c:pt idx="2">
                  <c:v>17.414409072378909</c:v>
                </c:pt>
                <c:pt idx="3">
                  <c:v>15.933598137521187</c:v>
                </c:pt>
                <c:pt idx="4">
                  <c:v>21.287113562414344</c:v>
                </c:pt>
                <c:pt idx="5">
                  <c:v>9.8184893662993495</c:v>
                </c:pt>
                <c:pt idx="6">
                  <c:v>27.807368879238652</c:v>
                </c:pt>
                <c:pt idx="7">
                  <c:v>22.450464610036224</c:v>
                </c:pt>
                <c:pt idx="8">
                  <c:v>3.2326067382187107</c:v>
                </c:pt>
                <c:pt idx="9">
                  <c:v>15.238680716811473</c:v>
                </c:pt>
                <c:pt idx="10">
                  <c:v>8.5449119978799999</c:v>
                </c:pt>
                <c:pt idx="11">
                  <c:v>17.163833343746052</c:v>
                </c:pt>
              </c:numCache>
            </c:numRef>
          </c:val>
          <c:smooth val="0"/>
        </c:ser>
        <c:dLbls>
          <c:showLegendKey val="0"/>
          <c:showVal val="0"/>
          <c:showCatName val="0"/>
          <c:showSerName val="0"/>
          <c:showPercent val="0"/>
          <c:showBubbleSize val="0"/>
        </c:dLbls>
        <c:marker val="1"/>
        <c:smooth val="0"/>
        <c:axId val="560576376"/>
        <c:axId val="560587352"/>
      </c:lineChart>
      <c:catAx>
        <c:axId val="560583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6568"/>
        <c:crosses val="autoZero"/>
        <c:auto val="1"/>
        <c:lblAlgn val="ctr"/>
        <c:lblOffset val="100"/>
        <c:noMultiLvlLbl val="0"/>
      </c:catAx>
      <c:valAx>
        <c:axId val="560586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Labor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3432"/>
        <c:crosses val="autoZero"/>
        <c:crossBetween val="between"/>
      </c:valAx>
      <c:valAx>
        <c:axId val="560587352"/>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a:t>
                </a:r>
                <a:r>
                  <a:rPr lang="en-CA" baseline="0">
                    <a:solidFill>
                      <a:sysClr val="windowText" lastClr="000000"/>
                    </a:solidFill>
                  </a:rPr>
                  <a:t> of Est</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6376"/>
        <c:crosses val="max"/>
        <c:crossBetween val="between"/>
      </c:valAx>
      <c:catAx>
        <c:axId val="560576376"/>
        <c:scaling>
          <c:orientation val="minMax"/>
        </c:scaling>
        <c:delete val="1"/>
        <c:axPos val="b"/>
        <c:numFmt formatCode="General" sourceLinked="1"/>
        <c:majorTickMark val="out"/>
        <c:minorTickMark val="none"/>
        <c:tickLblPos val="nextTo"/>
        <c:crossAx val="5605873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 - E vs A!PivotTable1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CLOSED WORK ORDERS</a:t>
            </a:r>
            <a:r>
              <a:rPr lang="en-CA" sz="1600" b="1" baseline="0">
                <a:solidFill>
                  <a:schemeClr val="tx1"/>
                </a:solidFill>
              </a:rPr>
              <a:t>- EST vs ACT- MATERIAL COSTS</a:t>
            </a:r>
            <a:endParaRPr lang="en-CA" sz="1600" b="1">
              <a:solidFill>
                <a:schemeClr val="tx1"/>
              </a:solidFill>
            </a:endParaRPr>
          </a:p>
        </c:rich>
      </c:tx>
      <c:layout>
        <c:manualLayout>
          <c:xMode val="edge"/>
          <c:yMode val="edge"/>
          <c:x val="0.29430425531914894"/>
          <c:y val="2.37827715355805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a:noFill/>
          </a:ln>
          <a:effectLst/>
          <a:scene3d>
            <a:camera prst="orthographicFront"/>
            <a:lightRig rig="threePt" dir="t"/>
          </a:scene3d>
          <a:sp3d>
            <a:bevelT/>
          </a:sp3d>
        </c:spPr>
        <c:marker>
          <c:symbol val="none"/>
        </c:marker>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threePt" dir="t"/>
          </a:scene3d>
          <a:sp3d>
            <a:bevelT/>
          </a:sp3d>
        </c:spPr>
        <c:marker>
          <c:symbol val="none"/>
        </c:marker>
      </c:pivotFmt>
      <c:pivotFmt>
        <c:idx val="8"/>
        <c:spPr>
          <a:solidFill>
            <a:schemeClr val="accent1"/>
          </a:solidFill>
          <a:ln>
            <a:noFill/>
          </a:ln>
          <a:effectLst/>
          <a:scene3d>
            <a:camera prst="orthographicFront"/>
            <a:lightRig rig="threePt" dir="t"/>
          </a:scene3d>
          <a:sp3d>
            <a:bevelT/>
          </a:sp3d>
        </c:spPr>
        <c:marker>
          <c:symbol val="none"/>
        </c:marker>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threePt" dir="t"/>
          </a:scene3d>
          <a:sp3d>
            <a:bevelT/>
          </a:sp3d>
        </c:spPr>
        <c:marker>
          <c:symbol val="none"/>
        </c:marker>
      </c:pivotFmt>
      <c:pivotFmt>
        <c:idx val="11"/>
        <c:spPr>
          <a:solidFill>
            <a:schemeClr val="accent1"/>
          </a:solidFill>
          <a:ln>
            <a:noFill/>
          </a:ln>
          <a:effectLst/>
          <a:scene3d>
            <a:camera prst="orthographicFront"/>
            <a:lightRig rig="threePt" dir="t"/>
          </a:scene3d>
          <a:sp3d>
            <a:bevelT/>
          </a:sp3d>
        </c:spPr>
        <c:marker>
          <c:symbol val="none"/>
        </c:marker>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threePt" dir="t"/>
          </a:scene3d>
          <a:sp3d>
            <a:bevelT/>
          </a:sp3d>
        </c:spPr>
        <c:marker>
          <c:symbol val="none"/>
        </c:marker>
      </c:pivotFmt>
      <c:pivotFmt>
        <c:idx val="14"/>
        <c:spPr>
          <a:solidFill>
            <a:schemeClr val="accent1"/>
          </a:solidFill>
          <a:ln>
            <a:noFill/>
          </a:ln>
          <a:effectLst/>
          <a:scene3d>
            <a:camera prst="orthographicFront"/>
            <a:lightRig rig="threePt" dir="t"/>
          </a:scene3d>
          <a:sp3d>
            <a:bevelT/>
          </a:sp3d>
        </c:spPr>
        <c:marker>
          <c:symbol val="none"/>
        </c:marker>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'Quote PVT - E vs A'!$Q$4</c:f>
              <c:strCache>
                <c:ptCount val="1"/>
                <c:pt idx="0">
                  <c:v>Actual </c:v>
                </c:pt>
              </c:strCache>
            </c:strRef>
          </c:tx>
          <c:spPr>
            <a:solidFill>
              <a:schemeClr val="accent1"/>
            </a:solidFill>
            <a:ln>
              <a:noFill/>
            </a:ln>
            <a:effectLst/>
            <a:scene3d>
              <a:camera prst="orthographicFront"/>
              <a:lightRig rig="threePt" dir="t"/>
            </a:scene3d>
            <a:sp3d>
              <a:bevelT/>
            </a:sp3d>
          </c:spPr>
          <c:invertIfNegative val="0"/>
          <c:cat>
            <c:multiLvlStrRef>
              <c:f>'Quote PVT - E vs A'!$P$5:$P$30</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A'!$Q$5:$Q$30</c:f>
              <c:numCache>
                <c:formatCode>"$"#,##0</c:formatCode>
                <c:ptCount val="12"/>
                <c:pt idx="0">
                  <c:v>43280.98</c:v>
                </c:pt>
                <c:pt idx="1">
                  <c:v>163596.14000000001</c:v>
                </c:pt>
                <c:pt idx="2">
                  <c:v>8180.42</c:v>
                </c:pt>
                <c:pt idx="3">
                  <c:v>9457.0499999999993</c:v>
                </c:pt>
                <c:pt idx="4">
                  <c:v>18740.78</c:v>
                </c:pt>
                <c:pt idx="5">
                  <c:v>17588.27</c:v>
                </c:pt>
                <c:pt idx="6">
                  <c:v>282243.55</c:v>
                </c:pt>
                <c:pt idx="7">
                  <c:v>104758.63</c:v>
                </c:pt>
                <c:pt idx="8">
                  <c:v>17678.919999999998</c:v>
                </c:pt>
                <c:pt idx="9">
                  <c:v>86268.44</c:v>
                </c:pt>
                <c:pt idx="10">
                  <c:v>15280.63</c:v>
                </c:pt>
                <c:pt idx="11">
                  <c:v>469224.07</c:v>
                </c:pt>
              </c:numCache>
            </c:numRef>
          </c:val>
        </c:ser>
        <c:ser>
          <c:idx val="1"/>
          <c:order val="1"/>
          <c:tx>
            <c:strRef>
              <c:f>'Quote PVT - E vs A'!$R$4</c:f>
              <c:strCache>
                <c:ptCount val="1"/>
                <c:pt idx="0">
                  <c:v>Estimate  </c:v>
                </c:pt>
              </c:strCache>
            </c:strRef>
          </c:tx>
          <c:spPr>
            <a:solidFill>
              <a:schemeClr val="accent2"/>
            </a:solidFill>
            <a:ln>
              <a:noFill/>
            </a:ln>
            <a:effectLst/>
            <a:scene3d>
              <a:camera prst="orthographicFront"/>
              <a:lightRig rig="threePt" dir="t"/>
            </a:scene3d>
            <a:sp3d>
              <a:bevelT/>
            </a:sp3d>
          </c:spPr>
          <c:invertIfNegative val="0"/>
          <c:cat>
            <c:multiLvlStrRef>
              <c:f>'Quote PVT - E vs A'!$P$5:$P$30</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A'!$R$5:$R$30</c:f>
              <c:numCache>
                <c:formatCode>"$"#,##0</c:formatCode>
                <c:ptCount val="12"/>
                <c:pt idx="0">
                  <c:v>20874.3</c:v>
                </c:pt>
                <c:pt idx="1">
                  <c:v>63995.95</c:v>
                </c:pt>
                <c:pt idx="2">
                  <c:v>7591.03</c:v>
                </c:pt>
                <c:pt idx="3">
                  <c:v>11615.97</c:v>
                </c:pt>
                <c:pt idx="4">
                  <c:v>22062.48</c:v>
                </c:pt>
                <c:pt idx="5">
                  <c:v>18780.400000000001</c:v>
                </c:pt>
                <c:pt idx="6">
                  <c:v>281132.56</c:v>
                </c:pt>
                <c:pt idx="7">
                  <c:v>106784.31</c:v>
                </c:pt>
                <c:pt idx="8">
                  <c:v>16262.59</c:v>
                </c:pt>
                <c:pt idx="9">
                  <c:v>90269.39</c:v>
                </c:pt>
                <c:pt idx="10">
                  <c:v>21674.82</c:v>
                </c:pt>
                <c:pt idx="11">
                  <c:v>673627.09</c:v>
                </c:pt>
              </c:numCache>
            </c:numRef>
          </c:val>
        </c:ser>
        <c:dLbls>
          <c:showLegendKey val="0"/>
          <c:showVal val="0"/>
          <c:showCatName val="0"/>
          <c:showSerName val="0"/>
          <c:showPercent val="0"/>
          <c:showBubbleSize val="0"/>
        </c:dLbls>
        <c:gapWidth val="219"/>
        <c:axId val="560575592"/>
        <c:axId val="560577552"/>
      </c:barChart>
      <c:lineChart>
        <c:grouping val="standard"/>
        <c:varyColors val="0"/>
        <c:ser>
          <c:idx val="2"/>
          <c:order val="2"/>
          <c:tx>
            <c:strRef>
              <c:f>'Quote PVT - E vs A'!$S$4</c:f>
              <c:strCache>
                <c:ptCount val="1"/>
                <c:pt idx="0">
                  <c:v>Avg % Estimate</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'Quote PVT - E vs A'!$P$5:$P$30</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A'!$S$5:$S$30</c:f>
              <c:numCache>
                <c:formatCode>0%</c:formatCode>
                <c:ptCount val="12"/>
                <c:pt idx="0">
                  <c:v>2.0734098867985993</c:v>
                </c:pt>
                <c:pt idx="1">
                  <c:v>2.5563514566156145</c:v>
                </c:pt>
                <c:pt idx="2">
                  <c:v>1.0776429549086224</c:v>
                </c:pt>
                <c:pt idx="3">
                  <c:v>0.81414208197851745</c:v>
                </c:pt>
                <c:pt idx="4">
                  <c:v>0.84944122328949412</c:v>
                </c:pt>
                <c:pt idx="5">
                  <c:v>0.93652265127473322</c:v>
                </c:pt>
                <c:pt idx="6">
                  <c:v>1.0039518368132101</c:v>
                </c:pt>
                <c:pt idx="7">
                  <c:v>0.98103017194192677</c:v>
                </c:pt>
                <c:pt idx="8">
                  <c:v>1.0870912935762385</c:v>
                </c:pt>
                <c:pt idx="9">
                  <c:v>0.95567766659329367</c:v>
                </c:pt>
                <c:pt idx="10">
                  <c:v>0.70499455128116406</c:v>
                </c:pt>
                <c:pt idx="11">
                  <c:v>0.69656353933153137</c:v>
                </c:pt>
              </c:numCache>
            </c:numRef>
          </c:val>
          <c:smooth val="0"/>
        </c:ser>
        <c:dLbls>
          <c:showLegendKey val="0"/>
          <c:showVal val="0"/>
          <c:showCatName val="0"/>
          <c:showSerName val="0"/>
          <c:showPercent val="0"/>
          <c:showBubbleSize val="0"/>
        </c:dLbls>
        <c:marker val="1"/>
        <c:smooth val="0"/>
        <c:axId val="560577944"/>
        <c:axId val="560577160"/>
      </c:lineChart>
      <c:catAx>
        <c:axId val="560575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7552"/>
        <c:crosses val="autoZero"/>
        <c:auto val="1"/>
        <c:lblAlgn val="ctr"/>
        <c:lblOffset val="100"/>
        <c:noMultiLvlLbl val="0"/>
      </c:catAx>
      <c:valAx>
        <c:axId val="560577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Material</a:t>
                </a:r>
                <a:r>
                  <a:rPr lang="en-CA" baseline="0">
                    <a:solidFill>
                      <a:sysClr val="windowText" lastClr="000000"/>
                    </a:solidFill>
                  </a:rPr>
                  <a:t> Costs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5592"/>
        <c:crosses val="autoZero"/>
        <c:crossBetween val="between"/>
      </c:valAx>
      <c:valAx>
        <c:axId val="560577160"/>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a:t>
                </a:r>
                <a:r>
                  <a:rPr lang="en-CA" baseline="0">
                    <a:solidFill>
                      <a:sysClr val="windowText" lastClr="000000"/>
                    </a:solidFill>
                  </a:rPr>
                  <a:t> of Estimate</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7944"/>
        <c:crosses val="max"/>
        <c:crossBetween val="between"/>
      </c:valAx>
      <c:catAx>
        <c:axId val="560577944"/>
        <c:scaling>
          <c:orientation val="minMax"/>
        </c:scaling>
        <c:delete val="1"/>
        <c:axPos val="b"/>
        <c:numFmt formatCode="General" sourceLinked="1"/>
        <c:majorTickMark val="out"/>
        <c:minorTickMark val="none"/>
        <c:tickLblPos val="nextTo"/>
        <c:crossAx val="5605771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[KPI-CCC.xlsm]Quality - PV!PivotTable17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COST OF QUALITY BY</a:t>
            </a:r>
            <a:r>
              <a:rPr lang="en-US" sz="1600" b="1" baseline="0">
                <a:solidFill>
                  <a:schemeClr val="tx1"/>
                </a:solidFill>
              </a:rPr>
              <a:t> DEPARTMENT</a:t>
            </a:r>
            <a:endParaRPr lang="en-US"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'Quality - PV'!$O$7</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'Quality - PV'!$N$8:$N$15</c:f>
              <c:strCache>
                <c:ptCount val="7"/>
                <c:pt idx="1">
                  <c:v>ADMI</c:v>
                </c:pt>
                <c:pt idx="2">
                  <c:v>BRAN</c:v>
                </c:pt>
                <c:pt idx="3">
                  <c:v>CUT</c:v>
                </c:pt>
                <c:pt idx="4">
                  <c:v>GEN</c:v>
                </c:pt>
                <c:pt idx="5">
                  <c:v>PACK</c:v>
                </c:pt>
                <c:pt idx="6">
                  <c:v>PROD</c:v>
                </c:pt>
              </c:strCache>
            </c:strRef>
          </c:cat>
          <c:val>
            <c:numRef>
              <c:f>'Quality - PV'!$O$8:$O$15</c:f>
              <c:numCache>
                <c:formatCode>"$"#,##0</c:formatCode>
                <c:ptCount val="7"/>
                <c:pt idx="0">
                  <c:v>0.04</c:v>
                </c:pt>
                <c:pt idx="1">
                  <c:v>32.46</c:v>
                </c:pt>
                <c:pt idx="2">
                  <c:v>76.959999999999994</c:v>
                </c:pt>
                <c:pt idx="3">
                  <c:v>28498.63</c:v>
                </c:pt>
                <c:pt idx="4">
                  <c:v>32.19</c:v>
                </c:pt>
                <c:pt idx="5">
                  <c:v>87.31</c:v>
                </c:pt>
                <c:pt idx="6">
                  <c:v>473.95</c:v>
                </c:pt>
              </c:numCache>
            </c:numRef>
          </c:val>
        </c:ser>
        <c:dLbls>
          <c:showLegendKey val="0"/>
          <c:showVal val="0"/>
          <c:showCatName val="0"/>
          <c:showSerName val="0"/>
          <c:showPercent val="0"/>
          <c:showBubbleSize val="0"/>
        </c:dLbls>
        <c:gapWidth val="182"/>
        <c:axId val="560579904"/>
        <c:axId val="560580296"/>
      </c:barChart>
      <c:catAx>
        <c:axId val="560579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0296"/>
        <c:crosses val="autoZero"/>
        <c:auto val="1"/>
        <c:lblAlgn val="ctr"/>
        <c:lblOffset val="100"/>
        <c:noMultiLvlLbl val="0"/>
      </c:catAx>
      <c:valAx>
        <c:axId val="56058029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79904"/>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PVT!PivotTable25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AVERAGE</a:t>
            </a:r>
            <a:r>
              <a:rPr lang="en-US" sz="1600" b="1" baseline="0">
                <a:solidFill>
                  <a:sysClr val="windowText" lastClr="000000"/>
                </a:solidFill>
              </a:rPr>
              <a:t> QUOTE PER MONTH (MIN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'Quote PVT'!$O$3</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'Quote PVT'!$N$4:$N$20</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PVT'!$O$4:$O$20</c:f>
              <c:numCache>
                <c:formatCode>"$"#,##0</c:formatCode>
                <c:ptCount val="7"/>
                <c:pt idx="0">
                  <c:v>640</c:v>
                </c:pt>
                <c:pt idx="1">
                  <c:v>4154</c:v>
                </c:pt>
                <c:pt idx="2">
                  <c:v>88.09</c:v>
                </c:pt>
                <c:pt idx="3">
                  <c:v>933.06</c:v>
                </c:pt>
                <c:pt idx="4">
                  <c:v>59500</c:v>
                </c:pt>
                <c:pt idx="5">
                  <c:v>165.66</c:v>
                </c:pt>
                <c:pt idx="6">
                  <c:v>49637.5</c:v>
                </c:pt>
              </c:numCache>
            </c:numRef>
          </c:val>
        </c:ser>
        <c:dLbls>
          <c:showLegendKey val="0"/>
          <c:showVal val="0"/>
          <c:showCatName val="0"/>
          <c:showSerName val="0"/>
          <c:showPercent val="0"/>
          <c:showBubbleSize val="0"/>
        </c:dLbls>
        <c:gapWidth val="219"/>
        <c:overlap val="-27"/>
        <c:axId val="560581080"/>
        <c:axId val="560588920"/>
      </c:barChart>
      <c:catAx>
        <c:axId val="560581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560588920"/>
        <c:crosses val="autoZero"/>
        <c:auto val="1"/>
        <c:lblAlgn val="ctr"/>
        <c:lblOffset val="100"/>
        <c:noMultiLvlLbl val="0"/>
      </c:catAx>
      <c:valAx>
        <c:axId val="5605889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560581080"/>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VENDOR PURCHASES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ofPieChart>
        <c:ofPieType val="bar"/>
        <c:varyColors val="1"/>
        <c:ser>
          <c:idx val="0"/>
          <c:order val="0"/>
          <c:tx>
            <c:strRef>
              <c:f>ES_AP_AR_VENDOR_RU!$I$2</c:f>
              <c:strCache>
                <c:ptCount val="1"/>
                <c:pt idx="0">
                  <c:v>AMT_YTD_PUR</c:v>
                </c:pt>
              </c:strCache>
            </c:strRef>
          </c:tx>
          <c:spPr>
            <a:scene3d>
              <a:camera prst="orthographicFront"/>
              <a:lightRig rig="threePt" dir="t"/>
            </a:scene3d>
            <a:sp3d>
              <a:bevelT/>
            </a:sp3d>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ES_AP_AR_VENDOR_RU!$G$7:$H$7</c:f>
              <c:strCache>
                <c:ptCount val="2"/>
                <c:pt idx="0">
                  <c:v>KATABO</c:v>
                </c:pt>
                <c:pt idx="1">
                  <c:v>THUNDERBOLD INDUSTRIES</c:v>
                </c:pt>
              </c:strCache>
            </c:strRef>
          </c:cat>
          <c:val>
            <c:numRef>
              <c:f>ES_AP_AR_VENDOR_RU!$I$3:$I$7</c:f>
              <c:numCache>
                <c:formatCode>General</c:formatCode>
                <c:ptCount val="5"/>
                <c:pt idx="0">
                  <c:v>998555</c:v>
                </c:pt>
                <c:pt idx="1">
                  <c:v>666885</c:v>
                </c:pt>
                <c:pt idx="2">
                  <c:v>556856</c:v>
                </c:pt>
                <c:pt idx="3">
                  <c:v>555689</c:v>
                </c:pt>
                <c:pt idx="4">
                  <c:v>236988</c:v>
                </c:pt>
              </c:numCache>
            </c:numRef>
          </c:val>
        </c:ser>
        <c:dLbls>
          <c:dLblPos val="bestFit"/>
          <c:showLegendKey val="0"/>
          <c:showVal val="0"/>
          <c:showCatName val="1"/>
          <c:showSerName val="0"/>
          <c:showPercent val="1"/>
          <c:showBubbleSize val="0"/>
          <c:showLeaderLines val="1"/>
        </c:dLbls>
        <c:gapWidth val="15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ACCOUNTS</a:t>
            </a:r>
            <a:r>
              <a:rPr lang="en-CA" sz="1600" b="1" baseline="0">
                <a:solidFill>
                  <a:schemeClr val="tx1"/>
                </a:solidFill>
              </a:rPr>
              <a:t> RECEIVABLE OPEN ITEMS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a:scene3d>
              <a:camera prst="orthographicFront"/>
              <a:lightRig rig="threePt" dir="t"/>
            </a:scene3d>
            <a:sp3d>
              <a:bevelT/>
            </a:sp3d>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ES_AP_AR_VENDOR_RU!$K$2:$O$2</c:f>
              <c:strCache>
                <c:ptCount val="5"/>
                <c:pt idx="0">
                  <c:v>CURRENT_A</c:v>
                </c:pt>
                <c:pt idx="1">
                  <c:v>DAYS_30</c:v>
                </c:pt>
                <c:pt idx="2">
                  <c:v>DAYS_60</c:v>
                </c:pt>
                <c:pt idx="3">
                  <c:v>DAYS_90</c:v>
                </c:pt>
                <c:pt idx="4">
                  <c:v>TOTAL</c:v>
                </c:pt>
              </c:strCache>
            </c:strRef>
          </c:cat>
          <c:val>
            <c:numRef>
              <c:f>ES_AP_AR_VENDOR_RU!$K$3:$O$3</c:f>
              <c:numCache>
                <c:formatCode>General</c:formatCode>
                <c:ptCount val="5"/>
                <c:pt idx="0">
                  <c:v>0</c:v>
                </c:pt>
                <c:pt idx="1">
                  <c:v>0</c:v>
                </c:pt>
                <c:pt idx="2">
                  <c:v>0</c:v>
                </c:pt>
                <c:pt idx="3">
                  <c:v>1438483.82</c:v>
                </c:pt>
                <c:pt idx="4">
                  <c:v>1438483.82</c:v>
                </c:pt>
              </c:numCache>
            </c:numRef>
          </c:val>
        </c:ser>
        <c:dLbls>
          <c:showLegendKey val="0"/>
          <c:showVal val="0"/>
          <c:showCatName val="0"/>
          <c:showSerName val="0"/>
          <c:showPercent val="0"/>
          <c:showBubbleSize val="0"/>
        </c:dLbls>
        <c:gapWidth val="219"/>
        <c:overlap val="-27"/>
        <c:axId val="560588136"/>
        <c:axId val="560590096"/>
      </c:barChart>
      <c:catAx>
        <c:axId val="560588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90096"/>
        <c:crosses val="autoZero"/>
        <c:auto val="1"/>
        <c:lblAlgn val="ctr"/>
        <c:lblOffset val="100"/>
        <c:noMultiLvlLbl val="0"/>
      </c:catAx>
      <c:valAx>
        <c:axId val="5605900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8136"/>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ACCOUNTS</a:t>
            </a:r>
            <a:r>
              <a:rPr lang="en-CA" sz="1600" b="1" baseline="0">
                <a:solidFill>
                  <a:schemeClr val="tx1"/>
                </a:solidFill>
              </a:rPr>
              <a:t> PAYABLE OPEN ITEMS</a:t>
            </a:r>
            <a:endParaRPr lang="en-CA"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a:scene3d>
              <a:camera prst="orthographicFront"/>
              <a:lightRig rig="threePt" dir="t"/>
            </a:scene3d>
            <a:sp3d>
              <a:bevelT/>
            </a:sp3d>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ES_AP_AR_VENDOR_RU!$A$2:$E$2</c:f>
              <c:strCache>
                <c:ptCount val="5"/>
                <c:pt idx="0">
                  <c:v>CURRENT_A</c:v>
                </c:pt>
                <c:pt idx="1">
                  <c:v>DAYS_30</c:v>
                </c:pt>
                <c:pt idx="2">
                  <c:v>DAYS_60</c:v>
                </c:pt>
                <c:pt idx="3">
                  <c:v>DAYS_90</c:v>
                </c:pt>
                <c:pt idx="4">
                  <c:v>TOTAL</c:v>
                </c:pt>
              </c:strCache>
            </c:strRef>
          </c:cat>
          <c:val>
            <c:numRef>
              <c:f>ES_AP_AR_VENDOR_RU!$A$3:$E$3</c:f>
              <c:numCache>
                <c:formatCode>General</c:formatCode>
                <c:ptCount val="5"/>
                <c:pt idx="0">
                  <c:v>1554.12</c:v>
                </c:pt>
                <c:pt idx="1">
                  <c:v>0</c:v>
                </c:pt>
                <c:pt idx="2">
                  <c:v>0</c:v>
                </c:pt>
                <c:pt idx="3">
                  <c:v>831210.31</c:v>
                </c:pt>
                <c:pt idx="4">
                  <c:v>832764.43</c:v>
                </c:pt>
              </c:numCache>
            </c:numRef>
          </c:val>
        </c:ser>
        <c:dLbls>
          <c:showLegendKey val="0"/>
          <c:showVal val="0"/>
          <c:showCatName val="0"/>
          <c:showSerName val="0"/>
          <c:showPercent val="0"/>
          <c:showBubbleSize val="0"/>
        </c:dLbls>
        <c:gapWidth val="219"/>
        <c:overlap val="-27"/>
        <c:axId val="560588528"/>
        <c:axId val="560536000"/>
      </c:barChart>
      <c:catAx>
        <c:axId val="56058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36000"/>
        <c:crosses val="autoZero"/>
        <c:auto val="1"/>
        <c:lblAlgn val="ctr"/>
        <c:lblOffset val="100"/>
        <c:noMultiLvlLbl val="0"/>
      </c:catAx>
      <c:valAx>
        <c:axId val="560536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88528"/>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PVT!PivotTable2</c:name>
    <c:fmtId val="3"/>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solidFill>
                  <a:sysClr val="windowText" lastClr="000000"/>
                </a:solidFill>
              </a:rPr>
              <a:t>CUSTOMER CONCENTRATION - TOP 5</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 PVT'!$AD$5</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PVT'!$AC$6:$AC$10</c:f>
              <c:strCache>
                <c:ptCount val="4"/>
                <c:pt idx="0">
                  <c:v>DATHOMIR CRADLE</c:v>
                </c:pt>
                <c:pt idx="1">
                  <c:v>DEATH STAR BUILDERS</c:v>
                </c:pt>
                <c:pt idx="2">
                  <c:v>HOTH REBEL BASE</c:v>
                </c:pt>
                <c:pt idx="3">
                  <c:v>KASHYYK SHOPPING CENTRE</c:v>
                </c:pt>
              </c:strCache>
            </c:strRef>
          </c:cat>
          <c:val>
            <c:numRef>
              <c:f>'Sales PVT'!$AD$6:$AD$10</c:f>
              <c:numCache>
                <c:formatCode>#,##0</c:formatCode>
                <c:ptCount val="4"/>
                <c:pt idx="0">
                  <c:v>21327292</c:v>
                </c:pt>
                <c:pt idx="1">
                  <c:v>27577841</c:v>
                </c:pt>
                <c:pt idx="2">
                  <c:v>74128402</c:v>
                </c:pt>
                <c:pt idx="3">
                  <c:v>141707660</c:v>
                </c:pt>
              </c:numCache>
            </c:numRef>
          </c:val>
        </c:ser>
        <c:dLbls>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SALES</a:t>
            </a:r>
            <a:r>
              <a:rPr lang="en-US" sz="1600" b="1" baseline="0">
                <a:solidFill>
                  <a:sysClr val="windowText" lastClr="000000"/>
                </a:solidFill>
              </a:rPr>
              <a:t> BY SALESMAN</a:t>
            </a:r>
            <a:endParaRPr lang="en-U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scene3d>
            <a:camera prst="orthographicFront"/>
            <a:lightRig rig="threePt" dir="t"/>
          </a:scene3d>
          <a:sp3d>
            <a:bevelT/>
          </a:sp3d>
        </c:spPr>
      </c:pivotFmt>
      <c:pivotFmt>
        <c:idx val="3"/>
        <c:spPr>
          <a:solidFill>
            <a:schemeClr val="accent1"/>
          </a:solidFill>
          <a:ln w="19050">
            <a:solidFill>
              <a:schemeClr val="lt1"/>
            </a:solidFill>
          </a:ln>
          <a:effectLst/>
          <a:scene3d>
            <a:camera prst="orthographicFront"/>
            <a:lightRig rig="threePt" dir="t"/>
          </a:scene3d>
          <a:sp3d>
            <a:bevelT/>
          </a:sp3d>
        </c:spPr>
      </c:pivotFmt>
      <c:pivotFmt>
        <c:idx val="4"/>
        <c:spPr>
          <a:solidFill>
            <a:schemeClr val="accent1"/>
          </a:solidFill>
          <a:ln w="19050">
            <a:solidFill>
              <a:schemeClr val="lt1"/>
            </a:solidFill>
          </a:ln>
          <a:effectLst/>
          <a:scene3d>
            <a:camera prst="orthographicFront"/>
            <a:lightRig rig="threePt" dir="t"/>
          </a:scene3d>
          <a:sp3d>
            <a:bevelT/>
          </a:sp3d>
        </c:spPr>
      </c:pivotFmt>
      <c:pivotFmt>
        <c:idx val="5"/>
        <c:spPr>
          <a:solidFill>
            <a:schemeClr val="accent1"/>
          </a:solidFill>
          <a:ln w="19050">
            <a:solidFill>
              <a:schemeClr val="lt1"/>
            </a:solidFill>
          </a:ln>
          <a:effectLst/>
          <a:scene3d>
            <a:camera prst="orthographicFront"/>
            <a:lightRig rig="threePt" dir="t"/>
          </a:scene3d>
          <a:sp3d>
            <a:bevelT/>
          </a:sp3d>
        </c:spPr>
      </c:pivotFmt>
      <c:pivotFmt>
        <c:idx val="6"/>
        <c:spPr>
          <a:solidFill>
            <a:schemeClr val="accent1"/>
          </a:solidFill>
          <a:ln w="19050">
            <a:solidFill>
              <a:schemeClr val="lt1"/>
            </a:solidFill>
          </a:ln>
          <a:effectLst/>
          <a:scene3d>
            <a:camera prst="orthographicFront"/>
            <a:lightRig rig="threePt" dir="t"/>
          </a:scene3d>
          <a:sp3d>
            <a:bevelT/>
          </a:sp3d>
        </c:spPr>
      </c:pivotFmt>
      <c:pivotFmt>
        <c:idx val="7"/>
        <c:spPr>
          <a:solidFill>
            <a:schemeClr val="accent1"/>
          </a:solidFill>
          <a:ln w="19050">
            <a:solidFill>
              <a:schemeClr val="lt1"/>
            </a:solid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cene3d>
            <a:camera prst="orthographicFront"/>
            <a:lightRig rig="threePt" dir="t"/>
          </a:scene3d>
          <a:sp3d>
            <a:bevelT/>
          </a:sp3d>
        </c:spPr>
      </c:pivotFmt>
      <c:pivotFmt>
        <c:idx val="9"/>
        <c:spPr>
          <a:solidFill>
            <a:schemeClr val="accent1"/>
          </a:solidFill>
          <a:ln w="19050">
            <a:solidFill>
              <a:schemeClr val="lt1"/>
            </a:solidFill>
          </a:ln>
          <a:effectLst/>
          <a:scene3d>
            <a:camera prst="orthographicFront"/>
            <a:lightRig rig="threePt" dir="t"/>
          </a:scene3d>
          <a:sp3d>
            <a:bevelT/>
          </a:sp3d>
        </c:spPr>
      </c:pivotFmt>
      <c:pivotFmt>
        <c:idx val="10"/>
        <c:spPr>
          <a:solidFill>
            <a:schemeClr val="accent1"/>
          </a:solidFill>
          <a:ln w="19050">
            <a:solidFill>
              <a:schemeClr val="lt1"/>
            </a:solidFill>
          </a:ln>
          <a:effectLst/>
          <a:scene3d>
            <a:camera prst="orthographicFront"/>
            <a:lightRig rig="threePt" dir="t"/>
          </a:scene3d>
          <a:sp3d>
            <a:bevelT/>
          </a:sp3d>
        </c:spPr>
      </c:pivotFmt>
      <c:pivotFmt>
        <c:idx val="11"/>
        <c:spPr>
          <a:solidFill>
            <a:schemeClr val="accent1"/>
          </a:solidFill>
          <a:ln w="19050">
            <a:solidFill>
              <a:schemeClr val="lt1"/>
            </a:solidFill>
          </a:ln>
          <a:effectLst/>
          <a:scene3d>
            <a:camera prst="orthographicFront"/>
            <a:lightRig rig="threePt" dir="t"/>
          </a:scene3d>
          <a:sp3d>
            <a:bevelT/>
          </a:sp3d>
        </c:spPr>
      </c:pivotFmt>
      <c:pivotFmt>
        <c:idx val="12"/>
        <c:spPr>
          <a:solidFill>
            <a:schemeClr val="accent1"/>
          </a:solidFill>
          <a:ln w="19050">
            <a:solidFill>
              <a:schemeClr val="lt1"/>
            </a:solidFill>
          </a:ln>
          <a:effectLst/>
          <a:scene3d>
            <a:camera prst="orthographicFront"/>
            <a:lightRig rig="threePt" dir="t"/>
          </a:scene3d>
          <a:sp3d>
            <a:bevelT/>
          </a:sp3d>
        </c:spPr>
      </c:pivotFmt>
      <c:pivotFmt>
        <c:idx val="13"/>
        <c:spPr>
          <a:solidFill>
            <a:schemeClr val="accent1"/>
          </a:solidFill>
          <a:ln w="19050">
            <a:solidFill>
              <a:schemeClr val="lt1"/>
            </a:solidFill>
          </a:ln>
          <a:effectLst/>
          <a:scene3d>
            <a:camera prst="orthographicFront"/>
            <a:lightRig rig="threePt" dir="t"/>
          </a:scene3d>
          <a:sp3d>
            <a:bevelT/>
          </a:sp3d>
        </c:spPr>
      </c:pivotFmt>
    </c:pivotFmts>
    <c:plotArea>
      <c:layout/>
      <c:doughnutChart>
        <c:varyColors val="1"/>
        <c:ser>
          <c:idx val="0"/>
          <c:order val="0"/>
          <c:tx>
            <c:strRef>
              <c:f>'Sales PVT'!$AH$5</c:f>
              <c:strCache>
                <c:ptCount val="1"/>
                <c:pt idx="0">
                  <c:v>Total</c:v>
                </c:pt>
              </c:strCache>
            </c:strRef>
          </c:tx>
          <c:spPr>
            <a:scene3d>
              <a:camera prst="orthographicFront"/>
              <a:lightRig rig="threePt" dir="t"/>
            </a:scene3d>
            <a:sp3d>
              <a:bevelT/>
            </a:sp3d>
          </c:spPr>
          <c:dPt>
            <c:idx val="0"/>
            <c:bubble3D val="0"/>
            <c:spPr>
              <a:solidFill>
                <a:schemeClr val="accent1"/>
              </a:solidFill>
              <a:ln w="19050">
                <a:solidFill>
                  <a:schemeClr val="lt1"/>
                </a:solidFill>
              </a:ln>
              <a:effectLst/>
              <a:scene3d>
                <a:camera prst="orthographicFront"/>
                <a:lightRig rig="threePt" dir="t"/>
              </a:scene3d>
              <a:sp3d>
                <a:bevelT/>
              </a:sp3d>
            </c:spPr>
          </c:dPt>
          <c:dPt>
            <c:idx val="1"/>
            <c:bubble3D val="0"/>
            <c:spPr>
              <a:solidFill>
                <a:schemeClr val="accent3"/>
              </a:solidFill>
              <a:ln w="19050">
                <a:solidFill>
                  <a:schemeClr val="lt1"/>
                </a:solidFill>
              </a:ln>
              <a:effectLst/>
              <a:scene3d>
                <a:camera prst="orthographicFront"/>
                <a:lightRig rig="threePt" dir="t"/>
              </a:scene3d>
              <a:sp3d>
                <a:bevelT/>
              </a:sp3d>
            </c:spPr>
          </c:dPt>
          <c:dPt>
            <c:idx val="2"/>
            <c:bubble3D val="0"/>
            <c:spPr>
              <a:solidFill>
                <a:schemeClr val="accent5"/>
              </a:solidFill>
              <a:ln w="19050">
                <a:solidFill>
                  <a:schemeClr val="lt1"/>
                </a:solidFill>
              </a:ln>
              <a:effectLst/>
              <a:scene3d>
                <a:camera prst="orthographicFront"/>
                <a:lightRig rig="threePt" dir="t"/>
              </a:scene3d>
              <a:sp3d>
                <a:bevelT/>
              </a:sp3d>
            </c:spPr>
          </c:dPt>
          <c:dPt>
            <c:idx val="3"/>
            <c:bubble3D val="0"/>
            <c:spPr>
              <a:solidFill>
                <a:schemeClr val="accent1">
                  <a:lumMod val="60000"/>
                </a:schemeClr>
              </a:solidFill>
              <a:ln w="19050">
                <a:solidFill>
                  <a:schemeClr val="lt1"/>
                </a:solidFill>
              </a:ln>
              <a:effectLst/>
              <a:scene3d>
                <a:camera prst="orthographicFront"/>
                <a:lightRig rig="threePt" dir="t"/>
              </a:scene3d>
              <a:sp3d>
                <a:bevelT/>
              </a:sp3d>
            </c:spPr>
          </c:dPt>
          <c:dPt>
            <c:idx val="4"/>
            <c:bubble3D val="0"/>
            <c:spPr>
              <a:solidFill>
                <a:schemeClr val="accent3">
                  <a:lumMod val="60000"/>
                </a:schemeClr>
              </a:solidFill>
              <a:ln w="19050">
                <a:solidFill>
                  <a:schemeClr val="lt1"/>
                </a:solidFill>
              </a:ln>
              <a:effectLst/>
              <a:scene3d>
                <a:camera prst="orthographicFront"/>
                <a:lightRig rig="threePt" dir="t"/>
              </a:scene3d>
              <a:sp3d>
                <a:bevel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PVT'!$AG$6</c:f>
              <c:strCache>
                <c:ptCount val="1"/>
                <c:pt idx="0">
                  <c:v>Grand Total</c:v>
                </c:pt>
              </c:strCache>
            </c:strRef>
          </c:cat>
          <c:val>
            <c:numRef>
              <c:f>'Sales PVT'!$AH$6</c:f>
              <c:numCache>
                <c:formatCode>#,##0</c:formatCode>
                <c:ptCount val="1"/>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Customer</a:t>
            </a:r>
            <a:r>
              <a:rPr lang="en-CA" sz="1600" b="1" baseline="0">
                <a:solidFill>
                  <a:sysClr val="windowText" lastClr="000000"/>
                </a:solidFill>
              </a:rPr>
              <a:t> Sales History</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a:scene3d>
            <a:camera prst="orthographicFront"/>
            <a:lightRig rig="threePt" dir="t"/>
          </a:scene3d>
          <a:sp3d>
            <a:bevelT/>
          </a:sp3d>
        </c:spPr>
        <c:marker>
          <c:symbol val="none"/>
        </c:marker>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a:scene3d>
            <a:camera prst="orthographicFront"/>
            <a:lightRig rig="threePt" dir="t"/>
          </a:scene3d>
          <a:sp3d>
            <a:bevelT/>
          </a:sp3d>
        </c:spPr>
        <c:marker>
          <c:symbol val="none"/>
        </c:marker>
      </c:pivotFmt>
      <c:pivotFmt>
        <c:idx val="11"/>
        <c:spPr>
          <a:solidFill>
            <a:schemeClr val="accent1"/>
          </a:solidFill>
          <a:ln>
            <a:noFill/>
          </a:ln>
          <a:effectLst/>
          <a:scene3d>
            <a:camera prst="orthographicFront"/>
            <a:lightRig rig="threePt" dir="t"/>
          </a:scene3d>
          <a:sp3d>
            <a:bevelT/>
          </a:sp3d>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clustered"/>
        <c:varyColors val="0"/>
        <c:ser>
          <c:idx val="0"/>
          <c:order val="0"/>
          <c:tx>
            <c:strRef>
              <c:f>'Sales PVT'!$AU$3</c:f>
              <c:strCache>
                <c:ptCount val="1"/>
                <c:pt idx="0">
                  <c:v>Current Year</c:v>
                </c:pt>
              </c:strCache>
            </c:strRef>
          </c:tx>
          <c:spPr>
            <a:solidFill>
              <a:schemeClr val="accent1"/>
            </a:solidFill>
            <a:ln>
              <a:noFill/>
            </a:ln>
            <a:effectLst/>
            <a:scene3d>
              <a:camera prst="orthographicFront"/>
              <a:lightRig rig="threePt" dir="t"/>
            </a:scene3d>
            <a:sp3d>
              <a:bevelT/>
            </a:sp3d>
          </c:spPr>
          <c:invertIfNegative val="0"/>
          <c:cat>
            <c:strRef>
              <c:f>'Sales PVT'!$AT$4:$AT$29</c:f>
              <c:strCache>
                <c:ptCount val="25"/>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GIANT STARSHIP</c:v>
                </c:pt>
                <c:pt idx="10">
                  <c:v>HOTH BASE</c:v>
                </c:pt>
                <c:pt idx="11">
                  <c:v>HOTH REBEL BASE</c:v>
                </c:pt>
                <c:pt idx="12">
                  <c:v>JAKKU COMPANY</c:v>
                </c:pt>
                <c:pt idx="13">
                  <c:v>KAMINO CENTER</c:v>
                </c:pt>
                <c:pt idx="14">
                  <c:v>KASHYYK SHOPPING CENTRE</c:v>
                </c:pt>
                <c:pt idx="15">
                  <c:v>LOTHAL REBEL BASE</c:v>
                </c:pt>
                <c:pt idx="16">
                  <c:v>MUSTAFAAR SYSTEMS</c:v>
                </c:pt>
                <c:pt idx="17">
                  <c:v>MYGEETO BUILDERS</c:v>
                </c:pt>
                <c:pt idx="18">
                  <c:v>NABOO BASE</c:v>
                </c:pt>
                <c:pt idx="19">
                  <c:v>NEUTRAL MAKERS</c:v>
                </c:pt>
                <c:pt idx="20">
                  <c:v>NEW RYLOTH</c:v>
                </c:pt>
                <c:pt idx="21">
                  <c:v>REBELS RULE!</c:v>
                </c:pt>
                <c:pt idx="22">
                  <c:v>TATOOINE BASE 4</c:v>
                </c:pt>
                <c:pt idx="23">
                  <c:v>UTAPAU BASE</c:v>
                </c:pt>
                <c:pt idx="24">
                  <c:v>(blank)</c:v>
                </c:pt>
              </c:strCache>
            </c:strRef>
          </c:cat>
          <c:val>
            <c:numRef>
              <c:f>'Sales PVT'!$AU$4:$AU$29</c:f>
              <c:numCache>
                <c:formatCode>#,##0</c:formatCode>
                <c:ptCount val="25"/>
                <c:pt idx="0">
                  <c:v>125473.46</c:v>
                </c:pt>
                <c:pt idx="1">
                  <c:v>133805.53</c:v>
                </c:pt>
                <c:pt idx="2">
                  <c:v>33888.339999999997</c:v>
                </c:pt>
                <c:pt idx="3">
                  <c:v>47530.36</c:v>
                </c:pt>
                <c:pt idx="4">
                  <c:v>161481.60000000001</c:v>
                </c:pt>
                <c:pt idx="5">
                  <c:v>1369510.26</c:v>
                </c:pt>
                <c:pt idx="6">
                  <c:v>95524.78</c:v>
                </c:pt>
                <c:pt idx="7">
                  <c:v>35439.29</c:v>
                </c:pt>
                <c:pt idx="8">
                  <c:v>82926.820000000007</c:v>
                </c:pt>
                <c:pt idx="9">
                  <c:v>16072.38</c:v>
                </c:pt>
                <c:pt idx="10">
                  <c:v>118663.55</c:v>
                </c:pt>
                <c:pt idx="11">
                  <c:v>6639332.6200000001</c:v>
                </c:pt>
                <c:pt idx="12">
                  <c:v>25344.55</c:v>
                </c:pt>
                <c:pt idx="13">
                  <c:v>120775.64</c:v>
                </c:pt>
                <c:pt idx="14">
                  <c:v>1417727.16</c:v>
                </c:pt>
                <c:pt idx="15">
                  <c:v>116396.19</c:v>
                </c:pt>
                <c:pt idx="16">
                  <c:v>346892.17</c:v>
                </c:pt>
                <c:pt idx="17">
                  <c:v>276360.13</c:v>
                </c:pt>
                <c:pt idx="18">
                  <c:v>16660.64</c:v>
                </c:pt>
                <c:pt idx="19">
                  <c:v>99713.23</c:v>
                </c:pt>
                <c:pt idx="20">
                  <c:v>16118.24</c:v>
                </c:pt>
                <c:pt idx="21">
                  <c:v>59657.14</c:v>
                </c:pt>
                <c:pt idx="22">
                  <c:v>452581.52</c:v>
                </c:pt>
                <c:pt idx="23">
                  <c:v>52721.36</c:v>
                </c:pt>
              </c:numCache>
            </c:numRef>
          </c:val>
        </c:ser>
        <c:ser>
          <c:idx val="1"/>
          <c:order val="1"/>
          <c:tx>
            <c:strRef>
              <c:f>'Sales PVT'!$AV$3</c:f>
              <c:strCache>
                <c:ptCount val="1"/>
                <c:pt idx="0">
                  <c:v>Prior Year</c:v>
                </c:pt>
              </c:strCache>
            </c:strRef>
          </c:tx>
          <c:spPr>
            <a:solidFill>
              <a:schemeClr val="accent2"/>
            </a:solidFill>
            <a:ln>
              <a:noFill/>
            </a:ln>
            <a:effectLst/>
            <a:scene3d>
              <a:camera prst="orthographicFront"/>
              <a:lightRig rig="threePt" dir="t"/>
            </a:scene3d>
            <a:sp3d>
              <a:bevelT/>
            </a:sp3d>
          </c:spPr>
          <c:invertIfNegative val="0"/>
          <c:cat>
            <c:strRef>
              <c:f>'Sales PVT'!$AT$4:$AT$29</c:f>
              <c:strCache>
                <c:ptCount val="25"/>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GIANT STARSHIP</c:v>
                </c:pt>
                <c:pt idx="10">
                  <c:v>HOTH BASE</c:v>
                </c:pt>
                <c:pt idx="11">
                  <c:v>HOTH REBEL BASE</c:v>
                </c:pt>
                <c:pt idx="12">
                  <c:v>JAKKU COMPANY</c:v>
                </c:pt>
                <c:pt idx="13">
                  <c:v>KAMINO CENTER</c:v>
                </c:pt>
                <c:pt idx="14">
                  <c:v>KASHYYK SHOPPING CENTRE</c:v>
                </c:pt>
                <c:pt idx="15">
                  <c:v>LOTHAL REBEL BASE</c:v>
                </c:pt>
                <c:pt idx="16">
                  <c:v>MUSTAFAAR SYSTEMS</c:v>
                </c:pt>
                <c:pt idx="17">
                  <c:v>MYGEETO BUILDERS</c:v>
                </c:pt>
                <c:pt idx="18">
                  <c:v>NABOO BASE</c:v>
                </c:pt>
                <c:pt idx="19">
                  <c:v>NEUTRAL MAKERS</c:v>
                </c:pt>
                <c:pt idx="20">
                  <c:v>NEW RYLOTH</c:v>
                </c:pt>
                <c:pt idx="21">
                  <c:v>REBELS RULE!</c:v>
                </c:pt>
                <c:pt idx="22">
                  <c:v>TATOOINE BASE 4</c:v>
                </c:pt>
                <c:pt idx="23">
                  <c:v>UTAPAU BASE</c:v>
                </c:pt>
                <c:pt idx="24">
                  <c:v>(blank)</c:v>
                </c:pt>
              </c:strCache>
            </c:strRef>
          </c:cat>
          <c:val>
            <c:numRef>
              <c:f>'Sales PVT'!$AV$4:$AV$29</c:f>
              <c:numCache>
                <c:formatCode>#,##0</c:formatCode>
                <c:ptCount val="25"/>
                <c:pt idx="0">
                  <c:v>674679</c:v>
                </c:pt>
                <c:pt idx="1">
                  <c:v>451903</c:v>
                </c:pt>
                <c:pt idx="2">
                  <c:v>314610</c:v>
                </c:pt>
                <c:pt idx="3">
                  <c:v>470107.44</c:v>
                </c:pt>
                <c:pt idx="4">
                  <c:v>21327292</c:v>
                </c:pt>
                <c:pt idx="5">
                  <c:v>27580082.190000001</c:v>
                </c:pt>
                <c:pt idx="6">
                  <c:v>1368756</c:v>
                </c:pt>
                <c:pt idx="7">
                  <c:v>958550.7</c:v>
                </c:pt>
                <c:pt idx="8">
                  <c:v>1355402</c:v>
                </c:pt>
                <c:pt idx="10">
                  <c:v>417329.44</c:v>
                </c:pt>
                <c:pt idx="11">
                  <c:v>74144853.319999993</c:v>
                </c:pt>
                <c:pt idx="12">
                  <c:v>1680008</c:v>
                </c:pt>
                <c:pt idx="13">
                  <c:v>1760892</c:v>
                </c:pt>
                <c:pt idx="14">
                  <c:v>141707660</c:v>
                </c:pt>
                <c:pt idx="15">
                  <c:v>406.62</c:v>
                </c:pt>
                <c:pt idx="16">
                  <c:v>1343569.02</c:v>
                </c:pt>
                <c:pt idx="17">
                  <c:v>4123450</c:v>
                </c:pt>
                <c:pt idx="18">
                  <c:v>2475.27</c:v>
                </c:pt>
                <c:pt idx="19">
                  <c:v>21151.91</c:v>
                </c:pt>
                <c:pt idx="22">
                  <c:v>1365340</c:v>
                </c:pt>
              </c:numCache>
            </c:numRef>
          </c:val>
        </c:ser>
        <c:ser>
          <c:idx val="2"/>
          <c:order val="2"/>
          <c:tx>
            <c:strRef>
              <c:f>'Sales PVT'!$AW$3</c:f>
              <c:strCache>
                <c:ptCount val="1"/>
                <c:pt idx="0">
                  <c:v>Prior Year + 1</c:v>
                </c:pt>
              </c:strCache>
            </c:strRef>
          </c:tx>
          <c:spPr>
            <a:solidFill>
              <a:schemeClr val="accent3"/>
            </a:solidFill>
            <a:ln>
              <a:noFill/>
            </a:ln>
            <a:effectLst/>
          </c:spPr>
          <c:invertIfNegative val="0"/>
          <c:cat>
            <c:strRef>
              <c:f>'Sales PVT'!$AT$4:$AT$29</c:f>
              <c:strCache>
                <c:ptCount val="25"/>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GIANT STARSHIP</c:v>
                </c:pt>
                <c:pt idx="10">
                  <c:v>HOTH BASE</c:v>
                </c:pt>
                <c:pt idx="11">
                  <c:v>HOTH REBEL BASE</c:v>
                </c:pt>
                <c:pt idx="12">
                  <c:v>JAKKU COMPANY</c:v>
                </c:pt>
                <c:pt idx="13">
                  <c:v>KAMINO CENTER</c:v>
                </c:pt>
                <c:pt idx="14">
                  <c:v>KASHYYK SHOPPING CENTRE</c:v>
                </c:pt>
                <c:pt idx="15">
                  <c:v>LOTHAL REBEL BASE</c:v>
                </c:pt>
                <c:pt idx="16">
                  <c:v>MUSTAFAAR SYSTEMS</c:v>
                </c:pt>
                <c:pt idx="17">
                  <c:v>MYGEETO BUILDERS</c:v>
                </c:pt>
                <c:pt idx="18">
                  <c:v>NABOO BASE</c:v>
                </c:pt>
                <c:pt idx="19">
                  <c:v>NEUTRAL MAKERS</c:v>
                </c:pt>
                <c:pt idx="20">
                  <c:v>NEW RYLOTH</c:v>
                </c:pt>
                <c:pt idx="21">
                  <c:v>REBELS RULE!</c:v>
                </c:pt>
                <c:pt idx="22">
                  <c:v>TATOOINE BASE 4</c:v>
                </c:pt>
                <c:pt idx="23">
                  <c:v>UTAPAU BASE</c:v>
                </c:pt>
                <c:pt idx="24">
                  <c:v>(blank)</c:v>
                </c:pt>
              </c:strCache>
            </c:strRef>
          </c:cat>
          <c:val>
            <c:numRef>
              <c:f>'Sales PVT'!$AW$4:$AW$29</c:f>
              <c:numCache>
                <c:formatCode>#,##0</c:formatCode>
                <c:ptCount val="25"/>
                <c:pt idx="11">
                  <c:v>1560888</c:v>
                </c:pt>
              </c:numCache>
            </c:numRef>
          </c:val>
        </c:ser>
        <c:ser>
          <c:idx val="3"/>
          <c:order val="3"/>
          <c:tx>
            <c:strRef>
              <c:f>'Sales PVT'!$AX$3</c:f>
              <c:strCache>
                <c:ptCount val="1"/>
                <c:pt idx="0">
                  <c:v>Prior Year + 2</c:v>
                </c:pt>
              </c:strCache>
            </c:strRef>
          </c:tx>
          <c:spPr>
            <a:solidFill>
              <a:schemeClr val="accent4"/>
            </a:solidFill>
            <a:ln>
              <a:noFill/>
            </a:ln>
            <a:effectLst/>
          </c:spPr>
          <c:invertIfNegative val="0"/>
          <c:cat>
            <c:strRef>
              <c:f>'Sales PVT'!$AT$4:$AT$29</c:f>
              <c:strCache>
                <c:ptCount val="25"/>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GIANT STARSHIP</c:v>
                </c:pt>
                <c:pt idx="10">
                  <c:v>HOTH BASE</c:v>
                </c:pt>
                <c:pt idx="11">
                  <c:v>HOTH REBEL BASE</c:v>
                </c:pt>
                <c:pt idx="12">
                  <c:v>JAKKU COMPANY</c:v>
                </c:pt>
                <c:pt idx="13">
                  <c:v>KAMINO CENTER</c:v>
                </c:pt>
                <c:pt idx="14">
                  <c:v>KASHYYK SHOPPING CENTRE</c:v>
                </c:pt>
                <c:pt idx="15">
                  <c:v>LOTHAL REBEL BASE</c:v>
                </c:pt>
                <c:pt idx="16">
                  <c:v>MUSTAFAAR SYSTEMS</c:v>
                </c:pt>
                <c:pt idx="17">
                  <c:v>MYGEETO BUILDERS</c:v>
                </c:pt>
                <c:pt idx="18">
                  <c:v>NABOO BASE</c:v>
                </c:pt>
                <c:pt idx="19">
                  <c:v>NEUTRAL MAKERS</c:v>
                </c:pt>
                <c:pt idx="20">
                  <c:v>NEW RYLOTH</c:v>
                </c:pt>
                <c:pt idx="21">
                  <c:v>REBELS RULE!</c:v>
                </c:pt>
                <c:pt idx="22">
                  <c:v>TATOOINE BASE 4</c:v>
                </c:pt>
                <c:pt idx="23">
                  <c:v>UTAPAU BASE</c:v>
                </c:pt>
                <c:pt idx="24">
                  <c:v>(blank)</c:v>
                </c:pt>
              </c:strCache>
            </c:strRef>
          </c:cat>
          <c:val>
            <c:numRef>
              <c:f>'Sales PVT'!$AX$4:$AX$29</c:f>
              <c:numCache>
                <c:formatCode>#,##0</c:formatCode>
                <c:ptCount val="25"/>
              </c:numCache>
            </c:numRef>
          </c:val>
        </c:ser>
        <c:ser>
          <c:idx val="4"/>
          <c:order val="4"/>
          <c:tx>
            <c:strRef>
              <c:f>'Sales PVT'!$AY$3</c:f>
              <c:strCache>
                <c:ptCount val="1"/>
                <c:pt idx="0">
                  <c:v>Year + 3</c:v>
                </c:pt>
              </c:strCache>
            </c:strRef>
          </c:tx>
          <c:spPr>
            <a:solidFill>
              <a:schemeClr val="accent5"/>
            </a:solidFill>
            <a:ln>
              <a:noFill/>
            </a:ln>
            <a:effectLst/>
          </c:spPr>
          <c:invertIfNegative val="0"/>
          <c:cat>
            <c:strRef>
              <c:f>'Sales PVT'!$AT$4:$AT$29</c:f>
              <c:strCache>
                <c:ptCount val="25"/>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GIANT STARSHIP</c:v>
                </c:pt>
                <c:pt idx="10">
                  <c:v>HOTH BASE</c:v>
                </c:pt>
                <c:pt idx="11">
                  <c:v>HOTH REBEL BASE</c:v>
                </c:pt>
                <c:pt idx="12">
                  <c:v>JAKKU COMPANY</c:v>
                </c:pt>
                <c:pt idx="13">
                  <c:v>KAMINO CENTER</c:v>
                </c:pt>
                <c:pt idx="14">
                  <c:v>KASHYYK SHOPPING CENTRE</c:v>
                </c:pt>
                <c:pt idx="15">
                  <c:v>LOTHAL REBEL BASE</c:v>
                </c:pt>
                <c:pt idx="16">
                  <c:v>MUSTAFAAR SYSTEMS</c:v>
                </c:pt>
                <c:pt idx="17">
                  <c:v>MYGEETO BUILDERS</c:v>
                </c:pt>
                <c:pt idx="18">
                  <c:v>NABOO BASE</c:v>
                </c:pt>
                <c:pt idx="19">
                  <c:v>NEUTRAL MAKERS</c:v>
                </c:pt>
                <c:pt idx="20">
                  <c:v>NEW RYLOTH</c:v>
                </c:pt>
                <c:pt idx="21">
                  <c:v>REBELS RULE!</c:v>
                </c:pt>
                <c:pt idx="22">
                  <c:v>TATOOINE BASE 4</c:v>
                </c:pt>
                <c:pt idx="23">
                  <c:v>UTAPAU BASE</c:v>
                </c:pt>
                <c:pt idx="24">
                  <c:v>(blank)</c:v>
                </c:pt>
              </c:strCache>
            </c:strRef>
          </c:cat>
          <c:val>
            <c:numRef>
              <c:f>'Sales PVT'!$AY$4:$AY$29</c:f>
              <c:numCache>
                <c:formatCode>#,##0</c:formatCode>
                <c:ptCount val="25"/>
              </c:numCache>
            </c:numRef>
          </c:val>
        </c:ser>
        <c:dLbls>
          <c:showLegendKey val="0"/>
          <c:showVal val="0"/>
          <c:showCatName val="0"/>
          <c:showSerName val="0"/>
          <c:showPercent val="0"/>
          <c:showBubbleSize val="0"/>
        </c:dLbls>
        <c:gapWidth val="219"/>
        <c:overlap val="-27"/>
        <c:axId val="560536392"/>
        <c:axId val="560532864"/>
      </c:barChart>
      <c:catAx>
        <c:axId val="560536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32864"/>
        <c:crosses val="autoZero"/>
        <c:auto val="1"/>
        <c:lblAlgn val="ctr"/>
        <c:lblOffset val="100"/>
        <c:noMultiLvlLbl val="0"/>
      </c:catAx>
      <c:valAx>
        <c:axId val="5605328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363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shade val="50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Customer Sales</a:t>
            </a:r>
            <a:r>
              <a:rPr lang="en-CA" sz="1600" b="1" baseline="0">
                <a:solidFill>
                  <a:sysClr val="windowText" lastClr="000000"/>
                </a:solidFill>
              </a:rPr>
              <a:t> and Open Orders</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a:scene3d>
            <a:camera prst="orthographicFront"/>
            <a:lightRig rig="threePt" dir="t"/>
          </a:scene3d>
          <a:sp3d>
            <a:bevelT/>
          </a:sp3d>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'Sales PVT'!$BD$5</c:f>
              <c:strCache>
                <c:ptCount val="1"/>
                <c:pt idx="0">
                  <c:v>Sales</c:v>
                </c:pt>
              </c:strCache>
            </c:strRef>
          </c:tx>
          <c:spPr>
            <a:solidFill>
              <a:schemeClr val="accent1"/>
            </a:solidFill>
            <a:ln>
              <a:noFill/>
            </a:ln>
            <a:effectLst/>
            <a:scene3d>
              <a:camera prst="orthographicFront"/>
              <a:lightRig rig="threePt" dir="t"/>
            </a:scene3d>
            <a:sp3d>
              <a:bevelT/>
            </a:sp3d>
          </c:spPr>
          <c:invertIfNegative val="0"/>
          <c:cat>
            <c:strRef>
              <c:f>'Sales PVT'!$BC$6:$BC$27</c:f>
              <c:strCache>
                <c:ptCount val="21"/>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HOTH BASE</c:v>
                </c:pt>
                <c:pt idx="10">
                  <c:v>HOTH REBEL BASE</c:v>
                </c:pt>
                <c:pt idx="11">
                  <c:v>JAKKU COMPANY</c:v>
                </c:pt>
                <c:pt idx="12">
                  <c:v>KAMINO CENTER</c:v>
                </c:pt>
                <c:pt idx="13">
                  <c:v>KASHYYK SHOPPING CENTRE</c:v>
                </c:pt>
                <c:pt idx="14">
                  <c:v>LOTHAL REBEL BASE</c:v>
                </c:pt>
                <c:pt idx="15">
                  <c:v>MUSTAFAAR SYSTEMS</c:v>
                </c:pt>
                <c:pt idx="16">
                  <c:v>MYGEETO BUILDERS</c:v>
                </c:pt>
                <c:pt idx="17">
                  <c:v>NABOO BASE</c:v>
                </c:pt>
                <c:pt idx="18">
                  <c:v>NEUTRAL MAKERS</c:v>
                </c:pt>
                <c:pt idx="19">
                  <c:v>TATOOINE BASE 4</c:v>
                </c:pt>
                <c:pt idx="20">
                  <c:v>(blank)</c:v>
                </c:pt>
              </c:strCache>
            </c:strRef>
          </c:cat>
          <c:val>
            <c:numRef>
              <c:f>'Sales PVT'!$BD$6:$BD$27</c:f>
              <c:numCache>
                <c:formatCode>#,##0</c:formatCode>
                <c:ptCount val="21"/>
                <c:pt idx="0">
                  <c:v>674679</c:v>
                </c:pt>
                <c:pt idx="1">
                  <c:v>451903</c:v>
                </c:pt>
                <c:pt idx="2">
                  <c:v>314610</c:v>
                </c:pt>
                <c:pt idx="3">
                  <c:v>465180</c:v>
                </c:pt>
                <c:pt idx="4">
                  <c:v>21327292</c:v>
                </c:pt>
                <c:pt idx="5">
                  <c:v>27577841</c:v>
                </c:pt>
                <c:pt idx="6">
                  <c:v>1368756</c:v>
                </c:pt>
                <c:pt idx="7">
                  <c:v>957873</c:v>
                </c:pt>
                <c:pt idx="8">
                  <c:v>1355402</c:v>
                </c:pt>
                <c:pt idx="9">
                  <c:v>417328</c:v>
                </c:pt>
                <c:pt idx="10">
                  <c:v>74128402</c:v>
                </c:pt>
                <c:pt idx="11">
                  <c:v>1680008</c:v>
                </c:pt>
                <c:pt idx="12">
                  <c:v>1760892</c:v>
                </c:pt>
                <c:pt idx="13">
                  <c:v>141707660</c:v>
                </c:pt>
                <c:pt idx="15">
                  <c:v>1339471</c:v>
                </c:pt>
                <c:pt idx="16">
                  <c:v>4123450</c:v>
                </c:pt>
                <c:pt idx="19">
                  <c:v>1365340</c:v>
                </c:pt>
                <c:pt idx="20">
                  <c:v>480592</c:v>
                </c:pt>
              </c:numCache>
            </c:numRef>
          </c:val>
        </c:ser>
        <c:ser>
          <c:idx val="1"/>
          <c:order val="1"/>
          <c:tx>
            <c:strRef>
              <c:f>'Sales PVT'!$BE$5</c:f>
              <c:strCache>
                <c:ptCount val="1"/>
                <c:pt idx="0">
                  <c:v>Open Orders</c:v>
                </c:pt>
              </c:strCache>
            </c:strRef>
          </c:tx>
          <c:spPr>
            <a:solidFill>
              <a:schemeClr val="accent2"/>
            </a:solidFill>
            <a:ln>
              <a:noFill/>
            </a:ln>
            <a:effectLst/>
          </c:spPr>
          <c:invertIfNegative val="0"/>
          <c:cat>
            <c:strRef>
              <c:f>'Sales PVT'!$BC$6:$BC$27</c:f>
              <c:strCache>
                <c:ptCount val="21"/>
                <c:pt idx="0">
                  <c:v>ALDERAAN AIRPORT</c:v>
                </c:pt>
                <c:pt idx="1">
                  <c:v>BESPIN BASE</c:v>
                </c:pt>
                <c:pt idx="2">
                  <c:v>CORUSCANT CRATER</c:v>
                </c:pt>
                <c:pt idx="3">
                  <c:v>DAGOBAH</c:v>
                </c:pt>
                <c:pt idx="4">
                  <c:v>DATHOMIR CRADLE</c:v>
                </c:pt>
                <c:pt idx="5">
                  <c:v>DEATH STAR BUILDERS</c:v>
                </c:pt>
                <c:pt idx="6">
                  <c:v>ENDOR BASE</c:v>
                </c:pt>
                <c:pt idx="7">
                  <c:v>FELUCIA BASE</c:v>
                </c:pt>
                <c:pt idx="8">
                  <c:v>GEONOSIS FACTORY</c:v>
                </c:pt>
                <c:pt idx="9">
                  <c:v>HOTH BASE</c:v>
                </c:pt>
                <c:pt idx="10">
                  <c:v>HOTH REBEL BASE</c:v>
                </c:pt>
                <c:pt idx="11">
                  <c:v>JAKKU COMPANY</c:v>
                </c:pt>
                <c:pt idx="12">
                  <c:v>KAMINO CENTER</c:v>
                </c:pt>
                <c:pt idx="13">
                  <c:v>KASHYYK SHOPPING CENTRE</c:v>
                </c:pt>
                <c:pt idx="14">
                  <c:v>LOTHAL REBEL BASE</c:v>
                </c:pt>
                <c:pt idx="15">
                  <c:v>MUSTAFAAR SYSTEMS</c:v>
                </c:pt>
                <c:pt idx="16">
                  <c:v>MYGEETO BUILDERS</c:v>
                </c:pt>
                <c:pt idx="17">
                  <c:v>NABOO BASE</c:v>
                </c:pt>
                <c:pt idx="18">
                  <c:v>NEUTRAL MAKERS</c:v>
                </c:pt>
                <c:pt idx="19">
                  <c:v>TATOOINE BASE 4</c:v>
                </c:pt>
                <c:pt idx="20">
                  <c:v>(blank)</c:v>
                </c:pt>
              </c:strCache>
            </c:strRef>
          </c:cat>
          <c:val>
            <c:numRef>
              <c:f>'Sales PVT'!$BE$6:$BE$27</c:f>
              <c:numCache>
                <c:formatCode>#,##0</c:formatCode>
                <c:ptCount val="21"/>
                <c:pt idx="3">
                  <c:v>4927.4399999999996</c:v>
                </c:pt>
                <c:pt idx="5">
                  <c:v>2241.19</c:v>
                </c:pt>
                <c:pt idx="7">
                  <c:v>677.7</c:v>
                </c:pt>
                <c:pt idx="9">
                  <c:v>1.44</c:v>
                </c:pt>
                <c:pt idx="10">
                  <c:v>16451.32</c:v>
                </c:pt>
                <c:pt idx="14">
                  <c:v>406.62</c:v>
                </c:pt>
                <c:pt idx="15">
                  <c:v>4098.0200000000004</c:v>
                </c:pt>
                <c:pt idx="17">
                  <c:v>2475.27</c:v>
                </c:pt>
                <c:pt idx="18">
                  <c:v>21151.91</c:v>
                </c:pt>
              </c:numCache>
            </c:numRef>
          </c:val>
        </c:ser>
        <c:dLbls>
          <c:showLegendKey val="0"/>
          <c:showVal val="0"/>
          <c:showCatName val="0"/>
          <c:showSerName val="0"/>
          <c:showPercent val="0"/>
          <c:showBubbleSize val="0"/>
        </c:dLbls>
        <c:gapWidth val="219"/>
        <c:overlap val="-27"/>
        <c:axId val="560534040"/>
        <c:axId val="560529728"/>
      </c:barChart>
      <c:catAx>
        <c:axId val="560534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29728"/>
        <c:crosses val="autoZero"/>
        <c:auto val="1"/>
        <c:lblAlgn val="ctr"/>
        <c:lblOffset val="100"/>
        <c:noMultiLvlLbl val="0"/>
      </c:catAx>
      <c:valAx>
        <c:axId val="560529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34040"/>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shade val="50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SALES</a:t>
            </a:r>
            <a:r>
              <a:rPr lang="en-US" sz="1600" b="1" baseline="0">
                <a:solidFill>
                  <a:sysClr val="windowText" lastClr="000000"/>
                </a:solidFill>
              </a:rPr>
              <a:t> BY PRODUCT LINE</a:t>
            </a:r>
            <a:endParaRPr lang="en-U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PVT'!$BJ$5</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PVT'!$BI$6:$BI$8</c:f>
              <c:strCache>
                <c:ptCount val="2"/>
                <c:pt idx="0">
                  <c:v>FG</c:v>
                </c:pt>
                <c:pt idx="1">
                  <c:v>RM</c:v>
                </c:pt>
              </c:strCache>
            </c:strRef>
          </c:cat>
          <c:val>
            <c:numRef>
              <c:f>'Sales PVT'!$BJ$6:$BJ$8</c:f>
              <c:numCache>
                <c:formatCode>#,##0</c:formatCode>
                <c:ptCount val="2"/>
                <c:pt idx="0">
                  <c:v>283375450</c:v>
                </c:pt>
                <c:pt idx="1">
                  <c:v>10845804</c:v>
                </c:pt>
              </c:numCache>
            </c:numRef>
          </c:val>
        </c:ser>
        <c:dLbls>
          <c:showLegendKey val="0"/>
          <c:showVal val="0"/>
          <c:showCatName val="0"/>
          <c:showSerName val="0"/>
          <c:showPercent val="0"/>
          <c:showBubbleSize val="0"/>
        </c:dLbls>
        <c:gapWidth val="182"/>
        <c:axId val="560526200"/>
        <c:axId val="560526592"/>
      </c:barChart>
      <c:catAx>
        <c:axId val="560526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26592"/>
        <c:crosses val="autoZero"/>
        <c:auto val="1"/>
        <c:lblAlgn val="ctr"/>
        <c:lblOffset val="100"/>
        <c:noMultiLvlLbl val="0"/>
      </c:catAx>
      <c:valAx>
        <c:axId val="56052659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60526200"/>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shade val="50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PVT!PivotTable10</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BUDGET</a:t>
            </a:r>
            <a:r>
              <a:rPr lang="en-CA" sz="1600" b="1" baseline="0">
                <a:solidFill>
                  <a:sysClr val="windowText" lastClr="000000"/>
                </a:solidFill>
              </a:rPr>
              <a:t> VS ACTUAL % - TOP 10</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PVT'!$BS$5</c:f>
              <c:strCache>
                <c:ptCount val="1"/>
                <c:pt idx="0">
                  <c:v>Budget % Achieved</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PVT'!$BR$6:$BR$7</c:f>
              <c:strCache>
                <c:ptCount val="1"/>
                <c:pt idx="0">
                  <c:v>TOP10</c:v>
                </c:pt>
              </c:strCache>
            </c:strRef>
          </c:cat>
          <c:val>
            <c:numRef>
              <c:f>'Sales PVT'!$BS$6:$BS$7</c:f>
              <c:numCache>
                <c:formatCode>#,##0.00</c:formatCode>
                <c:ptCount val="1"/>
                <c:pt idx="0">
                  <c:v>6.56</c:v>
                </c:pt>
              </c:numCache>
            </c:numRef>
          </c:val>
        </c:ser>
        <c:ser>
          <c:idx val="1"/>
          <c:order val="1"/>
          <c:tx>
            <c:strRef>
              <c:f>'Sales PVT'!$BT$5</c:f>
              <c:strCache>
                <c:ptCount val="1"/>
                <c:pt idx="0">
                  <c:v>Below Budget</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PVT'!$BR$6:$BR$7</c:f>
              <c:strCache>
                <c:ptCount val="1"/>
                <c:pt idx="0">
                  <c:v>TOP10</c:v>
                </c:pt>
              </c:strCache>
            </c:strRef>
          </c:cat>
          <c:val>
            <c:numRef>
              <c:f>'Sales PVT'!$BT$6:$BT$7</c:f>
              <c:numCache>
                <c:formatCode>#,##0.00</c:formatCode>
                <c:ptCount val="1"/>
                <c:pt idx="0">
                  <c:v>93.44</c:v>
                </c:pt>
              </c:numCache>
            </c:numRef>
          </c:val>
        </c:ser>
        <c:dLbls>
          <c:showLegendKey val="0"/>
          <c:showVal val="0"/>
          <c:showCatName val="0"/>
          <c:showSerName val="0"/>
          <c:showPercent val="0"/>
          <c:showBubbleSize val="0"/>
        </c:dLbls>
        <c:gapWidth val="150"/>
        <c:overlap val="100"/>
        <c:axId val="559469992"/>
        <c:axId val="559472736"/>
      </c:barChart>
      <c:catAx>
        <c:axId val="559469992"/>
        <c:scaling>
          <c:orientation val="minMax"/>
        </c:scaling>
        <c:delete val="1"/>
        <c:axPos val="b"/>
        <c:numFmt formatCode="General" sourceLinked="1"/>
        <c:majorTickMark val="none"/>
        <c:minorTickMark val="none"/>
        <c:tickLblPos val="nextTo"/>
        <c:crossAx val="559472736"/>
        <c:crosses val="autoZero"/>
        <c:auto val="1"/>
        <c:lblAlgn val="ctr"/>
        <c:lblOffset val="100"/>
        <c:noMultiLvlLbl val="0"/>
      </c:catAx>
      <c:valAx>
        <c:axId val="559472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t>
                </a:r>
                <a:r>
                  <a:rPr lang="en-CA" baseline="0"/>
                  <a:t> </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946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BUDGET</a:t>
            </a:r>
            <a:r>
              <a:rPr lang="en-CA" sz="1600" b="1" baseline="0">
                <a:solidFill>
                  <a:sysClr val="windowText" lastClr="000000"/>
                </a:solidFill>
              </a:rPr>
              <a:t> VS ACTUAL % - RISING STAR </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PVT'!$BX$5</c:f>
              <c:strCache>
                <c:ptCount val="1"/>
                <c:pt idx="0">
                  <c:v>Budget % Achieved</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PVT'!$BW$6:$BW$7</c:f>
              <c:strCache>
                <c:ptCount val="1"/>
                <c:pt idx="0">
                  <c:v>RISING STAR</c:v>
                </c:pt>
              </c:strCache>
            </c:strRef>
          </c:cat>
          <c:val>
            <c:numRef>
              <c:f>'Sales PVT'!$BX$6:$BX$7</c:f>
              <c:numCache>
                <c:formatCode>#,##0</c:formatCode>
                <c:ptCount val="1"/>
                <c:pt idx="0">
                  <c:v>40.39</c:v>
                </c:pt>
              </c:numCache>
            </c:numRef>
          </c:val>
        </c:ser>
        <c:ser>
          <c:idx val="1"/>
          <c:order val="1"/>
          <c:tx>
            <c:strRef>
              <c:f>'Sales PVT'!$BY$5</c:f>
              <c:strCache>
                <c:ptCount val="1"/>
                <c:pt idx="0">
                  <c:v>Below Budget %</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PVT'!$BW$6:$BW$7</c:f>
              <c:strCache>
                <c:ptCount val="1"/>
                <c:pt idx="0">
                  <c:v>RISING STAR</c:v>
                </c:pt>
              </c:strCache>
            </c:strRef>
          </c:cat>
          <c:val>
            <c:numRef>
              <c:f>'Sales PVT'!$BY$6:$BY$7</c:f>
              <c:numCache>
                <c:formatCode>#,##0</c:formatCode>
                <c:ptCount val="1"/>
                <c:pt idx="0">
                  <c:v>59.61</c:v>
                </c:pt>
              </c:numCache>
            </c:numRef>
          </c:val>
        </c:ser>
        <c:dLbls>
          <c:dLblPos val="ctr"/>
          <c:showLegendKey val="0"/>
          <c:showVal val="1"/>
          <c:showCatName val="0"/>
          <c:showSerName val="0"/>
          <c:showPercent val="0"/>
          <c:showBubbleSize val="0"/>
        </c:dLbls>
        <c:gapWidth val="150"/>
        <c:overlap val="100"/>
        <c:axId val="559470776"/>
        <c:axId val="559474304"/>
      </c:barChart>
      <c:catAx>
        <c:axId val="559470776"/>
        <c:scaling>
          <c:orientation val="minMax"/>
        </c:scaling>
        <c:delete val="1"/>
        <c:axPos val="b"/>
        <c:numFmt formatCode="General" sourceLinked="1"/>
        <c:majorTickMark val="none"/>
        <c:minorTickMark val="none"/>
        <c:tickLblPos val="nextTo"/>
        <c:crossAx val="559474304"/>
        <c:crosses val="autoZero"/>
        <c:auto val="1"/>
        <c:lblAlgn val="ctr"/>
        <c:lblOffset val="100"/>
        <c:noMultiLvlLbl val="0"/>
      </c:catAx>
      <c:valAx>
        <c:axId val="559474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947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i="0" baseline="0">
                <a:solidFill>
                  <a:sysClr val="windowText" lastClr="000000"/>
                </a:solidFill>
                <a:effectLst/>
              </a:rPr>
              <a:t>BUDGET VS ACTUAL % - TARGET</a:t>
            </a:r>
            <a:endParaRPr lang="en-CA" sz="1600" b="1">
              <a:solidFill>
                <a:sysClr val="windowText" lastClr="000000"/>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PVT'!$CC$5</c:f>
              <c:strCache>
                <c:ptCount val="1"/>
                <c:pt idx="0">
                  <c:v>Budget % Achieved</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PVT'!$CB$6:$CB$7</c:f>
              <c:strCache>
                <c:ptCount val="1"/>
                <c:pt idx="0">
                  <c:v>TARGET</c:v>
                </c:pt>
              </c:strCache>
            </c:strRef>
          </c:cat>
          <c:val>
            <c:numRef>
              <c:f>'Sales PVT'!$CC$6:$CC$7</c:f>
              <c:numCache>
                <c:formatCode>#,##0</c:formatCode>
                <c:ptCount val="1"/>
                <c:pt idx="0">
                  <c:v>26.03</c:v>
                </c:pt>
              </c:numCache>
            </c:numRef>
          </c:val>
        </c:ser>
        <c:ser>
          <c:idx val="1"/>
          <c:order val="1"/>
          <c:tx>
            <c:strRef>
              <c:f>'Sales PVT'!$CD$5</c:f>
              <c:strCache>
                <c:ptCount val="1"/>
                <c:pt idx="0">
                  <c:v>Below Budget %</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PVT'!$CB$6:$CB$7</c:f>
              <c:strCache>
                <c:ptCount val="1"/>
                <c:pt idx="0">
                  <c:v>TARGET</c:v>
                </c:pt>
              </c:strCache>
            </c:strRef>
          </c:cat>
          <c:val>
            <c:numRef>
              <c:f>'Sales PVT'!$CD$6:$CD$7</c:f>
              <c:numCache>
                <c:formatCode>#,##0</c:formatCode>
                <c:ptCount val="1"/>
                <c:pt idx="0">
                  <c:v>73.97</c:v>
                </c:pt>
              </c:numCache>
            </c:numRef>
          </c:val>
        </c:ser>
        <c:dLbls>
          <c:dLblPos val="ctr"/>
          <c:showLegendKey val="0"/>
          <c:showVal val="1"/>
          <c:showCatName val="0"/>
          <c:showSerName val="0"/>
          <c:showPercent val="0"/>
          <c:showBubbleSize val="0"/>
        </c:dLbls>
        <c:gapWidth val="150"/>
        <c:overlap val="100"/>
        <c:axId val="559473912"/>
        <c:axId val="559475872"/>
      </c:barChart>
      <c:catAx>
        <c:axId val="559473912"/>
        <c:scaling>
          <c:orientation val="minMax"/>
        </c:scaling>
        <c:delete val="1"/>
        <c:axPos val="b"/>
        <c:numFmt formatCode="General" sourceLinked="1"/>
        <c:majorTickMark val="none"/>
        <c:minorTickMark val="none"/>
        <c:tickLblPos val="nextTo"/>
        <c:crossAx val="559475872"/>
        <c:crosses val="autoZero"/>
        <c:auto val="1"/>
        <c:lblAlgn val="ctr"/>
        <c:lblOffset val="100"/>
        <c:noMultiLvlLbl val="0"/>
      </c:catAx>
      <c:valAx>
        <c:axId val="559475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9473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PVT!PivotTable13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BUDGET</a:t>
            </a:r>
            <a:r>
              <a:rPr lang="en-CA" sz="1600" b="1" baseline="0">
                <a:solidFill>
                  <a:sysClr val="windowText" lastClr="000000"/>
                </a:solidFill>
              </a:rPr>
              <a:t> VS ACTUAL % - OTHER</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stacked"/>
        <c:varyColors val="0"/>
        <c:ser>
          <c:idx val="0"/>
          <c:order val="0"/>
          <c:tx>
            <c:strRef>
              <c:f>'Sales PVT'!$CH$5</c:f>
              <c:strCache>
                <c:ptCount val="1"/>
                <c:pt idx="0">
                  <c:v>% of Budget</c:v>
                </c:pt>
              </c:strCache>
            </c:strRef>
          </c:tx>
          <c:spPr>
            <a:solidFill>
              <a:schemeClr val="accent1"/>
            </a:solidFill>
            <a:ln>
              <a:noFill/>
            </a:ln>
            <a:effectLst/>
          </c:spPr>
          <c:invertIfNegative val="0"/>
          <c:cat>
            <c:strRef>
              <c:f>'Sales PVT'!$CG$6:$CG$7</c:f>
              <c:strCache>
                <c:ptCount val="1"/>
                <c:pt idx="0">
                  <c:v>(blank)</c:v>
                </c:pt>
              </c:strCache>
            </c:strRef>
          </c:cat>
          <c:val>
            <c:numRef>
              <c:f>'Sales PVT'!$CH$6:$CH$7</c:f>
              <c:numCache>
                <c:formatCode>#,##0</c:formatCode>
                <c:ptCount val="1"/>
              </c:numCache>
            </c:numRef>
          </c:val>
        </c:ser>
        <c:ser>
          <c:idx val="1"/>
          <c:order val="1"/>
          <c:tx>
            <c:strRef>
              <c:f>'Sales PVT'!$CI$5</c:f>
              <c:strCache>
                <c:ptCount val="1"/>
                <c:pt idx="0">
                  <c:v>Below Budget %</c:v>
                </c:pt>
              </c:strCache>
            </c:strRef>
          </c:tx>
          <c:spPr>
            <a:solidFill>
              <a:schemeClr val="accent2"/>
            </a:solidFill>
            <a:ln>
              <a:noFill/>
            </a:ln>
            <a:effectLst/>
          </c:spPr>
          <c:invertIfNegative val="0"/>
          <c:cat>
            <c:strRef>
              <c:f>'Sales PVT'!$CG$6:$CG$7</c:f>
              <c:strCache>
                <c:ptCount val="1"/>
                <c:pt idx="0">
                  <c:v>(blank)</c:v>
                </c:pt>
              </c:strCache>
            </c:strRef>
          </c:cat>
          <c:val>
            <c:numRef>
              <c:f>'Sales PVT'!$CI$6:$CI$7</c:f>
              <c:numCache>
                <c:formatCode>#,##0</c:formatCode>
                <c:ptCount val="1"/>
              </c:numCache>
            </c:numRef>
          </c:val>
        </c:ser>
        <c:dLbls>
          <c:showLegendKey val="0"/>
          <c:showVal val="0"/>
          <c:showCatName val="0"/>
          <c:showSerName val="0"/>
          <c:showPercent val="0"/>
          <c:showBubbleSize val="0"/>
        </c:dLbls>
        <c:gapWidth val="150"/>
        <c:overlap val="100"/>
        <c:axId val="559475088"/>
        <c:axId val="559468424"/>
      </c:barChart>
      <c:catAx>
        <c:axId val="55947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8424"/>
        <c:crosses val="autoZero"/>
        <c:auto val="1"/>
        <c:lblAlgn val="ctr"/>
        <c:lblOffset val="100"/>
        <c:noMultiLvlLbl val="0"/>
      </c:catAx>
      <c:valAx>
        <c:axId val="559468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559475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PVT!PivotTable28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GM % per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a:scene3d>
            <a:camera prst="orthographicFront"/>
            <a:lightRig rig="threePt" dir="t"/>
          </a:scene3d>
          <a:sp3d>
            <a:bevelT/>
          </a:sp3d>
        </c:spPr>
        <c:marker>
          <c:symbol val="none"/>
        </c:marker>
      </c:pivotFmt>
    </c:pivotFmts>
    <c:plotArea>
      <c:layout/>
      <c:barChart>
        <c:barDir val="col"/>
        <c:grouping val="clustered"/>
        <c:varyColors val="0"/>
        <c:ser>
          <c:idx val="0"/>
          <c:order val="0"/>
          <c:tx>
            <c:strRef>
              <c:f>'Sales PVT'!$BN$5</c:f>
              <c:strCache>
                <c:ptCount val="1"/>
                <c:pt idx="0">
                  <c:v>Total</c:v>
                </c:pt>
              </c:strCache>
            </c:strRef>
          </c:tx>
          <c:spPr>
            <a:solidFill>
              <a:schemeClr val="accent1"/>
            </a:solidFill>
            <a:ln>
              <a:noFill/>
            </a:ln>
            <a:effectLst/>
            <a:scene3d>
              <a:camera prst="orthographicFront"/>
              <a:lightRig rig="threePt" dir="t"/>
            </a:scene3d>
            <a:sp3d>
              <a:bevelT/>
            </a:sp3d>
          </c:spPr>
          <c:invertIfNegative val="0"/>
          <c:cat>
            <c:multiLvlStrRef>
              <c:f>'Sales PVT'!$BM$6:$BM$14</c:f>
              <c:multiLvlStrCache>
                <c:ptCount val="5"/>
                <c:lvl>
                  <c:pt idx="0">
                    <c:v>FG</c:v>
                  </c:pt>
                  <c:pt idx="1">
                    <c:v>FG</c:v>
                  </c:pt>
                  <c:pt idx="2">
                    <c:v>RM</c:v>
                  </c:pt>
                  <c:pt idx="3">
                    <c:v>FG</c:v>
                  </c:pt>
                  <c:pt idx="4">
                    <c:v>RM</c:v>
                  </c:pt>
                </c:lvl>
                <c:lvl>
                  <c:pt idx="0">
                    <c:v>2014</c:v>
                  </c:pt>
                  <c:pt idx="1">
                    <c:v>2015</c:v>
                  </c:pt>
                  <c:pt idx="3">
                    <c:v>2016</c:v>
                  </c:pt>
                </c:lvl>
              </c:multiLvlStrCache>
            </c:multiLvlStrRef>
          </c:cat>
          <c:val>
            <c:numRef>
              <c:f>'Sales PVT'!$BN$6:$BN$14</c:f>
              <c:numCache>
                <c:formatCode>#,##0.00</c:formatCode>
                <c:ptCount val="5"/>
                <c:pt idx="0">
                  <c:v>0</c:v>
                </c:pt>
                <c:pt idx="1">
                  <c:v>42.31</c:v>
                </c:pt>
                <c:pt idx="2">
                  <c:v>28.91</c:v>
                </c:pt>
                <c:pt idx="3">
                  <c:v>43.11</c:v>
                </c:pt>
                <c:pt idx="4">
                  <c:v>18.72</c:v>
                </c:pt>
              </c:numCache>
            </c:numRef>
          </c:val>
        </c:ser>
        <c:dLbls>
          <c:showLegendKey val="0"/>
          <c:showVal val="0"/>
          <c:showCatName val="0"/>
          <c:showSerName val="0"/>
          <c:showPercent val="0"/>
          <c:showBubbleSize val="0"/>
        </c:dLbls>
        <c:gapWidth val="219"/>
        <c:overlap val="-27"/>
        <c:axId val="559473128"/>
        <c:axId val="559467248"/>
      </c:barChart>
      <c:catAx>
        <c:axId val="559473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7248"/>
        <c:crosses val="autoZero"/>
        <c:auto val="1"/>
        <c:lblAlgn val="ctr"/>
        <c:lblOffset val="100"/>
        <c:noMultiLvlLbl val="0"/>
      </c:catAx>
      <c:valAx>
        <c:axId val="559467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3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[KPI-CCC.xlsm]GL Data!PivotTable1</c:name>
    <c:fmtId val="13"/>
  </c:pivotSource>
  <c:chart>
    <c:title>
      <c:tx>
        <c:rich>
          <a:bodyPr rot="0" spcFirstLastPara="1" vertOverflow="ellipsis" vert="horz" wrap="square" anchor="ctr" anchorCtr="1"/>
          <a:lstStyle/>
          <a:p>
            <a:pPr algn="ctr" rtl="0">
              <a:defRPr lang="en-CA" sz="1600" b="1" i="0" u="none" strike="noStrike" kern="1200" spc="0" baseline="0">
                <a:solidFill>
                  <a:schemeClr val="accent5">
                    <a:lumMod val="75000"/>
                  </a:schemeClr>
                </a:solidFill>
                <a:latin typeface="+mn-lt"/>
                <a:ea typeface="+mn-ea"/>
                <a:cs typeface="+mn-cs"/>
              </a:defRPr>
            </a:pPr>
            <a:r>
              <a:rPr lang="en-CA" sz="1600" b="1" i="0" u="none" strike="noStrike" kern="1200" spc="0" baseline="0">
                <a:solidFill>
                  <a:sysClr val="windowText" lastClr="000000"/>
                </a:solidFill>
                <a:latin typeface="+mn-lt"/>
                <a:ea typeface="+mn-ea"/>
                <a:cs typeface="+mn-cs"/>
              </a:rPr>
              <a:t>EBITDA &amp; OH % of SALES</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chemeClr val="accent5">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threePt" dir="t"/>
          </a:scene3d>
          <a:sp3d>
            <a:bevelT/>
          </a:sp3d>
        </c:spPr>
        <c:marker>
          <c:symbol val="none"/>
        </c:marker>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'GL Data'!$AE$1</c:f>
              <c:strCache>
                <c:ptCount val="1"/>
                <c:pt idx="0">
                  <c:v>OH </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Data'!$AE$2:$AE$10</c:f>
              <c:numCache>
                <c:formatCode>"$"#,##0</c:formatCode>
                <c:ptCount val="6"/>
                <c:pt idx="0">
                  <c:v>0</c:v>
                </c:pt>
                <c:pt idx="1">
                  <c:v>0</c:v>
                </c:pt>
                <c:pt idx="2">
                  <c:v>0</c:v>
                </c:pt>
                <c:pt idx="3">
                  <c:v>0</c:v>
                </c:pt>
                <c:pt idx="4">
                  <c:v>0</c:v>
                </c:pt>
                <c:pt idx="5">
                  <c:v>0</c:v>
                </c:pt>
              </c:numCache>
            </c:numRef>
          </c:val>
        </c:ser>
        <c:ser>
          <c:idx val="1"/>
          <c:order val="1"/>
          <c:tx>
            <c:strRef>
              <c:f>'GL Data'!$AF$1</c:f>
              <c:strCache>
                <c:ptCount val="1"/>
                <c:pt idx="0">
                  <c:v>EBITDA </c:v>
                </c:pt>
              </c:strCache>
            </c:strRef>
          </c:tx>
          <c:spPr>
            <a:solidFill>
              <a:schemeClr val="accent2"/>
            </a:solidFill>
            <a:ln>
              <a:noFill/>
            </a:ln>
            <a:effectLst/>
            <a:scene3d>
              <a:camera prst="orthographicFront"/>
              <a:lightRig rig="threePt" dir="t"/>
            </a:scene3d>
            <a:sp3d>
              <a:bevelT/>
            </a:sp3d>
          </c:spPr>
          <c:invertIfNegative val="0"/>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Data'!$AF$2:$AF$10</c:f>
              <c:numCache>
                <c:formatCode>"$"#,##0</c:formatCode>
                <c:ptCount val="6"/>
                <c:pt idx="0">
                  <c:v>-10133</c:v>
                </c:pt>
                <c:pt idx="1">
                  <c:v>-95872.699999999953</c:v>
                </c:pt>
                <c:pt idx="2">
                  <c:v>-617221.18999999994</c:v>
                </c:pt>
                <c:pt idx="3">
                  <c:v>-449959.72</c:v>
                </c:pt>
                <c:pt idx="4">
                  <c:v>-452568.08999999997</c:v>
                </c:pt>
                <c:pt idx="5">
                  <c:v>-428313.22</c:v>
                </c:pt>
              </c:numCache>
            </c:numRef>
          </c:val>
        </c:ser>
        <c:dLbls>
          <c:showLegendKey val="0"/>
          <c:showVal val="0"/>
          <c:showCatName val="0"/>
          <c:showSerName val="0"/>
          <c:showPercent val="0"/>
          <c:showBubbleSize val="0"/>
        </c:dLbls>
        <c:gapWidth val="219"/>
        <c:overlap val="-27"/>
        <c:axId val="714118976"/>
        <c:axId val="714120152"/>
      </c:barChart>
      <c:lineChart>
        <c:grouping val="standard"/>
        <c:varyColors val="0"/>
        <c:ser>
          <c:idx val="2"/>
          <c:order val="2"/>
          <c:tx>
            <c:strRef>
              <c:f>'GL Data'!$AG$1</c:f>
              <c:strCache>
                <c:ptCount val="1"/>
                <c:pt idx="0">
                  <c:v>EBITDA % of Sales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Data'!$AG$2:$AG$10</c:f>
              <c:numCache>
                <c:formatCode>0.00%</c:formatCode>
                <c:ptCount val="6"/>
                <c:pt idx="0">
                  <c:v>-6.0578705087582945</c:v>
                </c:pt>
                <c:pt idx="1">
                  <c:v>8.5884143126090606E-2</c:v>
                </c:pt>
                <c:pt idx="2">
                  <c:v>0.73586490146383565</c:v>
                </c:pt>
                <c:pt idx="3">
                  <c:v>0.47030334490553849</c:v>
                </c:pt>
                <c:pt idx="4">
                  <c:v>0.70259235114533114</c:v>
                </c:pt>
                <c:pt idx="5">
                  <c:v>0.40645299128590923</c:v>
                </c:pt>
              </c:numCache>
            </c:numRef>
          </c:val>
          <c:smooth val="0"/>
        </c:ser>
        <c:ser>
          <c:idx val="3"/>
          <c:order val="3"/>
          <c:tx>
            <c:strRef>
              <c:f>'GL Data'!$AH$1</c:f>
              <c:strCache>
                <c:ptCount val="1"/>
                <c:pt idx="0">
                  <c:v>OH % of Sales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 Data'!$AD$2:$AD$10</c:f>
              <c:multiLvlStrCache>
                <c:ptCount val="6"/>
                <c:lvl>
                  <c:pt idx="0">
                    <c:v>Jul</c:v>
                  </c:pt>
                  <c:pt idx="1">
                    <c:v>Mar</c:v>
                  </c:pt>
                  <c:pt idx="2">
                    <c:v>Apr</c:v>
                  </c:pt>
                  <c:pt idx="3">
                    <c:v>May</c:v>
                  </c:pt>
                  <c:pt idx="4">
                    <c:v>Jun</c:v>
                  </c:pt>
                  <c:pt idx="5">
                    <c:v>Jul</c:v>
                  </c:pt>
                </c:lvl>
                <c:lvl>
                  <c:pt idx="0">
                    <c:v>2015</c:v>
                  </c:pt>
                  <c:pt idx="1">
                    <c:v>2016</c:v>
                  </c:pt>
                </c:lvl>
              </c:multiLvlStrCache>
            </c:multiLvlStrRef>
          </c:cat>
          <c:val>
            <c:numRef>
              <c:f>'GL Data'!$AH$2:$AH$10</c:f>
              <c:numCache>
                <c:formatCode>0.00%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714115056"/>
        <c:axId val="714113488"/>
      </c:lineChart>
      <c:catAx>
        <c:axId val="71411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120152"/>
        <c:crosses val="autoZero"/>
        <c:auto val="1"/>
        <c:lblAlgn val="ctr"/>
        <c:lblOffset val="100"/>
        <c:noMultiLvlLbl val="0"/>
      </c:catAx>
      <c:valAx>
        <c:axId val="714120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14118976"/>
        <c:crosses val="autoZero"/>
        <c:crossBetween val="between"/>
      </c:valAx>
      <c:valAx>
        <c:axId val="714113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14115056"/>
        <c:crosses val="max"/>
        <c:crossBetween val="between"/>
      </c:valAx>
      <c:catAx>
        <c:axId val="714115056"/>
        <c:scaling>
          <c:orientation val="minMax"/>
        </c:scaling>
        <c:delete val="1"/>
        <c:axPos val="b"/>
        <c:numFmt formatCode="General" sourceLinked="1"/>
        <c:majorTickMark val="out"/>
        <c:minorTickMark val="none"/>
        <c:tickLblPos val="nextTo"/>
        <c:crossAx val="7141134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PVT!PivotTable3</c:name>
    <c:fmtId val="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CA" sz="1600" b="1">
                <a:solidFill>
                  <a:sysClr val="windowText" lastClr="000000"/>
                </a:solidFill>
              </a:rPr>
              <a:t>SALES VS BUDGET</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PVT'!$B$3</c:f>
              <c:strCache>
                <c:ptCount val="1"/>
                <c:pt idx="0">
                  <c:v>SALES </c:v>
                </c:pt>
              </c:strCache>
            </c:strRef>
          </c:tx>
          <c:spPr>
            <a:solidFill>
              <a:schemeClr val="accent1"/>
            </a:solidFill>
            <a:ln>
              <a:noFill/>
            </a:ln>
            <a:effectLst/>
            <a:scene3d>
              <a:camera prst="orthographicFront"/>
              <a:lightRig rig="threePt" dir="t"/>
            </a:scene3d>
            <a:sp3d>
              <a:bevelT/>
            </a:sp3d>
          </c:spPr>
          <c:invertIfNegative val="0"/>
          <c:cat>
            <c:multiLvlStrRef>
              <c:f>'Sales PVT'!$A$4:$A$11</c:f>
              <c:multiLvlStrCache>
                <c:ptCount val="3"/>
                <c:lvl>
                  <c:pt idx="0">
                    <c:v>Aug</c:v>
                  </c:pt>
                  <c:pt idx="1">
                    <c:v>Jun</c:v>
                  </c:pt>
                  <c:pt idx="2">
                    <c:v>Jul</c:v>
                  </c:pt>
                </c:lvl>
                <c:lvl>
                  <c:pt idx="0">
                    <c:v>1</c:v>
                  </c:pt>
                  <c:pt idx="1">
                    <c:v>11</c:v>
                  </c:pt>
                  <c:pt idx="2">
                    <c:v>12</c:v>
                  </c:pt>
                </c:lvl>
                <c:lvl>
                  <c:pt idx="0">
                    <c:v>2015</c:v>
                  </c:pt>
                </c:lvl>
              </c:multiLvlStrCache>
            </c:multiLvlStrRef>
          </c:cat>
          <c:val>
            <c:numRef>
              <c:f>'Sales PVT'!$B$4:$B$11</c:f>
              <c:numCache>
                <c:formatCode>"$"#,##0</c:formatCode>
                <c:ptCount val="3"/>
                <c:pt idx="0">
                  <c:v>19818618</c:v>
                </c:pt>
                <c:pt idx="1">
                  <c:v>20813105</c:v>
                </c:pt>
                <c:pt idx="2">
                  <c:v>32832337</c:v>
                </c:pt>
              </c:numCache>
            </c:numRef>
          </c:val>
        </c:ser>
        <c:ser>
          <c:idx val="1"/>
          <c:order val="1"/>
          <c:tx>
            <c:strRef>
              <c:f>'Sales PVT'!$C$3</c:f>
              <c:strCache>
                <c:ptCount val="1"/>
                <c:pt idx="0">
                  <c:v>BUDGET </c:v>
                </c:pt>
              </c:strCache>
            </c:strRef>
          </c:tx>
          <c:spPr>
            <a:solidFill>
              <a:schemeClr val="accent2"/>
            </a:solidFill>
            <a:ln>
              <a:noFill/>
            </a:ln>
            <a:effectLst/>
            <a:scene3d>
              <a:camera prst="orthographicFront"/>
              <a:lightRig rig="threePt" dir="t"/>
            </a:scene3d>
            <a:sp3d>
              <a:bevelT/>
            </a:sp3d>
          </c:spPr>
          <c:invertIfNegative val="0"/>
          <c:cat>
            <c:multiLvlStrRef>
              <c:f>'Sales PVT'!$A$4:$A$11</c:f>
              <c:multiLvlStrCache>
                <c:ptCount val="3"/>
                <c:lvl>
                  <c:pt idx="0">
                    <c:v>Aug</c:v>
                  </c:pt>
                  <c:pt idx="1">
                    <c:v>Jun</c:v>
                  </c:pt>
                  <c:pt idx="2">
                    <c:v>Jul</c:v>
                  </c:pt>
                </c:lvl>
                <c:lvl>
                  <c:pt idx="0">
                    <c:v>1</c:v>
                  </c:pt>
                  <c:pt idx="1">
                    <c:v>11</c:v>
                  </c:pt>
                  <c:pt idx="2">
                    <c:v>12</c:v>
                  </c:pt>
                </c:lvl>
                <c:lvl>
                  <c:pt idx="0">
                    <c:v>2015</c:v>
                  </c:pt>
                </c:lvl>
              </c:multiLvlStrCache>
            </c:multiLvlStrRef>
          </c:cat>
          <c:val>
            <c:numRef>
              <c:f>'Sales PVT'!$C$4:$C$11</c:f>
              <c:numCache>
                <c:formatCode>"$"#,##0</c:formatCode>
                <c:ptCount val="3"/>
                <c:pt idx="0">
                  <c:v>12675792.76</c:v>
                </c:pt>
                <c:pt idx="1">
                  <c:v>12675792.76</c:v>
                </c:pt>
                <c:pt idx="2">
                  <c:v>12675792.76</c:v>
                </c:pt>
              </c:numCache>
            </c:numRef>
          </c:val>
        </c:ser>
        <c:dLbls>
          <c:showLegendKey val="0"/>
          <c:showVal val="0"/>
          <c:showCatName val="0"/>
          <c:showSerName val="0"/>
          <c:showPercent val="0"/>
          <c:showBubbleSize val="0"/>
        </c:dLbls>
        <c:gapWidth val="219"/>
        <c:overlap val="-27"/>
        <c:axId val="779490312"/>
        <c:axId val="779489920"/>
      </c:barChart>
      <c:lineChart>
        <c:grouping val="standard"/>
        <c:varyColors val="0"/>
        <c:ser>
          <c:idx val="2"/>
          <c:order val="2"/>
          <c:tx>
            <c:strRef>
              <c:f>'Sales PVT'!$D$3</c:f>
              <c:strCache>
                <c:ptCount val="1"/>
                <c:pt idx="0">
                  <c:v>% of Budget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PVT'!$A$4:$A$11</c:f>
              <c:multiLvlStrCache>
                <c:ptCount val="3"/>
                <c:lvl>
                  <c:pt idx="0">
                    <c:v>Aug</c:v>
                  </c:pt>
                  <c:pt idx="1">
                    <c:v>Jun</c:v>
                  </c:pt>
                  <c:pt idx="2">
                    <c:v>Jul</c:v>
                  </c:pt>
                </c:lvl>
                <c:lvl>
                  <c:pt idx="0">
                    <c:v>1</c:v>
                  </c:pt>
                  <c:pt idx="1">
                    <c:v>11</c:v>
                  </c:pt>
                  <c:pt idx="2">
                    <c:v>12</c:v>
                  </c:pt>
                </c:lvl>
                <c:lvl>
                  <c:pt idx="0">
                    <c:v>2015</c:v>
                  </c:pt>
                </c:lvl>
              </c:multiLvlStrCache>
            </c:multiLvlStrRef>
          </c:cat>
          <c:val>
            <c:numRef>
              <c:f>'Sales PVT'!$D$4:$D$11</c:f>
              <c:numCache>
                <c:formatCode>0%</c:formatCode>
                <c:ptCount val="3"/>
                <c:pt idx="0">
                  <c:v>1.5635012638057677</c:v>
                </c:pt>
                <c:pt idx="1">
                  <c:v>1.6419568696072624</c:v>
                </c:pt>
                <c:pt idx="2">
                  <c:v>2.5901604437401673</c:v>
                </c:pt>
              </c:numCache>
            </c:numRef>
          </c:val>
          <c:smooth val="0"/>
        </c:ser>
        <c:dLbls>
          <c:showLegendKey val="0"/>
          <c:showVal val="0"/>
          <c:showCatName val="0"/>
          <c:showSerName val="0"/>
          <c:showPercent val="0"/>
          <c:showBubbleSize val="0"/>
        </c:dLbls>
        <c:marker val="1"/>
        <c:smooth val="0"/>
        <c:axId val="769303584"/>
        <c:axId val="565219168"/>
      </c:lineChart>
      <c:catAx>
        <c:axId val="779490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79489920"/>
        <c:crosses val="autoZero"/>
        <c:auto val="1"/>
        <c:lblAlgn val="ctr"/>
        <c:lblOffset val="100"/>
        <c:noMultiLvlLbl val="0"/>
      </c:catAx>
      <c:valAx>
        <c:axId val="779489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Sales</a:t>
                </a:r>
                <a:r>
                  <a:rPr lang="en-CA" baseline="0">
                    <a:solidFill>
                      <a:sysClr val="windowText" lastClr="000000"/>
                    </a:solidFill>
                  </a:rPr>
                  <a:t> &amp; Budget $'s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79490312"/>
        <c:crosses val="autoZero"/>
        <c:crossBetween val="between"/>
      </c:valAx>
      <c:valAx>
        <c:axId val="565219168"/>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baseline="0">
                    <a:solidFill>
                      <a:sysClr val="windowText" lastClr="000000"/>
                    </a:solidFill>
                  </a:rPr>
                  <a:t> % of Budgete Achieved</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3584"/>
        <c:crosses val="max"/>
        <c:crossBetween val="between"/>
      </c:valAx>
      <c:catAx>
        <c:axId val="769303584"/>
        <c:scaling>
          <c:orientation val="minMax"/>
        </c:scaling>
        <c:delete val="1"/>
        <c:axPos val="b"/>
        <c:numFmt formatCode="General" sourceLinked="1"/>
        <c:majorTickMark val="out"/>
        <c:minorTickMark val="none"/>
        <c:tickLblPos val="nextTo"/>
        <c:crossAx val="565219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PVT!PivotTable6</c:name>
    <c:fmtId val="4"/>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600" b="1">
                <a:solidFill>
                  <a:sysClr val="windowText" lastClr="000000"/>
                </a:solidFill>
              </a:rPr>
              <a:t>AVERAGE</a:t>
            </a:r>
            <a:r>
              <a:rPr lang="en-US" sz="1600" b="1" baseline="0">
                <a:solidFill>
                  <a:sysClr val="windowText" lastClr="000000"/>
                </a:solidFill>
              </a:rPr>
              <a:t> GM %</a:t>
            </a:r>
            <a:endParaRPr lang="en-US" sz="1600" b="1">
              <a:solidFill>
                <a:sysClr val="windowText" lastClr="000000"/>
              </a:solidFill>
            </a:endParaRPr>
          </a:p>
        </c:rich>
      </c:tx>
      <c:layout>
        <c:manualLayout>
          <c:xMode val="edge"/>
          <c:yMode val="edge"/>
          <c:x val="0.42937032940019665"/>
          <c:y val="3.052884615384615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PVT'!$I$3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PVT'!$H$4:$H$29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'Sales PVT'!$I$4:$I$29</c:f>
              <c:numCache>
                <c:formatCode>#,##0.00</c:formatCode>
                <c:ptCount val="12"/>
                <c:pt idx="0">
                  <c:v>80.19</c:v>
                </c:pt>
                <c:pt idx="1">
                  <c:v>83.07</c:v>
                </c:pt>
                <c:pt idx="2">
                  <c:v>80.42</c:v>
                </c:pt>
                <c:pt idx="3">
                  <c:v>77.47</c:v>
                </c:pt>
                <c:pt idx="4">
                  <c:v>78.25</c:v>
                </c:pt>
                <c:pt idx="5">
                  <c:v>83.04</c:v>
                </c:pt>
                <c:pt idx="6">
                  <c:v>85.65</c:v>
                </c:pt>
                <c:pt idx="7">
                  <c:v>85.3</c:v>
                </c:pt>
                <c:pt idx="8">
                  <c:v>84.18</c:v>
                </c:pt>
                <c:pt idx="9">
                  <c:v>83.93</c:v>
                </c:pt>
                <c:pt idx="10">
                  <c:v>82.3</c:v>
                </c:pt>
                <c:pt idx="11">
                  <c:v>80.239999999999995</c:v>
                </c:pt>
              </c:numCache>
            </c:numRef>
          </c:val>
          <c:smooth val="0"/>
        </c:ser>
        <c:dLbls>
          <c:showLegendKey val="0"/>
          <c:showVal val="0"/>
          <c:showCatName val="0"/>
          <c:showSerName val="0"/>
          <c:showPercent val="0"/>
          <c:showBubbleSize val="0"/>
        </c:dLbls>
        <c:smooth val="0"/>
        <c:axId val="769303976"/>
        <c:axId val="769305152"/>
      </c:lineChart>
      <c:catAx>
        <c:axId val="769303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5152"/>
        <c:crosses val="autoZero"/>
        <c:auto val="1"/>
        <c:lblAlgn val="ctr"/>
        <c:lblOffset val="100"/>
        <c:noMultiLvlLbl val="0"/>
      </c:catAx>
      <c:valAx>
        <c:axId val="769305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Avg</a:t>
                </a:r>
                <a:r>
                  <a:rPr lang="en-CA" baseline="0">
                    <a:solidFill>
                      <a:sysClr val="windowText" lastClr="000000"/>
                    </a:solidFill>
                  </a:rPr>
                  <a:t> GM %</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69303976"/>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PVT!PivotTable9</c:name>
    <c:fmtId val="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600" b="1">
                <a:solidFill>
                  <a:sysClr val="windowText" lastClr="000000"/>
                </a:solidFill>
              </a:rPr>
              <a:t>TOTAL SALES</a:t>
            </a:r>
            <a:r>
              <a:rPr lang="en-US" sz="1600" b="1" baseline="0">
                <a:solidFill>
                  <a:sysClr val="windowText" lastClr="000000"/>
                </a:solidFill>
              </a:rPr>
              <a:t> BY INDUSTRY CODE</a:t>
            </a:r>
            <a:endParaRPr lang="en-U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91005291005288"/>
          <c:y val="0.23087744240303296"/>
          <c:w val="0.72742323876182147"/>
          <c:h val="0.6293157626130067"/>
        </c:manualLayout>
      </c:layout>
      <c:barChart>
        <c:barDir val="bar"/>
        <c:grouping val="clustered"/>
        <c:varyColors val="0"/>
        <c:ser>
          <c:idx val="0"/>
          <c:order val="0"/>
          <c:tx>
            <c:strRef>
              <c:f>'Sales PVT'!$N$7</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PVT'!$M$8:$M$10</c:f>
              <c:strCache>
                <c:ptCount val="2"/>
                <c:pt idx="1">
                  <c:v>(blank)</c:v>
                </c:pt>
              </c:strCache>
            </c:strRef>
          </c:cat>
          <c:val>
            <c:numRef>
              <c:f>'Sales PVT'!$N$8:$N$10</c:f>
              <c:numCache>
                <c:formatCode>"$"#,##0</c:formatCode>
                <c:ptCount val="2"/>
                <c:pt idx="0">
                  <c:v>293503200</c:v>
                </c:pt>
                <c:pt idx="1">
                  <c:v>718054</c:v>
                </c:pt>
              </c:numCache>
            </c:numRef>
          </c:val>
        </c:ser>
        <c:dLbls>
          <c:dLblPos val="outEnd"/>
          <c:showLegendKey val="0"/>
          <c:showVal val="1"/>
          <c:showCatName val="0"/>
          <c:showSerName val="0"/>
          <c:showPercent val="0"/>
          <c:showBubbleSize val="0"/>
        </c:dLbls>
        <c:gapWidth val="182"/>
        <c:axId val="769304368"/>
        <c:axId val="769299664"/>
      </c:barChart>
      <c:catAx>
        <c:axId val="769304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299664"/>
        <c:crosses val="autoZero"/>
        <c:auto val="1"/>
        <c:lblAlgn val="ctr"/>
        <c:lblOffset val="100"/>
        <c:noMultiLvlLbl val="0"/>
      </c:catAx>
      <c:valAx>
        <c:axId val="76929966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69304368"/>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[KPI-CCC.xlsm]Sales PVT!PivotTable15</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AVERAGE</a:t>
            </a:r>
            <a:r>
              <a:rPr lang="en-CA" sz="1600" b="1" baseline="0">
                <a:solidFill>
                  <a:sysClr val="windowText" lastClr="000000"/>
                </a:solidFill>
              </a:rPr>
              <a:t> SALES INVOICE PER MONTH</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PVT'!$AN$3</c:f>
              <c:strCache>
                <c:ptCount val="1"/>
                <c:pt idx="0">
                  <c:v>Avg $ Invoice</c:v>
                </c:pt>
              </c:strCache>
            </c:strRef>
          </c:tx>
          <c:spPr>
            <a:solidFill>
              <a:schemeClr val="accent1"/>
            </a:solidFill>
            <a:ln>
              <a:noFill/>
            </a:ln>
            <a:effectLst/>
            <a:scene3d>
              <a:camera prst="orthographicFront"/>
              <a:lightRig rig="threePt" dir="t"/>
            </a:scene3d>
            <a:sp3d>
              <a:bevelT/>
            </a:sp3d>
          </c:spPr>
          <c:invertIfNegative val="0"/>
          <c:cat>
            <c:multiLvlStrRef>
              <c:f>'Sales PVT'!$AM$4:$AM$29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'Sales PVT'!$AN$4:$AN$29</c:f>
              <c:numCache>
                <c:formatCode>"$"#,##0</c:formatCode>
                <c:ptCount val="12"/>
                <c:pt idx="0">
                  <c:v>36431.279999999999</c:v>
                </c:pt>
                <c:pt idx="1">
                  <c:v>27052</c:v>
                </c:pt>
                <c:pt idx="2">
                  <c:v>32374.7</c:v>
                </c:pt>
                <c:pt idx="3">
                  <c:v>71897.05</c:v>
                </c:pt>
                <c:pt idx="4">
                  <c:v>51525.8</c:v>
                </c:pt>
                <c:pt idx="5">
                  <c:v>32271.88</c:v>
                </c:pt>
                <c:pt idx="6">
                  <c:v>26942.51</c:v>
                </c:pt>
                <c:pt idx="7">
                  <c:v>45381.45</c:v>
                </c:pt>
                <c:pt idx="8">
                  <c:v>33034.400000000001</c:v>
                </c:pt>
                <c:pt idx="9">
                  <c:v>22415.81</c:v>
                </c:pt>
                <c:pt idx="10">
                  <c:v>35700</c:v>
                </c:pt>
                <c:pt idx="11">
                  <c:v>35532.83</c:v>
                </c:pt>
              </c:numCache>
            </c:numRef>
          </c:val>
        </c:ser>
        <c:dLbls>
          <c:showLegendKey val="0"/>
          <c:showVal val="0"/>
          <c:showCatName val="0"/>
          <c:showSerName val="0"/>
          <c:showPercent val="0"/>
          <c:showBubbleSize val="0"/>
        </c:dLbls>
        <c:gapWidth val="219"/>
        <c:overlap val="-27"/>
        <c:axId val="769298880"/>
        <c:axId val="769304760"/>
      </c:barChart>
      <c:lineChart>
        <c:grouping val="standard"/>
        <c:varyColors val="0"/>
        <c:ser>
          <c:idx val="1"/>
          <c:order val="1"/>
          <c:tx>
            <c:strRef>
              <c:f>'Sales PVT'!$AO$3</c:f>
              <c:strCache>
                <c:ptCount val="1"/>
                <c:pt idx="0">
                  <c:v>Avg $ per Unit Sold</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PVT'!$AM$4:$AM$29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'Sales PVT'!$AO$4:$AO$29</c:f>
              <c:numCache>
                <c:formatCode>"$"#,##0.00</c:formatCode>
                <c:ptCount val="12"/>
                <c:pt idx="0">
                  <c:v>334.9</c:v>
                </c:pt>
                <c:pt idx="1">
                  <c:v>343.44</c:v>
                </c:pt>
                <c:pt idx="2">
                  <c:v>218.12</c:v>
                </c:pt>
                <c:pt idx="3">
                  <c:v>170.31</c:v>
                </c:pt>
                <c:pt idx="4">
                  <c:v>207.23</c:v>
                </c:pt>
                <c:pt idx="5">
                  <c:v>299.14</c:v>
                </c:pt>
                <c:pt idx="6">
                  <c:v>226.6</c:v>
                </c:pt>
                <c:pt idx="7">
                  <c:v>344.37</c:v>
                </c:pt>
                <c:pt idx="8">
                  <c:v>248.91</c:v>
                </c:pt>
                <c:pt idx="9">
                  <c:v>232.46</c:v>
                </c:pt>
                <c:pt idx="10">
                  <c:v>103.17</c:v>
                </c:pt>
                <c:pt idx="11">
                  <c:v>158.04</c:v>
                </c:pt>
              </c:numCache>
            </c:numRef>
          </c:val>
          <c:smooth val="0"/>
        </c:ser>
        <c:dLbls>
          <c:showLegendKey val="0"/>
          <c:showVal val="0"/>
          <c:showCatName val="0"/>
          <c:showSerName val="0"/>
          <c:showPercent val="0"/>
          <c:showBubbleSize val="0"/>
        </c:dLbls>
        <c:marker val="1"/>
        <c:smooth val="0"/>
        <c:axId val="769299272"/>
        <c:axId val="769300840"/>
      </c:lineChart>
      <c:catAx>
        <c:axId val="76929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4760"/>
        <c:crosses val="autoZero"/>
        <c:auto val="1"/>
        <c:lblAlgn val="ctr"/>
        <c:lblOffset val="100"/>
        <c:noMultiLvlLbl val="0"/>
      </c:catAx>
      <c:valAx>
        <c:axId val="769304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Avg Sales per Month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298880"/>
        <c:crosses val="autoZero"/>
        <c:crossBetween val="between"/>
      </c:valAx>
      <c:valAx>
        <c:axId val="76930084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Avg $</a:t>
                </a:r>
                <a:r>
                  <a:rPr lang="en-CA" baseline="0">
                    <a:solidFill>
                      <a:sysClr val="windowText" lastClr="000000"/>
                    </a:solidFill>
                  </a:rPr>
                  <a:t> Units Sold</a:t>
                </a:r>
                <a:endParaRPr lang="en-CA">
                  <a:solidFill>
                    <a:sysClr val="windowText" lastClr="000000"/>
                  </a:solidFill>
                </a:endParaRPr>
              </a:p>
            </c:rich>
          </c:tx>
          <c:layout>
            <c:manualLayout>
              <c:xMode val="edge"/>
              <c:yMode val="edge"/>
              <c:x val="0.77907026818200942"/>
              <c:y val="0.2863433117583602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69299272"/>
        <c:crosses val="max"/>
        <c:crossBetween val="between"/>
      </c:valAx>
      <c:catAx>
        <c:axId val="769299272"/>
        <c:scaling>
          <c:orientation val="minMax"/>
        </c:scaling>
        <c:delete val="1"/>
        <c:axPos val="b"/>
        <c:numFmt formatCode="General" sourceLinked="1"/>
        <c:majorTickMark val="out"/>
        <c:minorTickMark val="none"/>
        <c:tickLblPos val="nextTo"/>
        <c:crossAx val="7693008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[KPI-CCC.xlsm]Ratio Data!PivotTable10</c:name>
    <c:fmtId val="10"/>
  </c:pivotSource>
  <c:chart>
    <c:title>
      <c:tx>
        <c:rich>
          <a:bodyPr rot="0" spcFirstLastPara="1" vertOverflow="ellipsis" vert="horz" wrap="square" anchor="ctr" anchorCtr="1"/>
          <a:lstStyle/>
          <a:p>
            <a:pPr algn="ctr" rtl="0">
              <a:defRPr lang="en-US" sz="1600" b="1" i="0" u="none" strike="noStrike" kern="1200" cap="all" spc="0" baseline="0">
                <a:solidFill>
                  <a:schemeClr val="accent5">
                    <a:lumMod val="75000"/>
                  </a:schemeClr>
                </a:solidFill>
                <a:latin typeface="+mn-lt"/>
                <a:ea typeface="+mn-ea"/>
                <a:cs typeface="+mn-cs"/>
              </a:defRPr>
            </a:pPr>
            <a:r>
              <a:rPr lang="en-US" sz="1600" b="1" i="0" u="none" strike="noStrike" kern="1200" cap="all" spc="0" baseline="0">
                <a:solidFill>
                  <a:sysClr val="windowText" lastClr="000000"/>
                </a:solidFill>
                <a:latin typeface="+mn-lt"/>
                <a:ea typeface="+mn-ea"/>
                <a:cs typeface="+mn-cs"/>
              </a:rPr>
              <a:t>Inventory Turns</a:t>
            </a:r>
          </a:p>
        </c:rich>
      </c:tx>
      <c:overlay val="0"/>
      <c:spPr>
        <a:noFill/>
        <a:ln>
          <a:noFill/>
        </a:ln>
        <a:effectLst/>
      </c:spPr>
      <c:txPr>
        <a:bodyPr rot="0" spcFirstLastPara="1" vertOverflow="ellipsis" vert="horz" wrap="square" anchor="ctr" anchorCtr="1"/>
        <a:lstStyle/>
        <a:p>
          <a:pPr algn="ctr" rtl="0">
            <a:defRPr lang="en-US" sz="1600" b="1" i="0" u="none" strike="noStrike" kern="1200" cap="all" spc="0" baseline="0">
              <a:solidFill>
                <a:schemeClr val="accent5">
                  <a:lumMod val="75000"/>
                </a:schemeClr>
              </a:solidFill>
              <a:latin typeface="+mn-lt"/>
              <a:ea typeface="+mn-ea"/>
              <a:cs typeface="+mn-cs"/>
            </a:defRPr>
          </a:pPr>
          <a:endParaRPr lang="en-US"/>
        </a:p>
      </c:txPr>
    </c:title>
    <c:autoTitleDeleted val="0"/>
    <c:pivotFmts>
      <c:pivotFmt>
        <c:idx val="0"/>
        <c:spPr>
          <a:solidFill>
            <a:schemeClr val="accent5">
              <a:lumMod val="60000"/>
              <a:lumOff val="40000"/>
            </a:schemeClr>
          </a:solidFill>
          <a:ln>
            <a:noFill/>
          </a:ln>
          <a:effectLst/>
          <a:scene3d>
            <a:camera prst="orthographicFront"/>
            <a:lightRig rig="threePt" dir="t"/>
          </a:scene3d>
          <a:sp3d>
            <a:bevelT/>
          </a:sp3d>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5">
              <a:lumMod val="60000"/>
              <a:lumOff val="40000"/>
            </a:schemeClr>
          </a:solidFill>
          <a:ln>
            <a:noFill/>
          </a:ln>
          <a:effectLst/>
          <a:scene3d>
            <a:camera prst="orthographicFront"/>
            <a:lightRig rig="threePt" dir="t"/>
          </a:scene3d>
          <a:sp3d>
            <a:bevelT/>
          </a:sp3d>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5">
              <a:lumMod val="60000"/>
              <a:lumOff val="40000"/>
            </a:schemeClr>
          </a:solidFill>
          <a:ln>
            <a:noFill/>
          </a:ln>
          <a:effectLst/>
          <a:scene3d>
            <a:camera prst="orthographicFront"/>
            <a:lightRig rig="threePt" dir="t"/>
          </a:scene3d>
          <a:sp3d>
            <a:bevelT/>
          </a:sp3d>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5">
              <a:lumMod val="60000"/>
              <a:lumOff val="40000"/>
            </a:schemeClr>
          </a:solidFill>
          <a:ln>
            <a:noFill/>
          </a:ln>
          <a:effectLst/>
          <a:scene3d>
            <a:camera prst="orthographicFront"/>
            <a:lightRig rig="threePt" dir="t"/>
          </a:scene3d>
          <a:sp3d>
            <a:bevelT/>
          </a:sp3d>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5">
              <a:lumMod val="60000"/>
              <a:lumOff val="40000"/>
            </a:schemeClr>
          </a:solidFill>
          <a:ln>
            <a:noFill/>
          </a:ln>
          <a:effectLst/>
          <a:scene3d>
            <a:camera prst="orthographicFront"/>
            <a:lightRig rig="threePt" dir="t"/>
          </a:scene3d>
          <a:sp3d>
            <a:bevelT/>
          </a:sp3d>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5">
              <a:lumMod val="60000"/>
              <a:lumOff val="40000"/>
            </a:schemeClr>
          </a:solidFill>
          <a:ln>
            <a:noFill/>
          </a:ln>
          <a:effectLst/>
          <a:scene3d>
            <a:camera prst="orthographicFront"/>
            <a:lightRig rig="threePt" dir="t"/>
          </a:scene3d>
          <a:sp3d>
            <a:bevelT/>
          </a:sp3d>
        </c:spPr>
        <c:marker>
          <c:symbol val="none"/>
        </c:marker>
      </c:pivotFmt>
      <c:pivotFmt>
        <c:idx val="11"/>
        <c:spPr>
          <a:ln w="28575" cap="rnd">
            <a:solidFill>
              <a:schemeClr val="accent1"/>
            </a:solidFill>
            <a:round/>
          </a:ln>
          <a:effectLst/>
        </c:spPr>
        <c:marker>
          <c:symbol val="none"/>
        </c:marker>
      </c:pivotFmt>
    </c:pivotFmts>
    <c:plotArea>
      <c:layout/>
      <c:barChart>
        <c:barDir val="col"/>
        <c:grouping val="clustered"/>
        <c:varyColors val="0"/>
        <c:ser>
          <c:idx val="0"/>
          <c:order val="0"/>
          <c:tx>
            <c:strRef>
              <c:f>'Ratio Data'!$BP$19</c:f>
              <c:strCache>
                <c:ptCount val="1"/>
                <c:pt idx="0">
                  <c:v> Inventory Turnover</c:v>
                </c:pt>
              </c:strCache>
            </c:strRef>
          </c:tx>
          <c:spPr>
            <a:solidFill>
              <a:schemeClr val="accent5">
                <a:lumMod val="60000"/>
                <a:lumOff val="40000"/>
              </a:schemeClr>
            </a:solidFill>
            <a:ln>
              <a:noFill/>
            </a:ln>
            <a:effectLst/>
            <a:scene3d>
              <a:camera prst="orthographicFront"/>
              <a:lightRig rig="threePt" dir="t"/>
            </a:scene3d>
            <a:sp3d>
              <a:bevelT/>
            </a:sp3d>
          </c:spPr>
          <c:invertIfNegative val="0"/>
          <c:cat>
            <c:strRef>
              <c:f>'Ratio Data'!$BO$20:$BO$27</c:f>
              <c:strCache>
                <c:ptCount val="7"/>
                <c:pt idx="0">
                  <c:v>2010</c:v>
                </c:pt>
                <c:pt idx="1">
                  <c:v>2011</c:v>
                </c:pt>
                <c:pt idx="2">
                  <c:v>2012</c:v>
                </c:pt>
                <c:pt idx="3">
                  <c:v>2013</c:v>
                </c:pt>
                <c:pt idx="4">
                  <c:v>2014</c:v>
                </c:pt>
                <c:pt idx="5">
                  <c:v>2015</c:v>
                </c:pt>
                <c:pt idx="6">
                  <c:v>2016</c:v>
                </c:pt>
              </c:strCache>
            </c:strRef>
          </c:cat>
          <c:val>
            <c:numRef>
              <c:f>'Ratio Data'!$BP$20:$BP$27</c:f>
              <c:numCache>
                <c:formatCode>#,##0.00</c:formatCode>
                <c:ptCount val="7"/>
                <c:pt idx="1">
                  <c:v>0</c:v>
                </c:pt>
                <c:pt idx="2">
                  <c:v>0</c:v>
                </c:pt>
                <c:pt idx="3">
                  <c:v>0</c:v>
                </c:pt>
                <c:pt idx="4">
                  <c:v>1.6136283295776785E-3</c:v>
                </c:pt>
                <c:pt idx="5">
                  <c:v>65.735526649625683</c:v>
                </c:pt>
                <c:pt idx="6">
                  <c:v>-16.053308678150646</c:v>
                </c:pt>
              </c:numCache>
            </c:numRef>
          </c:val>
        </c:ser>
        <c:dLbls>
          <c:showLegendKey val="0"/>
          <c:showVal val="0"/>
          <c:showCatName val="0"/>
          <c:showSerName val="0"/>
          <c:showPercent val="0"/>
          <c:showBubbleSize val="0"/>
        </c:dLbls>
        <c:gapWidth val="219"/>
        <c:axId val="769305544"/>
        <c:axId val="769300448"/>
      </c:barChart>
      <c:lineChart>
        <c:grouping val="standard"/>
        <c:varyColors val="0"/>
        <c:ser>
          <c:idx val="1"/>
          <c:order val="1"/>
          <c:tx>
            <c:strRef>
              <c:f>'Ratio Data'!$BQ$19</c:f>
              <c:strCache>
                <c:ptCount val="1"/>
                <c:pt idx="0">
                  <c:v>Target </c:v>
                </c:pt>
              </c:strCache>
            </c:strRef>
          </c:tx>
          <c:spPr>
            <a:ln w="28575" cap="rnd">
              <a:solidFill>
                <a:schemeClr val="accent2"/>
              </a:solidFill>
              <a:round/>
            </a:ln>
            <a:effectLst/>
          </c:spPr>
          <c:marker>
            <c:symbol val="none"/>
          </c:marker>
          <c:cat>
            <c:strRef>
              <c:f>'Ratio Data'!$BO$20:$BO$27</c:f>
              <c:strCache>
                <c:ptCount val="7"/>
                <c:pt idx="0">
                  <c:v>2010</c:v>
                </c:pt>
                <c:pt idx="1">
                  <c:v>2011</c:v>
                </c:pt>
                <c:pt idx="2">
                  <c:v>2012</c:v>
                </c:pt>
                <c:pt idx="3">
                  <c:v>2013</c:v>
                </c:pt>
                <c:pt idx="4">
                  <c:v>2014</c:v>
                </c:pt>
                <c:pt idx="5">
                  <c:v>2015</c:v>
                </c:pt>
                <c:pt idx="6">
                  <c:v>2016</c:v>
                </c:pt>
              </c:strCache>
            </c:strRef>
          </c:cat>
          <c:val>
            <c:numRef>
              <c:f>'Ratio Data'!$BQ$20:$BQ$27</c:f>
              <c:numCache>
                <c:formatCode>#,##0.00</c:formatCode>
                <c:ptCount val="7"/>
                <c:pt idx="1">
                  <c:v>1.25</c:v>
                </c:pt>
                <c:pt idx="2">
                  <c:v>1.25</c:v>
                </c:pt>
                <c:pt idx="3">
                  <c:v>1.25</c:v>
                </c:pt>
                <c:pt idx="4">
                  <c:v>1.25</c:v>
                </c:pt>
                <c:pt idx="5">
                  <c:v>1.25</c:v>
                </c:pt>
                <c:pt idx="6">
                  <c:v>1.25</c:v>
                </c:pt>
              </c:numCache>
            </c:numRef>
          </c:val>
          <c:smooth val="0"/>
        </c:ser>
        <c:dLbls>
          <c:showLegendKey val="0"/>
          <c:showVal val="0"/>
          <c:showCatName val="0"/>
          <c:showSerName val="0"/>
          <c:showPercent val="0"/>
          <c:showBubbleSize val="0"/>
        </c:dLbls>
        <c:marker val="1"/>
        <c:smooth val="0"/>
        <c:axId val="769301624"/>
        <c:axId val="769301232"/>
      </c:lineChart>
      <c:catAx>
        <c:axId val="769305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0448"/>
        <c:crosses val="autoZero"/>
        <c:auto val="1"/>
        <c:lblAlgn val="ctr"/>
        <c:lblOffset val="100"/>
        <c:noMultiLvlLbl val="0"/>
      </c:catAx>
      <c:valAx>
        <c:axId val="76930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5544"/>
        <c:crosses val="autoZero"/>
        <c:crossBetween val="between"/>
      </c:valAx>
      <c:valAx>
        <c:axId val="76930123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1624"/>
        <c:crosses val="max"/>
        <c:crossBetween val="between"/>
      </c:valAx>
      <c:catAx>
        <c:axId val="769301624"/>
        <c:scaling>
          <c:orientation val="minMax"/>
        </c:scaling>
        <c:delete val="1"/>
        <c:axPos val="b"/>
        <c:numFmt formatCode="General" sourceLinked="1"/>
        <c:majorTickMark val="out"/>
        <c:minorTickMark val="none"/>
        <c:tickLblPos val="nextTo"/>
        <c:crossAx val="7693012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PVT!PivotTable22</c:name>
    <c:fmtId val="3"/>
  </c:pivotSource>
  <c:chart>
    <c:title>
      <c:tx>
        <c:rich>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r>
              <a:rPr lang="en-US" sz="1600" b="1">
                <a:solidFill>
                  <a:sysClr val="windowText" lastClr="000000"/>
                </a:solidFill>
              </a:rPr>
              <a:t>AVG QUOTE TURN</a:t>
            </a:r>
            <a:r>
              <a:rPr lang="en-US" sz="1600" b="1" baseline="0">
                <a:solidFill>
                  <a:sysClr val="windowText" lastClr="000000"/>
                </a:solidFill>
              </a:rPr>
              <a:t> AROUND DAYS</a:t>
            </a:r>
          </a:p>
        </c:rich>
      </c:tx>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'Quote PVT'!$J$3</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'Quote PVT'!$I$4:$I$20</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PVT'!$J$4:$J$20</c:f>
              <c:numCache>
                <c:formatCode>#,##0</c:formatCode>
                <c:ptCount val="7"/>
                <c:pt idx="0">
                  <c:v>41861</c:v>
                </c:pt>
                <c:pt idx="1">
                  <c:v>41904</c:v>
                </c:pt>
                <c:pt idx="2">
                  <c:v>41926</c:v>
                </c:pt>
                <c:pt idx="3">
                  <c:v>42068</c:v>
                </c:pt>
                <c:pt idx="4">
                  <c:v>42135</c:v>
                </c:pt>
                <c:pt idx="5">
                  <c:v>42234</c:v>
                </c:pt>
                <c:pt idx="6">
                  <c:v>42246</c:v>
                </c:pt>
              </c:numCache>
            </c:numRef>
          </c:val>
        </c:ser>
        <c:dLbls>
          <c:showLegendKey val="0"/>
          <c:showVal val="0"/>
          <c:showCatName val="0"/>
          <c:showSerName val="0"/>
          <c:showPercent val="0"/>
          <c:showBubbleSize val="0"/>
        </c:dLbls>
        <c:gapWidth val="219"/>
        <c:overlap val="-27"/>
        <c:axId val="769302800"/>
        <c:axId val="769303192"/>
      </c:barChart>
      <c:catAx>
        <c:axId val="76930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3192"/>
        <c:crosses val="autoZero"/>
        <c:auto val="1"/>
        <c:lblAlgn val="ctr"/>
        <c:lblOffset val="100"/>
        <c:noMultiLvlLbl val="0"/>
      </c:catAx>
      <c:valAx>
        <c:axId val="769303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Quote</a:t>
                </a:r>
                <a:r>
                  <a:rPr lang="en-CA" baseline="0">
                    <a:solidFill>
                      <a:sysClr val="windowText" lastClr="000000"/>
                    </a:solidFill>
                  </a:rPr>
                  <a:t> Turnaround Days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69302800"/>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PVT!PivotTable25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AVERAGE</a:t>
            </a:r>
            <a:r>
              <a:rPr lang="en-US" sz="1600" b="1" baseline="0">
                <a:solidFill>
                  <a:sysClr val="windowText" lastClr="000000"/>
                </a:solidFill>
              </a:rPr>
              <a:t> QUOTE PER MONTH (MIN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'Quote PVT'!$O$3</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'Quote PVT'!$N$4:$N$20</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PVT'!$O$4:$O$20</c:f>
              <c:numCache>
                <c:formatCode>"$"#,##0</c:formatCode>
                <c:ptCount val="7"/>
                <c:pt idx="0">
                  <c:v>640</c:v>
                </c:pt>
                <c:pt idx="1">
                  <c:v>4154</c:v>
                </c:pt>
                <c:pt idx="2">
                  <c:v>88.09</c:v>
                </c:pt>
                <c:pt idx="3">
                  <c:v>933.06</c:v>
                </c:pt>
                <c:pt idx="4">
                  <c:v>59500</c:v>
                </c:pt>
                <c:pt idx="5">
                  <c:v>165.66</c:v>
                </c:pt>
                <c:pt idx="6">
                  <c:v>49637.5</c:v>
                </c:pt>
              </c:numCache>
            </c:numRef>
          </c:val>
        </c:ser>
        <c:dLbls>
          <c:showLegendKey val="0"/>
          <c:showVal val="0"/>
          <c:showCatName val="0"/>
          <c:showSerName val="0"/>
          <c:showPercent val="0"/>
          <c:showBubbleSize val="0"/>
        </c:dLbls>
        <c:gapWidth val="219"/>
        <c:overlap val="-27"/>
        <c:axId val="877871592"/>
        <c:axId val="877866888"/>
      </c:barChart>
      <c:catAx>
        <c:axId val="87787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877866888"/>
        <c:crosses val="autoZero"/>
        <c:auto val="1"/>
        <c:lblAlgn val="ctr"/>
        <c:lblOffset val="100"/>
        <c:noMultiLvlLbl val="0"/>
      </c:catAx>
      <c:valAx>
        <c:axId val="8778668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877871592"/>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 - E vs A!PivotTable15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ACT VS EST</a:t>
            </a:r>
            <a:r>
              <a:rPr lang="en-CA" sz="1600" b="1" baseline="0">
                <a:solidFill>
                  <a:sysClr val="windowText" lastClr="000000"/>
                </a:solidFill>
              </a:rPr>
              <a:t> COSTS - CLOSED WORK ORDERS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'Quote PVT - E vs A'!$B$3</c:f>
              <c:strCache>
                <c:ptCount val="1"/>
                <c:pt idx="0">
                  <c:v>Actual  </c:v>
                </c:pt>
              </c:strCache>
            </c:strRef>
          </c:tx>
          <c:spPr>
            <a:solidFill>
              <a:schemeClr val="accent1"/>
            </a:solidFill>
            <a:ln>
              <a:noFill/>
            </a:ln>
            <a:effectLst/>
            <a:scene3d>
              <a:camera prst="orthographicFront"/>
              <a:lightRig rig="threePt" dir="t"/>
            </a:scene3d>
            <a:sp3d>
              <a:bevelT/>
            </a:sp3d>
          </c:spPr>
          <c:invertIfNegative val="0"/>
          <c:cat>
            <c:multiLvlStrRef>
              <c:f>'Quote PVT - E vs A'!$A$4:$A$29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A'!$B$4:$B$29</c:f>
              <c:numCache>
                <c:formatCode>"$"#,##0</c:formatCode>
                <c:ptCount val="12"/>
                <c:pt idx="0">
                  <c:v>77366.48</c:v>
                </c:pt>
                <c:pt idx="1">
                  <c:v>201580.5</c:v>
                </c:pt>
                <c:pt idx="2">
                  <c:v>27599.09</c:v>
                </c:pt>
                <c:pt idx="3">
                  <c:v>26196.54</c:v>
                </c:pt>
                <c:pt idx="4">
                  <c:v>44604.14</c:v>
                </c:pt>
                <c:pt idx="5">
                  <c:v>33620.75</c:v>
                </c:pt>
                <c:pt idx="6">
                  <c:v>448120.92</c:v>
                </c:pt>
                <c:pt idx="7">
                  <c:v>161461.21</c:v>
                </c:pt>
                <c:pt idx="8">
                  <c:v>31915.26</c:v>
                </c:pt>
                <c:pt idx="9">
                  <c:v>129503.32</c:v>
                </c:pt>
                <c:pt idx="10">
                  <c:v>33104.44</c:v>
                </c:pt>
                <c:pt idx="11">
                  <c:v>747071.01</c:v>
                </c:pt>
              </c:numCache>
            </c:numRef>
          </c:val>
        </c:ser>
        <c:ser>
          <c:idx val="1"/>
          <c:order val="1"/>
          <c:tx>
            <c:strRef>
              <c:f>'Quote PVT - E vs A'!$C$3</c:f>
              <c:strCache>
                <c:ptCount val="1"/>
                <c:pt idx="0">
                  <c:v>Estimate  </c:v>
                </c:pt>
              </c:strCache>
            </c:strRef>
          </c:tx>
          <c:spPr>
            <a:solidFill>
              <a:schemeClr val="accent2"/>
            </a:solidFill>
            <a:ln>
              <a:noFill/>
            </a:ln>
            <a:effectLst/>
            <a:scene3d>
              <a:camera prst="orthographicFront"/>
              <a:lightRig rig="threePt" dir="t"/>
            </a:scene3d>
            <a:sp3d>
              <a:bevelT/>
            </a:sp3d>
          </c:spPr>
          <c:invertIfNegative val="0"/>
          <c:cat>
            <c:multiLvlStrRef>
              <c:f>'Quote PVT - E vs A'!$A$4:$A$29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A'!$C$4:$C$29</c:f>
              <c:numCache>
                <c:formatCode>"$"#,##0</c:formatCode>
                <c:ptCount val="12"/>
                <c:pt idx="0">
                  <c:v>21908.55</c:v>
                </c:pt>
                <c:pt idx="1">
                  <c:v>91521.51</c:v>
                </c:pt>
                <c:pt idx="2">
                  <c:v>228505.85</c:v>
                </c:pt>
                <c:pt idx="3">
                  <c:v>356482.81</c:v>
                </c:pt>
                <c:pt idx="4">
                  <c:v>23626.87</c:v>
                </c:pt>
                <c:pt idx="5">
                  <c:v>20400.25</c:v>
                </c:pt>
                <c:pt idx="6">
                  <c:v>310917.89</c:v>
                </c:pt>
                <c:pt idx="7">
                  <c:v>170431.59</c:v>
                </c:pt>
                <c:pt idx="8">
                  <c:v>23851.98</c:v>
                </c:pt>
                <c:pt idx="9">
                  <c:v>179213.1</c:v>
                </c:pt>
                <c:pt idx="10">
                  <c:v>64636.98</c:v>
                </c:pt>
                <c:pt idx="11">
                  <c:v>1755597.02</c:v>
                </c:pt>
              </c:numCache>
            </c:numRef>
          </c:val>
        </c:ser>
        <c:dLbls>
          <c:showLegendKey val="0"/>
          <c:showVal val="0"/>
          <c:showCatName val="0"/>
          <c:showSerName val="0"/>
          <c:showPercent val="0"/>
          <c:showBubbleSize val="0"/>
        </c:dLbls>
        <c:gapWidth val="219"/>
        <c:overlap val="-27"/>
        <c:axId val="877871984"/>
        <c:axId val="877869240"/>
      </c:barChart>
      <c:lineChart>
        <c:grouping val="standard"/>
        <c:varyColors val="0"/>
        <c:ser>
          <c:idx val="2"/>
          <c:order val="2"/>
          <c:tx>
            <c:strRef>
              <c:f>'Quote PVT - E vs A'!$D$3</c:f>
              <c:strCache>
                <c:ptCount val="1"/>
                <c:pt idx="0">
                  <c:v>Avg % Estimate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'Quote PVT - E vs A'!$A$4:$A$29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'Quote PVT - E vs A'!$D$4:$D$29</c:f>
              <c:numCache>
                <c:formatCode>0.00%</c:formatCode>
                <c:ptCount val="12"/>
                <c:pt idx="0">
                  <c:v>3.5313373089501585</c:v>
                </c:pt>
                <c:pt idx="1">
                  <c:v>2.2025477945020793</c:v>
                </c:pt>
                <c:pt idx="2">
                  <c:v>0.12078067147952667</c:v>
                </c:pt>
                <c:pt idx="3">
                  <c:v>7.3486124057426508E-2</c:v>
                </c:pt>
                <c:pt idx="4">
                  <c:v>1.8878564955916717</c:v>
                </c:pt>
                <c:pt idx="5">
                  <c:v>1.6480557836301026</c:v>
                </c:pt>
                <c:pt idx="6">
                  <c:v>1.4412838064737927</c:v>
                </c:pt>
                <c:pt idx="7">
                  <c:v>0.9473666824325232</c:v>
                </c:pt>
                <c:pt idx="8">
                  <c:v>1.3380549539283531</c:v>
                </c:pt>
                <c:pt idx="9">
                  <c:v>0.72262195118548811</c:v>
                </c:pt>
                <c:pt idx="10">
                  <c:v>0.51215944804351932</c:v>
                </c:pt>
                <c:pt idx="11">
                  <c:v>0.4255367271015304</c:v>
                </c:pt>
              </c:numCache>
            </c:numRef>
          </c:val>
          <c:smooth val="0"/>
        </c:ser>
        <c:dLbls>
          <c:showLegendKey val="0"/>
          <c:showVal val="0"/>
          <c:showCatName val="0"/>
          <c:showSerName val="0"/>
          <c:showPercent val="0"/>
          <c:showBubbleSize val="0"/>
        </c:dLbls>
        <c:marker val="1"/>
        <c:smooth val="0"/>
        <c:axId val="877864928"/>
        <c:axId val="877867280"/>
      </c:lineChart>
      <c:catAx>
        <c:axId val="87787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69240"/>
        <c:crosses val="autoZero"/>
        <c:auto val="1"/>
        <c:lblAlgn val="ctr"/>
        <c:lblOffset val="100"/>
        <c:noMultiLvlLbl val="0"/>
      </c:catAx>
      <c:valAx>
        <c:axId val="877869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Total Costs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71984"/>
        <c:crosses val="autoZero"/>
        <c:crossBetween val="between"/>
      </c:valAx>
      <c:valAx>
        <c:axId val="877867280"/>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 Estimate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64928"/>
        <c:crosses val="max"/>
        <c:crossBetween val="between"/>
      </c:valAx>
      <c:catAx>
        <c:axId val="877864928"/>
        <c:scaling>
          <c:orientation val="minMax"/>
        </c:scaling>
        <c:delete val="1"/>
        <c:axPos val="b"/>
        <c:numFmt formatCode="General" sourceLinked="1"/>
        <c:majorTickMark val="out"/>
        <c:minorTickMark val="none"/>
        <c:tickLblPos val="nextTo"/>
        <c:crossAx val="8778672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[KPI-CCC.xlsm]P16_INV_HIST_RU!PivotTable11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TOTAL P16  TRANSACTIONS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C000"/>
          </a:solidFill>
          <a:ln>
            <a:noFill/>
          </a:ln>
          <a:effectLst/>
          <a:scene3d>
            <a:camera prst="orthographicFront"/>
            <a:lightRig rig="threePt" dir="t"/>
          </a:scene3d>
          <a:sp3d>
            <a:bevelT/>
          </a:sp3d>
        </c:spPr>
        <c:marker>
          <c:symbol val="none"/>
        </c:marker>
      </c:pivotFmt>
      <c:pivotFmt>
        <c:idx val="1"/>
        <c:spPr>
          <a:solidFill>
            <a:srgbClr val="FFC000"/>
          </a:solidFill>
          <a:ln>
            <a:noFill/>
          </a:ln>
          <a:effectLst/>
          <a:scene3d>
            <a:camera prst="orthographicFront"/>
            <a:lightRig rig="threePt" dir="t"/>
          </a:scene3d>
          <a:sp3d>
            <a:bevelT/>
          </a:sp3d>
        </c:spPr>
        <c:marker>
          <c:symbol val="none"/>
        </c:marker>
      </c:pivotFmt>
      <c:pivotFmt>
        <c:idx val="2"/>
        <c:spPr>
          <a:solidFill>
            <a:srgbClr val="FFC000"/>
          </a:solidFill>
          <a:ln>
            <a:noFill/>
          </a:ln>
          <a:effectLst/>
          <a:scene3d>
            <a:camera prst="orthographicFront"/>
            <a:lightRig rig="threePt" dir="t"/>
          </a:scene3d>
          <a:sp3d>
            <a:bevelT/>
          </a:sp3d>
        </c:spPr>
        <c:marker>
          <c:symbol val="none"/>
        </c:marker>
      </c:pivotFmt>
    </c:pivotFmts>
    <c:plotArea>
      <c:layout/>
      <c:barChart>
        <c:barDir val="col"/>
        <c:grouping val="clustered"/>
        <c:varyColors val="0"/>
        <c:ser>
          <c:idx val="0"/>
          <c:order val="0"/>
          <c:tx>
            <c:strRef>
              <c:f>P16_INV_HIST_RU!$U$4</c:f>
              <c:strCache>
                <c:ptCount val="1"/>
                <c:pt idx="0">
                  <c:v>Total</c:v>
                </c:pt>
              </c:strCache>
            </c:strRef>
          </c:tx>
          <c:spPr>
            <a:solidFill>
              <a:srgbClr val="FFC000"/>
            </a:solidFill>
            <a:ln>
              <a:noFill/>
            </a:ln>
            <a:effectLst/>
            <a:scene3d>
              <a:camera prst="orthographicFront"/>
              <a:lightRig rig="threePt" dir="t"/>
            </a:scene3d>
            <a:sp3d>
              <a:bevelT/>
            </a:sp3d>
          </c:spPr>
          <c:invertIfNegative val="0"/>
          <c:cat>
            <c:multiLvlStrRef>
              <c:f>P16_INV_HIST_RU!$T$5:$T$30</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P16_INV_HIST_RU!$U$5:$U$30</c:f>
              <c:numCache>
                <c:formatCode>"$"#,##0</c:formatCode>
                <c:ptCount val="12"/>
                <c:pt idx="0">
                  <c:v>1026499.36</c:v>
                </c:pt>
                <c:pt idx="1">
                  <c:v>7235.16</c:v>
                </c:pt>
                <c:pt idx="2">
                  <c:v>6099.54</c:v>
                </c:pt>
                <c:pt idx="3">
                  <c:v>-3896.59</c:v>
                </c:pt>
                <c:pt idx="4">
                  <c:v>62635.360000000001</c:v>
                </c:pt>
                <c:pt idx="5">
                  <c:v>448.87</c:v>
                </c:pt>
                <c:pt idx="6">
                  <c:v>1586.53</c:v>
                </c:pt>
                <c:pt idx="7">
                  <c:v>-1203.6300000000001</c:v>
                </c:pt>
                <c:pt idx="8">
                  <c:v>97.42</c:v>
                </c:pt>
                <c:pt idx="9">
                  <c:v>537.46</c:v>
                </c:pt>
                <c:pt idx="10">
                  <c:v>406.49</c:v>
                </c:pt>
                <c:pt idx="11">
                  <c:v>-2921.5</c:v>
                </c:pt>
              </c:numCache>
            </c:numRef>
          </c:val>
        </c:ser>
        <c:dLbls>
          <c:showLegendKey val="0"/>
          <c:showVal val="0"/>
          <c:showCatName val="0"/>
          <c:showSerName val="0"/>
          <c:showPercent val="0"/>
          <c:showBubbleSize val="0"/>
        </c:dLbls>
        <c:gapWidth val="219"/>
        <c:overlap val="-27"/>
        <c:axId val="877872376"/>
        <c:axId val="877871200"/>
      </c:barChart>
      <c:catAx>
        <c:axId val="877872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71200"/>
        <c:crosses val="autoZero"/>
        <c:auto val="1"/>
        <c:lblAlgn val="ctr"/>
        <c:lblOffset val="100"/>
        <c:noMultiLvlLbl val="0"/>
      </c:catAx>
      <c:valAx>
        <c:axId val="87787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P16</a:t>
                </a:r>
                <a:r>
                  <a:rPr lang="en-CA" baseline="0">
                    <a:solidFill>
                      <a:sysClr val="windowText" lastClr="000000"/>
                    </a:solidFill>
                  </a:rPr>
                  <a:t> Dollars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72376"/>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[KPI-CCC.xlsm]Quote PVT!PivotTable29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Quote W/L/C/O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a:scene3d>
            <a:camera prst="orthographicFront"/>
            <a:lightRig rig="threePt" dir="t"/>
          </a:scene3d>
          <a:sp3d>
            <a:bevelT/>
          </a:sp3d>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a:scene3d>
            <a:camera prst="orthographicFront"/>
            <a:lightRig rig="threePt" dir="t"/>
          </a:scene3d>
          <a:sp3d>
            <a:bevelT/>
          </a:sp3d>
        </c:spPr>
        <c:marker>
          <c:symbol val="none"/>
        </c:marker>
      </c:pivotFmt>
    </c:pivotFmts>
    <c:plotArea>
      <c:layout/>
      <c:barChart>
        <c:barDir val="col"/>
        <c:grouping val="stacked"/>
        <c:varyColors val="0"/>
        <c:ser>
          <c:idx val="0"/>
          <c:order val="0"/>
          <c:tx>
            <c:strRef>
              <c:f>'Quote PVT'!$B$6</c:f>
              <c:strCache>
                <c:ptCount val="1"/>
                <c:pt idx="0">
                  <c:v>% Won</c:v>
                </c:pt>
              </c:strCache>
            </c:strRef>
          </c:tx>
          <c:spPr>
            <a:solidFill>
              <a:schemeClr val="accent1"/>
            </a:solidFill>
            <a:ln>
              <a:noFill/>
            </a:ln>
            <a:effectLst/>
            <a:scene3d>
              <a:camera prst="orthographicFront"/>
              <a:lightRig rig="threePt" dir="t"/>
            </a:scene3d>
            <a:sp3d>
              <a:bevelT/>
            </a:sp3d>
          </c:spPr>
          <c:invertIfNegative val="0"/>
          <c:cat>
            <c:multiLvlStrRef>
              <c:f>'Quote PVT'!$A$7:$A$23</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PVT'!$B$7:$B$23</c:f>
              <c:numCache>
                <c:formatCode>#,##0.00</c:formatCode>
                <c:ptCount val="7"/>
                <c:pt idx="0">
                  <c:v>71.430000000000007</c:v>
                </c:pt>
                <c:pt idx="3">
                  <c:v>100</c:v>
                </c:pt>
              </c:numCache>
            </c:numRef>
          </c:val>
        </c:ser>
        <c:ser>
          <c:idx val="1"/>
          <c:order val="1"/>
          <c:tx>
            <c:strRef>
              <c:f>'Quote PVT'!$C$6</c:f>
              <c:strCache>
                <c:ptCount val="1"/>
                <c:pt idx="0">
                  <c:v>% Loss</c:v>
                </c:pt>
              </c:strCache>
            </c:strRef>
          </c:tx>
          <c:spPr>
            <a:solidFill>
              <a:schemeClr val="accent2"/>
            </a:solidFill>
            <a:ln>
              <a:noFill/>
            </a:ln>
            <a:effectLst/>
          </c:spPr>
          <c:invertIfNegative val="0"/>
          <c:cat>
            <c:multiLvlStrRef>
              <c:f>'Quote PVT'!$A$7:$A$23</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PVT'!$C$7:$C$23</c:f>
              <c:numCache>
                <c:formatCode>0.00</c:formatCode>
                <c:ptCount val="7"/>
              </c:numCache>
            </c:numRef>
          </c:val>
        </c:ser>
        <c:ser>
          <c:idx val="2"/>
          <c:order val="2"/>
          <c:tx>
            <c:strRef>
              <c:f>'Quote PVT'!$D$6</c:f>
              <c:strCache>
                <c:ptCount val="1"/>
                <c:pt idx="0">
                  <c:v>% Close</c:v>
                </c:pt>
              </c:strCache>
            </c:strRef>
          </c:tx>
          <c:spPr>
            <a:solidFill>
              <a:schemeClr val="accent3"/>
            </a:solidFill>
            <a:ln>
              <a:noFill/>
            </a:ln>
            <a:effectLst/>
          </c:spPr>
          <c:invertIfNegative val="0"/>
          <c:cat>
            <c:multiLvlStrRef>
              <c:f>'Quote PVT'!$A$7:$A$23</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PVT'!$D$7:$D$23</c:f>
              <c:numCache>
                <c:formatCode>#,##0.00</c:formatCode>
                <c:ptCount val="7"/>
              </c:numCache>
            </c:numRef>
          </c:val>
        </c:ser>
        <c:ser>
          <c:idx val="3"/>
          <c:order val="3"/>
          <c:tx>
            <c:strRef>
              <c:f>'Quote PVT'!$E$6</c:f>
              <c:strCache>
                <c:ptCount val="1"/>
                <c:pt idx="0">
                  <c:v>% Open</c:v>
                </c:pt>
              </c:strCache>
            </c:strRef>
          </c:tx>
          <c:spPr>
            <a:solidFill>
              <a:schemeClr val="accent4"/>
            </a:solidFill>
            <a:ln>
              <a:noFill/>
            </a:ln>
            <a:effectLst/>
            <a:scene3d>
              <a:camera prst="orthographicFront"/>
              <a:lightRig rig="threePt" dir="t"/>
            </a:scene3d>
            <a:sp3d>
              <a:bevelT/>
            </a:sp3d>
          </c:spPr>
          <c:invertIfNegative val="0"/>
          <c:cat>
            <c:multiLvlStrRef>
              <c:f>'Quote PVT'!$A$7:$A$23</c:f>
              <c:multiLvlStrCache>
                <c:ptCount val="7"/>
                <c:lvl>
                  <c:pt idx="0">
                    <c:v>Aug</c:v>
                  </c:pt>
                  <c:pt idx="1">
                    <c:v>Sep</c:v>
                  </c:pt>
                  <c:pt idx="2">
                    <c:v>Oct</c:v>
                  </c:pt>
                  <c:pt idx="3">
                    <c:v>Mar</c:v>
                  </c:pt>
                  <c:pt idx="4">
                    <c:v>May</c:v>
                  </c:pt>
                  <c:pt idx="5">
                    <c:v>Aug</c:v>
                  </c:pt>
                  <c:pt idx="6">
                    <c:v>Sep</c:v>
                  </c:pt>
                </c:lvl>
                <c:lvl>
                  <c:pt idx="0">
                    <c:v>1</c:v>
                  </c:pt>
                  <c:pt idx="1">
                    <c:v>2</c:v>
                  </c:pt>
                  <c:pt idx="2">
                    <c:v>3</c:v>
                  </c:pt>
                  <c:pt idx="3">
                    <c:v>8</c:v>
                  </c:pt>
                  <c:pt idx="4">
                    <c:v>10</c:v>
                  </c:pt>
                  <c:pt idx="5">
                    <c:v>1</c:v>
                  </c:pt>
                  <c:pt idx="6">
                    <c:v>2</c:v>
                  </c:pt>
                </c:lvl>
                <c:lvl>
                  <c:pt idx="0">
                    <c:v>2015</c:v>
                  </c:pt>
                  <c:pt idx="5">
                    <c:v>2016</c:v>
                  </c:pt>
                </c:lvl>
              </c:multiLvlStrCache>
            </c:multiLvlStrRef>
          </c:cat>
          <c:val>
            <c:numRef>
              <c:f>'Quote PVT'!$E$7:$E$23</c:f>
              <c:numCache>
                <c:formatCode>#,##0.00</c:formatCode>
                <c:ptCount val="7"/>
                <c:pt idx="0">
                  <c:v>128.57</c:v>
                </c:pt>
                <c:pt idx="1">
                  <c:v>300</c:v>
                </c:pt>
                <c:pt idx="2">
                  <c:v>300</c:v>
                </c:pt>
                <c:pt idx="3">
                  <c:v>100</c:v>
                </c:pt>
                <c:pt idx="4">
                  <c:v>100</c:v>
                </c:pt>
                <c:pt idx="5">
                  <c:v>200</c:v>
                </c:pt>
                <c:pt idx="6">
                  <c:v>100</c:v>
                </c:pt>
              </c:numCache>
            </c:numRef>
          </c:val>
        </c:ser>
        <c:dLbls>
          <c:showLegendKey val="0"/>
          <c:showVal val="0"/>
          <c:showCatName val="0"/>
          <c:showSerName val="0"/>
          <c:showPercent val="0"/>
          <c:showBubbleSize val="0"/>
        </c:dLbls>
        <c:gapWidth val="150"/>
        <c:overlap val="100"/>
        <c:axId val="877869632"/>
        <c:axId val="877865712"/>
      </c:barChart>
      <c:catAx>
        <c:axId val="87786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65712"/>
        <c:crosses val="autoZero"/>
        <c:auto val="1"/>
        <c:lblAlgn val="ctr"/>
        <c:lblOffset val="100"/>
        <c:noMultiLvlLbl val="0"/>
      </c:catAx>
      <c:valAx>
        <c:axId val="8778657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69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[KPI-CCC.xlsm]Quality - PV!PivotTable19</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REWORK</a:t>
            </a:r>
            <a:r>
              <a:rPr lang="en-CA" sz="1600" b="1" baseline="0">
                <a:solidFill>
                  <a:sysClr val="windowText" lastClr="000000"/>
                </a:solidFill>
              </a:rPr>
              <a:t> AS A % OF SALES</a:t>
            </a:r>
            <a:endParaRPr lang="en-CA"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'Quality - PV'!$B$3</c:f>
              <c:strCache>
                <c:ptCount val="1"/>
                <c:pt idx="0">
                  <c:v>Sales </c:v>
                </c:pt>
              </c:strCache>
            </c:strRef>
          </c:tx>
          <c:spPr>
            <a:solidFill>
              <a:schemeClr val="accent1"/>
            </a:solidFill>
            <a:ln>
              <a:noFill/>
            </a:ln>
            <a:effectLst/>
            <a:scene3d>
              <a:camera prst="orthographicFront"/>
              <a:lightRig rig="threePt" dir="t"/>
            </a:scene3d>
            <a:sp3d>
              <a:bevelT/>
            </a:sp3d>
          </c:spPr>
          <c:invertIfNegative val="0"/>
          <c:cat>
            <c:multiLvlStrRef>
              <c:f>'Quality - PV'!$A$4:$A$29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'Quality - PV'!$B$4:$B$29</c:f>
              <c:numCache>
                <c:formatCode>#,##0</c:formatCode>
                <c:ptCount val="12"/>
                <c:pt idx="0">
                  <c:v>19818618</c:v>
                </c:pt>
                <c:pt idx="1">
                  <c:v>16312359</c:v>
                </c:pt>
                <c:pt idx="2">
                  <c:v>18162210</c:v>
                </c:pt>
                <c:pt idx="3">
                  <c:v>36739393</c:v>
                </c:pt>
                <c:pt idx="4">
                  <c:v>26690365</c:v>
                </c:pt>
                <c:pt idx="5">
                  <c:v>17814080</c:v>
                </c:pt>
                <c:pt idx="6">
                  <c:v>15491948</c:v>
                </c:pt>
                <c:pt idx="7">
                  <c:v>30904773</c:v>
                </c:pt>
                <c:pt idx="8">
                  <c:v>26460562</c:v>
                </c:pt>
                <c:pt idx="9">
                  <c:v>19456929</c:v>
                </c:pt>
                <c:pt idx="10">
                  <c:v>20813105</c:v>
                </c:pt>
                <c:pt idx="11">
                  <c:v>32832337</c:v>
                </c:pt>
              </c:numCache>
            </c:numRef>
          </c:val>
        </c:ser>
        <c:ser>
          <c:idx val="1"/>
          <c:order val="1"/>
          <c:tx>
            <c:strRef>
              <c:f>'Quality - PV'!$C$3</c:f>
              <c:strCache>
                <c:ptCount val="1"/>
                <c:pt idx="0">
                  <c:v>Rework </c:v>
                </c:pt>
              </c:strCache>
            </c:strRef>
          </c:tx>
          <c:spPr>
            <a:solidFill>
              <a:schemeClr val="accent2"/>
            </a:solidFill>
            <a:ln>
              <a:noFill/>
            </a:ln>
            <a:effectLst/>
            <a:scene3d>
              <a:camera prst="orthographicFront"/>
              <a:lightRig rig="threePt" dir="t"/>
            </a:scene3d>
            <a:sp3d>
              <a:bevelT/>
            </a:sp3d>
          </c:spPr>
          <c:invertIfNegative val="0"/>
          <c:cat>
            <c:multiLvlStrRef>
              <c:f>'Quality - PV'!$A$4:$A$29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'Quality - PV'!$C$4:$C$29</c:f>
              <c:numCache>
                <c:formatCode>#,##0</c:formatCode>
                <c:ptCount val="12"/>
                <c:pt idx="0">
                  <c:v>221.42</c:v>
                </c:pt>
                <c:pt idx="1">
                  <c:v>20751.599999999999</c:v>
                </c:pt>
                <c:pt idx="2">
                  <c:v>901.83</c:v>
                </c:pt>
                <c:pt idx="3">
                  <c:v>317.16000000000003</c:v>
                </c:pt>
                <c:pt idx="4">
                  <c:v>320.92</c:v>
                </c:pt>
                <c:pt idx="5">
                  <c:v>358.92</c:v>
                </c:pt>
                <c:pt idx="6">
                  <c:v>1770.01</c:v>
                </c:pt>
                <c:pt idx="7">
                  <c:v>569.26</c:v>
                </c:pt>
                <c:pt idx="8">
                  <c:v>3405.11</c:v>
                </c:pt>
                <c:pt idx="9">
                  <c:v>307.18</c:v>
                </c:pt>
                <c:pt idx="10">
                  <c:v>278.08999999999997</c:v>
                </c:pt>
              </c:numCache>
            </c:numRef>
          </c:val>
        </c:ser>
        <c:dLbls>
          <c:showLegendKey val="0"/>
          <c:showVal val="0"/>
          <c:showCatName val="0"/>
          <c:showSerName val="0"/>
          <c:showPercent val="0"/>
          <c:showBubbleSize val="0"/>
        </c:dLbls>
        <c:gapWidth val="219"/>
        <c:overlap val="-27"/>
        <c:axId val="877870024"/>
        <c:axId val="877866496"/>
      </c:barChart>
      <c:lineChart>
        <c:grouping val="standard"/>
        <c:varyColors val="0"/>
        <c:ser>
          <c:idx val="2"/>
          <c:order val="2"/>
          <c:tx>
            <c:strRef>
              <c:f>'Quality - PV'!$D$3</c:f>
              <c:strCache>
                <c:ptCount val="1"/>
                <c:pt idx="0">
                  <c:v>Rework % of Sales</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'Quality - PV'!$A$4:$A$29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'Quality - PV'!$D$4:$D$29</c:f>
              <c:numCache>
                <c:formatCode>0.00</c:formatCode>
                <c:ptCount val="12"/>
                <c:pt idx="0">
                  <c:v>0</c:v>
                </c:pt>
                <c:pt idx="1">
                  <c:v>0.12</c:v>
                </c:pt>
                <c:pt idx="2">
                  <c:v>0</c:v>
                </c:pt>
                <c:pt idx="3">
                  <c:v>0</c:v>
                </c:pt>
                <c:pt idx="4">
                  <c:v>0</c:v>
                </c:pt>
                <c:pt idx="5">
                  <c:v>0</c:v>
                </c:pt>
                <c:pt idx="6">
                  <c:v>0.01</c:v>
                </c:pt>
                <c:pt idx="7">
                  <c:v>0</c:v>
                </c:pt>
                <c:pt idx="8">
                  <c:v>0.01</c:v>
                </c:pt>
                <c:pt idx="9">
                  <c:v>0</c:v>
                </c:pt>
                <c:pt idx="10">
                  <c:v>0</c:v>
                </c:pt>
              </c:numCache>
            </c:numRef>
          </c:val>
          <c:smooth val="0"/>
        </c:ser>
        <c:dLbls>
          <c:showLegendKey val="0"/>
          <c:showVal val="0"/>
          <c:showCatName val="0"/>
          <c:showSerName val="0"/>
          <c:showPercent val="0"/>
          <c:showBubbleSize val="0"/>
        </c:dLbls>
        <c:marker val="1"/>
        <c:smooth val="0"/>
        <c:axId val="877870416"/>
        <c:axId val="877867672"/>
      </c:lineChart>
      <c:catAx>
        <c:axId val="877870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66496"/>
        <c:crosses val="autoZero"/>
        <c:auto val="1"/>
        <c:lblAlgn val="ctr"/>
        <c:lblOffset val="100"/>
        <c:noMultiLvlLbl val="0"/>
      </c:catAx>
      <c:valAx>
        <c:axId val="877866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Sales</a:t>
                </a:r>
              </a:p>
            </c:rich>
          </c:tx>
          <c:layout>
            <c:manualLayout>
              <c:xMode val="edge"/>
              <c:yMode val="edge"/>
              <c:x val="2.4943310657596373E-2"/>
              <c:y val="0.2450528579760863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70024"/>
        <c:crosses val="autoZero"/>
        <c:crossBetween val="between"/>
      </c:valAx>
      <c:valAx>
        <c:axId val="87786767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t>
                </a:r>
                <a:r>
                  <a:rPr lang="en-CA" baseline="0">
                    <a:solidFill>
                      <a:sysClr val="windowText" lastClr="000000"/>
                    </a:solidFill>
                  </a:rPr>
                  <a:t> of Sales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7870416"/>
        <c:crosses val="max"/>
        <c:crossBetween val="between"/>
      </c:valAx>
      <c:catAx>
        <c:axId val="877870416"/>
        <c:scaling>
          <c:orientation val="minMax"/>
        </c:scaling>
        <c:delete val="1"/>
        <c:axPos val="b"/>
        <c:numFmt formatCode="General" sourceLinked="1"/>
        <c:majorTickMark val="out"/>
        <c:minorTickMark val="none"/>
        <c:tickLblPos val="nextTo"/>
        <c:crossAx val="877867672"/>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[KPI-CCC.xlsm]Quality - PV!PivotTable18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COST</a:t>
            </a:r>
            <a:r>
              <a:rPr lang="en-CA" sz="1600" b="1" baseline="0">
                <a:solidFill>
                  <a:schemeClr val="tx1"/>
                </a:solidFill>
              </a:rPr>
              <a:t> OF QUALITY BY SCRAP CODE</a:t>
            </a:r>
            <a:endParaRPr lang="en-CA"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a:noFill/>
          </a:ln>
          <a:effectLst/>
          <a:scene3d>
            <a:camera prst="orthographicFront"/>
            <a:lightRig rig="threePt" dir="t"/>
          </a:scene3d>
          <a:sp3d>
            <a:bevelT/>
          </a:sp3d>
        </c:spPr>
        <c:marker>
          <c:symbol val="none"/>
        </c:marker>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a:noFill/>
          </a:ln>
          <a:effectLst/>
          <a:scene3d>
            <a:camera prst="orthographicFront"/>
            <a:lightRig rig="threePt" dir="t"/>
          </a:scene3d>
          <a:sp3d>
            <a:bevelT/>
          </a:sp3d>
        </c:spPr>
        <c:marker>
          <c:symbol val="none"/>
        </c:marker>
      </c:pivotFmt>
    </c:pivotFmts>
    <c:plotArea>
      <c:layout/>
      <c:barChart>
        <c:barDir val="col"/>
        <c:grouping val="clustered"/>
        <c:varyColors val="0"/>
        <c:ser>
          <c:idx val="1"/>
          <c:order val="1"/>
          <c:tx>
            <c:strRef>
              <c:f>'Quality - PV'!$J$7</c:f>
              <c:strCache>
                <c:ptCount val="1"/>
                <c:pt idx="0">
                  <c:v>Units </c:v>
                </c:pt>
              </c:strCache>
            </c:strRef>
          </c:tx>
          <c:spPr>
            <a:solidFill>
              <a:schemeClr val="accent2"/>
            </a:solidFill>
            <a:ln>
              <a:noFill/>
            </a:ln>
            <a:effectLst/>
            <a:scene3d>
              <a:camera prst="orthographicFront"/>
              <a:lightRig rig="threePt" dir="t"/>
            </a:scene3d>
            <a:sp3d>
              <a:bevelT/>
            </a:sp3d>
          </c:spPr>
          <c:invertIfNegative val="0"/>
          <c:cat>
            <c:strRef>
              <c:f>'Quality - PV'!$H$8:$H$15</c:f>
              <c:strCache>
                <c:ptCount val="7"/>
                <c:pt idx="0">
                  <c:v>BR</c:v>
                </c:pt>
                <c:pt idx="1">
                  <c:v>DM</c:v>
                </c:pt>
                <c:pt idx="2">
                  <c:v>FM</c:v>
                </c:pt>
                <c:pt idx="3">
                  <c:v>FW</c:v>
                </c:pt>
                <c:pt idx="4">
                  <c:v>ME</c:v>
                </c:pt>
                <c:pt idx="5">
                  <c:v>OE</c:v>
                </c:pt>
                <c:pt idx="6">
                  <c:v>ST</c:v>
                </c:pt>
              </c:strCache>
            </c:strRef>
          </c:cat>
          <c:val>
            <c:numRef>
              <c:f>'Quality - PV'!$J$8:$J$15</c:f>
              <c:numCache>
                <c:formatCode>#,##0</c:formatCode>
                <c:ptCount val="7"/>
                <c:pt idx="0">
                  <c:v>1</c:v>
                </c:pt>
                <c:pt idx="1">
                  <c:v>57</c:v>
                </c:pt>
                <c:pt idx="2">
                  <c:v>197</c:v>
                </c:pt>
                <c:pt idx="3">
                  <c:v>1</c:v>
                </c:pt>
                <c:pt idx="4">
                  <c:v>34</c:v>
                </c:pt>
                <c:pt idx="5">
                  <c:v>412</c:v>
                </c:pt>
                <c:pt idx="6">
                  <c:v>1</c:v>
                </c:pt>
              </c:numCache>
            </c:numRef>
          </c:val>
        </c:ser>
        <c:dLbls>
          <c:showLegendKey val="0"/>
          <c:showVal val="0"/>
          <c:showCatName val="0"/>
          <c:showSerName val="0"/>
          <c:showPercent val="0"/>
          <c:showBubbleSize val="0"/>
        </c:dLbls>
        <c:gapWidth val="219"/>
        <c:axId val="878880360"/>
        <c:axId val="878886632"/>
      </c:barChart>
      <c:barChart>
        <c:barDir val="bar"/>
        <c:grouping val="clustered"/>
        <c:varyColors val="0"/>
        <c:ser>
          <c:idx val="0"/>
          <c:order val="0"/>
          <c:tx>
            <c:strRef>
              <c:f>'Quality - PV'!$I$7</c:f>
              <c:strCache>
                <c:ptCount val="1"/>
                <c:pt idx="0">
                  <c:v>$ Cost</c:v>
                </c:pt>
              </c:strCache>
            </c:strRef>
          </c:tx>
          <c:spPr>
            <a:solidFill>
              <a:schemeClr val="accent1"/>
            </a:solidFill>
            <a:ln>
              <a:noFill/>
            </a:ln>
            <a:effectLst/>
            <a:scene3d>
              <a:camera prst="orthographicFront"/>
              <a:lightRig rig="threePt" dir="t"/>
            </a:scene3d>
            <a:sp3d>
              <a:bevelT/>
            </a:sp3d>
          </c:spPr>
          <c:invertIfNegative val="0"/>
          <c:cat>
            <c:strRef>
              <c:f>'Quality - PV'!$H$8:$H$15</c:f>
              <c:strCache>
                <c:ptCount val="7"/>
                <c:pt idx="0">
                  <c:v>BR</c:v>
                </c:pt>
                <c:pt idx="1">
                  <c:v>DM</c:v>
                </c:pt>
                <c:pt idx="2">
                  <c:v>FM</c:v>
                </c:pt>
                <c:pt idx="3">
                  <c:v>FW</c:v>
                </c:pt>
                <c:pt idx="4">
                  <c:v>ME</c:v>
                </c:pt>
                <c:pt idx="5">
                  <c:v>OE</c:v>
                </c:pt>
                <c:pt idx="6">
                  <c:v>ST</c:v>
                </c:pt>
              </c:strCache>
            </c:strRef>
          </c:cat>
          <c:val>
            <c:numRef>
              <c:f>'Quality - PV'!$I$8:$I$15</c:f>
              <c:numCache>
                <c:formatCode>"$"#,##0</c:formatCode>
                <c:ptCount val="7"/>
                <c:pt idx="0">
                  <c:v>5.2</c:v>
                </c:pt>
                <c:pt idx="1">
                  <c:v>461.84000000000003</c:v>
                </c:pt>
                <c:pt idx="2">
                  <c:v>2472.84</c:v>
                </c:pt>
                <c:pt idx="3">
                  <c:v>0.04</c:v>
                </c:pt>
                <c:pt idx="4">
                  <c:v>529.9799999999999</c:v>
                </c:pt>
                <c:pt idx="5">
                  <c:v>25713.139999999996</c:v>
                </c:pt>
                <c:pt idx="6">
                  <c:v>18.5</c:v>
                </c:pt>
              </c:numCache>
            </c:numRef>
          </c:val>
        </c:ser>
        <c:dLbls>
          <c:showLegendKey val="0"/>
          <c:showVal val="0"/>
          <c:showCatName val="0"/>
          <c:showSerName val="0"/>
          <c:showPercent val="0"/>
          <c:showBubbleSize val="0"/>
        </c:dLbls>
        <c:gapWidth val="219"/>
        <c:axId val="878882712"/>
        <c:axId val="878884672"/>
      </c:barChart>
      <c:catAx>
        <c:axId val="878880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6632"/>
        <c:crosses val="autoZero"/>
        <c:auto val="1"/>
        <c:lblAlgn val="ctr"/>
        <c:lblOffset val="100"/>
        <c:noMultiLvlLbl val="0"/>
      </c:catAx>
      <c:valAx>
        <c:axId val="878886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Units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0360"/>
        <c:crosses val="autoZero"/>
        <c:crossBetween val="between"/>
      </c:valAx>
      <c:valAx>
        <c:axId val="878884672"/>
        <c:scaling>
          <c:orientation val="minMax"/>
        </c:scaling>
        <c:delete val="0"/>
        <c:axPos val="t"/>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a:solidFill>
                      <a:sysClr val="windowText" lastClr="000000"/>
                    </a:solidFill>
                  </a:rPr>
                  <a:t>Cost</a:t>
                </a:r>
                <a:r>
                  <a:rPr lang="en-CA" baseline="0">
                    <a:solidFill>
                      <a:sysClr val="windowText" lastClr="000000"/>
                    </a:solidFill>
                  </a:rPr>
                  <a:t> of Quality</a:t>
                </a:r>
                <a:endParaRPr lang="en-CA">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2712"/>
        <c:crosses val="max"/>
        <c:crossBetween val="between"/>
      </c:valAx>
      <c:catAx>
        <c:axId val="878882712"/>
        <c:scaling>
          <c:orientation val="minMax"/>
        </c:scaling>
        <c:delete val="1"/>
        <c:axPos val="l"/>
        <c:numFmt formatCode="General" sourceLinked="1"/>
        <c:majorTickMark val="out"/>
        <c:minorTickMark val="none"/>
        <c:tickLblPos val="nextTo"/>
        <c:crossAx val="8788846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[KPI-CCC.xlsm]WC PV!PivotTable13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UNITS SCRAPPED VS UNIT PRODUCED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'WC PV'!$I$3</c:f>
              <c:strCache>
                <c:ptCount val="1"/>
                <c:pt idx="0">
                  <c:v>Units Produced</c:v>
                </c:pt>
              </c:strCache>
            </c:strRef>
          </c:tx>
          <c:spPr>
            <a:solidFill>
              <a:schemeClr val="accent1"/>
            </a:solidFill>
            <a:ln>
              <a:noFill/>
            </a:ln>
            <a:effectLst/>
            <a:scene3d>
              <a:camera prst="orthographicFront"/>
              <a:lightRig rig="threePt" dir="t"/>
            </a:scene3d>
            <a:sp3d>
              <a:bevelT/>
            </a:sp3d>
          </c:spPr>
          <c:invertIfNegative val="0"/>
          <c:cat>
            <c:multiLvlStrRef>
              <c:f>'WC PV'!$H$4:$H$29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'WC PV'!$I$4:$I$29</c:f>
              <c:numCache>
                <c:formatCode>#,##0</c:formatCode>
                <c:ptCount val="12"/>
                <c:pt idx="0">
                  <c:v>121896</c:v>
                </c:pt>
                <c:pt idx="1">
                  <c:v>209878.5</c:v>
                </c:pt>
                <c:pt idx="2">
                  <c:v>161917.5</c:v>
                </c:pt>
                <c:pt idx="3">
                  <c:v>13760703</c:v>
                </c:pt>
                <c:pt idx="4">
                  <c:v>130635</c:v>
                </c:pt>
                <c:pt idx="5">
                  <c:v>146410.5</c:v>
                </c:pt>
                <c:pt idx="6">
                  <c:v>186313.5</c:v>
                </c:pt>
                <c:pt idx="7">
                  <c:v>78333</c:v>
                </c:pt>
                <c:pt idx="8">
                  <c:v>23355</c:v>
                </c:pt>
                <c:pt idx="9">
                  <c:v>23235</c:v>
                </c:pt>
                <c:pt idx="10">
                  <c:v>17290.5</c:v>
                </c:pt>
                <c:pt idx="11">
                  <c:v>10249.5</c:v>
                </c:pt>
              </c:numCache>
            </c:numRef>
          </c:val>
        </c:ser>
        <c:ser>
          <c:idx val="1"/>
          <c:order val="1"/>
          <c:tx>
            <c:strRef>
              <c:f>'WC PV'!$J$3</c:f>
              <c:strCache>
                <c:ptCount val="1"/>
                <c:pt idx="0">
                  <c:v>Units Scrapped</c:v>
                </c:pt>
              </c:strCache>
            </c:strRef>
          </c:tx>
          <c:spPr>
            <a:solidFill>
              <a:schemeClr val="accent2"/>
            </a:solidFill>
            <a:ln>
              <a:noFill/>
            </a:ln>
            <a:effectLst/>
          </c:spPr>
          <c:invertIfNegative val="0"/>
          <c:cat>
            <c:multiLvlStrRef>
              <c:f>'WC PV'!$H$4:$H$29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'WC PV'!$J$4:$J$29</c:f>
              <c:numCache>
                <c:formatCode>#,##0</c:formatCode>
                <c:ptCount val="12"/>
                <c:pt idx="0">
                  <c:v>105</c:v>
                </c:pt>
                <c:pt idx="1">
                  <c:v>835</c:v>
                </c:pt>
                <c:pt idx="2">
                  <c:v>212.5</c:v>
                </c:pt>
                <c:pt idx="3">
                  <c:v>27.5</c:v>
                </c:pt>
                <c:pt idx="4">
                  <c:v>15</c:v>
                </c:pt>
                <c:pt idx="5">
                  <c:v>72.5</c:v>
                </c:pt>
                <c:pt idx="6">
                  <c:v>270</c:v>
                </c:pt>
                <c:pt idx="7">
                  <c:v>57.5</c:v>
                </c:pt>
                <c:pt idx="8">
                  <c:v>65</c:v>
                </c:pt>
                <c:pt idx="9">
                  <c:v>85</c:v>
                </c:pt>
                <c:pt idx="10">
                  <c:v>2.5</c:v>
                </c:pt>
                <c:pt idx="11">
                  <c:v>0</c:v>
                </c:pt>
              </c:numCache>
            </c:numRef>
          </c:val>
        </c:ser>
        <c:dLbls>
          <c:showLegendKey val="0"/>
          <c:showVal val="0"/>
          <c:showCatName val="0"/>
          <c:showSerName val="0"/>
          <c:showPercent val="0"/>
          <c:showBubbleSize val="0"/>
        </c:dLbls>
        <c:gapWidth val="219"/>
        <c:overlap val="-27"/>
        <c:axId val="878882320"/>
        <c:axId val="878879968"/>
      </c:barChart>
      <c:lineChart>
        <c:grouping val="standard"/>
        <c:varyColors val="0"/>
        <c:ser>
          <c:idx val="2"/>
          <c:order val="2"/>
          <c:tx>
            <c:strRef>
              <c:f>'WC PV'!$K$3</c:f>
              <c:strCache>
                <c:ptCount val="1"/>
                <c:pt idx="0">
                  <c:v>% Scrapped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'WC PV'!$H$4:$H$29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'WC PV'!$K$4:$K$29</c:f>
              <c:numCache>
                <c:formatCode>0.00%</c:formatCode>
                <c:ptCount val="12"/>
                <c:pt idx="0">
                  <c:v>8.6139003740893876E-4</c:v>
                </c:pt>
                <c:pt idx="1">
                  <c:v>3.9784923181745632E-3</c:v>
                </c:pt>
                <c:pt idx="2">
                  <c:v>1.3123967452560717E-3</c:v>
                </c:pt>
                <c:pt idx="3">
                  <c:v>1.9984444108705785E-6</c:v>
                </c:pt>
                <c:pt idx="4">
                  <c:v>1.1482374555057986E-4</c:v>
                </c:pt>
                <c:pt idx="5">
                  <c:v>4.9518306405619812E-4</c:v>
                </c:pt>
                <c:pt idx="6">
                  <c:v>1.4491703499746396E-3</c:v>
                </c:pt>
                <c:pt idx="7">
                  <c:v>7.3404567679011398E-4</c:v>
                </c:pt>
                <c:pt idx="8">
                  <c:v>2.7831299507600086E-3</c:v>
                </c:pt>
                <c:pt idx="9">
                  <c:v>3.6582741553690553E-3</c:v>
                </c:pt>
                <c:pt idx="10">
                  <c:v>1.4458806859257974E-4</c:v>
                </c:pt>
                <c:pt idx="11">
                  <c:v>0</c:v>
                </c:pt>
              </c:numCache>
            </c:numRef>
          </c:val>
          <c:smooth val="0"/>
        </c:ser>
        <c:dLbls>
          <c:showLegendKey val="0"/>
          <c:showVal val="0"/>
          <c:showCatName val="0"/>
          <c:showSerName val="0"/>
          <c:showPercent val="0"/>
          <c:showBubbleSize val="0"/>
        </c:dLbls>
        <c:marker val="1"/>
        <c:smooth val="0"/>
        <c:axId val="878881144"/>
        <c:axId val="878883104"/>
      </c:lineChart>
      <c:catAx>
        <c:axId val="87888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79968"/>
        <c:crosses val="autoZero"/>
        <c:auto val="1"/>
        <c:lblAlgn val="ctr"/>
        <c:lblOffset val="100"/>
        <c:noMultiLvlLbl val="0"/>
      </c:catAx>
      <c:valAx>
        <c:axId val="87887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Units Produced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2320"/>
        <c:crosses val="autoZero"/>
        <c:crossBetween val="between"/>
      </c:valAx>
      <c:valAx>
        <c:axId val="87888310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Units Scrapped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1144"/>
        <c:crosses val="max"/>
        <c:crossBetween val="between"/>
      </c:valAx>
      <c:catAx>
        <c:axId val="878881144"/>
        <c:scaling>
          <c:orientation val="minMax"/>
        </c:scaling>
        <c:delete val="1"/>
        <c:axPos val="b"/>
        <c:numFmt formatCode="General" sourceLinked="1"/>
        <c:majorTickMark val="out"/>
        <c:minorTickMark val="none"/>
        <c:tickLblPos val="nextTo"/>
        <c:crossAx val="87888310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[KPI-CCC.xlsm]Quality_RU_RMA!PivotTable14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TOTAL</a:t>
            </a:r>
            <a:r>
              <a:rPr lang="en-US" b="1" baseline="0">
                <a:solidFill>
                  <a:sysClr val="windowText" lastClr="000000"/>
                </a:solidFill>
              </a:rPr>
              <a:t> RMA'S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75000"/>
            </a:schemeClr>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Quality_RU_RMA!$J$3</c:f>
              <c:strCache>
                <c:ptCount val="1"/>
                <c:pt idx="0">
                  <c:v>Total</c:v>
                </c:pt>
              </c:strCache>
            </c:strRef>
          </c:tx>
          <c:spPr>
            <a:solidFill>
              <a:schemeClr val="accent6">
                <a:lumMod val="75000"/>
              </a:schemeClr>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Quality_RU_RMA!$I$4</c:f>
              <c:strCache>
                <c:ptCount val="1"/>
                <c:pt idx="0">
                  <c:v>Grand Total</c:v>
                </c:pt>
              </c:strCache>
            </c:strRef>
          </c:cat>
          <c:val>
            <c:numRef>
              <c:f>Quality_RU_RMA!$J$4</c:f>
              <c:numCache>
                <c:formatCode>#,##0</c:formatCode>
                <c:ptCount val="1"/>
              </c:numCache>
            </c:numRef>
          </c:val>
        </c:ser>
        <c:dLbls>
          <c:dLblPos val="outEnd"/>
          <c:showLegendKey val="0"/>
          <c:showVal val="1"/>
          <c:showCatName val="0"/>
          <c:showSerName val="0"/>
          <c:showPercent val="0"/>
          <c:showBubbleSize val="0"/>
        </c:dLbls>
        <c:gapWidth val="219"/>
        <c:overlap val="-27"/>
        <c:axId val="878881536"/>
        <c:axId val="878881928"/>
      </c:barChart>
      <c:catAx>
        <c:axId val="87888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1928"/>
        <c:crosses val="autoZero"/>
        <c:auto val="1"/>
        <c:lblAlgn val="ctr"/>
        <c:lblOffset val="100"/>
        <c:noMultiLvlLbl val="0"/>
      </c:catAx>
      <c:valAx>
        <c:axId val="878881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1536"/>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[KPI-CCC.xlsm]Labor Hours!PivotTable22</c:name>
    <c:fmtId val="2"/>
  </c:pivotSource>
  <c:chart>
    <c:title>
      <c:tx>
        <c:rich>
          <a:bodyPr rot="0" spcFirstLastPara="1" vertOverflow="ellipsis" vert="horz" wrap="square" anchor="ctr" anchorCtr="1"/>
          <a:lstStyle/>
          <a:p>
            <a:pPr algn="ctr" rtl="0">
              <a:defRPr lang="en-CA" sz="1600" b="1" i="0" u="none" strike="noStrike" kern="1200" spc="0" baseline="0">
                <a:solidFill>
                  <a:schemeClr val="accent5"/>
                </a:solidFill>
                <a:latin typeface="+mn-lt"/>
                <a:ea typeface="+mn-ea"/>
                <a:cs typeface="+mn-cs"/>
              </a:defRPr>
            </a:pPr>
            <a:r>
              <a:rPr lang="en-CA" sz="1600" b="1" i="0" u="none" strike="noStrike" kern="1200" spc="0" baseline="0">
                <a:solidFill>
                  <a:sysClr val="windowText" lastClr="000000"/>
                </a:solidFill>
                <a:latin typeface="+mn-lt"/>
                <a:ea typeface="+mn-ea"/>
                <a:cs typeface="+mn-cs"/>
              </a:rPr>
              <a:t>INDIRECT vs DIRECT LABOR HOURS</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chemeClr val="accent5"/>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'Labor Hours'!$P$1:$P$2</c:f>
              <c:strCache>
                <c:ptCount val="1"/>
                <c:pt idx="0">
                  <c:v>D</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'Labor Hours'!$O$3:$O$14</c:f>
              <c:multiLvlStrCache>
                <c:ptCount val="9"/>
                <c:lvl>
                  <c:pt idx="0">
                    <c:v>Jan</c:v>
                  </c:pt>
                  <c:pt idx="1">
                    <c:v>Feb</c:v>
                  </c:pt>
                  <c:pt idx="2">
                    <c:v>Mar</c:v>
                  </c:pt>
                  <c:pt idx="3">
                    <c:v>Apr</c:v>
                  </c:pt>
                  <c:pt idx="4">
                    <c:v>May</c:v>
                  </c:pt>
                  <c:pt idx="5">
                    <c:v>Jun</c:v>
                  </c:pt>
                  <c:pt idx="6">
                    <c:v>Jul</c:v>
                  </c:pt>
                  <c:pt idx="7">
                    <c:v>Aug</c:v>
                  </c:pt>
                  <c:pt idx="8">
                    <c:v>Sep</c:v>
                  </c:pt>
                </c:lvl>
                <c:lvl>
                  <c:pt idx="0">
                    <c:v>2015</c:v>
                  </c:pt>
                </c:lvl>
                <c:lvl>
                  <c:pt idx="0">
                    <c:v>2016</c:v>
                  </c:pt>
                </c:lvl>
              </c:multiLvlStrCache>
            </c:multiLvlStrRef>
          </c:cat>
          <c:val>
            <c:numRef>
              <c:f>'Labor Hours'!$P$3:$P$14</c:f>
              <c:numCache>
                <c:formatCode>0.00%</c:formatCode>
                <c:ptCount val="9"/>
                <c:pt idx="0">
                  <c:v>1</c:v>
                </c:pt>
                <c:pt idx="1">
                  <c:v>1</c:v>
                </c:pt>
                <c:pt idx="2">
                  <c:v>1</c:v>
                </c:pt>
                <c:pt idx="3">
                  <c:v>1</c:v>
                </c:pt>
                <c:pt idx="4">
                  <c:v>1</c:v>
                </c:pt>
                <c:pt idx="5">
                  <c:v>1</c:v>
                </c:pt>
                <c:pt idx="6">
                  <c:v>1</c:v>
                </c:pt>
                <c:pt idx="7">
                  <c:v>1</c:v>
                </c:pt>
                <c:pt idx="8">
                  <c:v>1</c:v>
                </c:pt>
              </c:numCache>
            </c:numRef>
          </c:val>
        </c:ser>
        <c:dLbls>
          <c:showLegendKey val="0"/>
          <c:showVal val="1"/>
          <c:showCatName val="0"/>
          <c:showSerName val="0"/>
          <c:showPercent val="0"/>
          <c:showBubbleSize val="0"/>
        </c:dLbls>
        <c:gapWidth val="150"/>
        <c:shape val="box"/>
        <c:axId val="878887024"/>
        <c:axId val="878883888"/>
        <c:axId val="0"/>
      </c:bar3DChart>
      <c:catAx>
        <c:axId val="8788870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3888"/>
        <c:crosses val="autoZero"/>
        <c:auto val="1"/>
        <c:lblAlgn val="ctr"/>
        <c:lblOffset val="100"/>
        <c:noMultiLvlLbl val="0"/>
      </c:catAx>
      <c:valAx>
        <c:axId val="878883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t>
                </a:r>
                <a:r>
                  <a:rPr lang="en-CA" baseline="0">
                    <a:solidFill>
                      <a:sysClr val="windowText" lastClr="000000"/>
                    </a:solidFill>
                  </a:rPr>
                  <a:t> o Labor Hours</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[KPI-CCC.xlsm]L2-Ind Hrs!PivotTable7</c:name>
    <c:fmtId val="3"/>
  </c:pivotSource>
  <c:chart>
    <c:title>
      <c:tx>
        <c:rich>
          <a:bodyPr rot="0" spcFirstLastPara="1" vertOverflow="ellipsis" vert="horz" wrap="square" anchor="ctr" anchorCtr="1"/>
          <a:lstStyle/>
          <a:p>
            <a:pPr algn="ctr" rtl="0">
              <a:defRPr lang="en-CA" sz="1600" b="1" i="0" u="none" strike="noStrike" kern="1200" spc="0" baseline="0">
                <a:solidFill>
                  <a:schemeClr val="accent5"/>
                </a:solidFill>
                <a:latin typeface="+mn-lt"/>
                <a:ea typeface="+mn-ea"/>
                <a:cs typeface="+mn-cs"/>
              </a:defRPr>
            </a:pPr>
            <a:r>
              <a:rPr lang="en-CA" sz="1600" b="1" i="0" u="none" strike="noStrike" kern="1200" spc="0" baseline="0">
                <a:solidFill>
                  <a:sysClr val="windowText" lastClr="000000"/>
                </a:solidFill>
                <a:latin typeface="+mn-lt"/>
                <a:ea typeface="+mn-ea"/>
                <a:cs typeface="+mn-cs"/>
              </a:rPr>
              <a:t>INDIRECT LABOR HOURS BY SEQUENCE CODE</a:t>
            </a:r>
          </a:p>
        </c:rich>
      </c:tx>
      <c:overlay val="0"/>
      <c:spPr>
        <a:noFill/>
        <a:ln>
          <a:noFill/>
        </a:ln>
        <a:effectLst/>
      </c:spPr>
      <c:txPr>
        <a:bodyPr rot="0" spcFirstLastPara="1" vertOverflow="ellipsis" vert="horz" wrap="square" anchor="ctr" anchorCtr="1"/>
        <a:lstStyle/>
        <a:p>
          <a:pPr algn="ctr" rtl="0">
            <a:defRPr lang="en-CA" sz="1600" b="1" i="0" u="none" strike="noStrike" kern="1200" spc="0" baseline="0">
              <a:solidFill>
                <a:schemeClr val="accent5"/>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'L2-Ind Hrs'!$P$6</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'L2-Ind Hrs'!$O$7</c:f>
              <c:strCache>
                <c:ptCount val="1"/>
                <c:pt idx="0">
                  <c:v>Grand Total</c:v>
                </c:pt>
              </c:strCache>
            </c:strRef>
          </c:cat>
          <c:val>
            <c:numRef>
              <c:f>'L2-Ind Hrs'!$P$7</c:f>
              <c:numCache>
                <c:formatCode>#,##0.00</c:formatCode>
                <c:ptCount val="1"/>
              </c:numCache>
            </c:numRef>
          </c:val>
        </c:ser>
        <c:dLbls>
          <c:showLegendKey val="0"/>
          <c:showVal val="0"/>
          <c:showCatName val="0"/>
          <c:showSerName val="0"/>
          <c:showPercent val="0"/>
          <c:showBubbleSize val="0"/>
        </c:dLbls>
        <c:gapWidth val="182"/>
        <c:axId val="878884280"/>
        <c:axId val="878885064"/>
      </c:barChart>
      <c:catAx>
        <c:axId val="8788842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Indirect</a:t>
                </a:r>
                <a:r>
                  <a:rPr lang="en-CA" baseline="0">
                    <a:solidFill>
                      <a:sysClr val="windowText" lastClr="000000"/>
                    </a:solidFill>
                  </a:rPr>
                  <a:t> Labor Sequenxe Code</a:t>
                </a:r>
                <a:endParaRPr lang="en-CA">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5064"/>
        <c:crosses val="autoZero"/>
        <c:auto val="1"/>
        <c:lblAlgn val="ctr"/>
        <c:lblOffset val="100"/>
        <c:noMultiLvlLbl val="0"/>
      </c:catAx>
      <c:valAx>
        <c:axId val="878885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8884280"/>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[KPI-CCC.xlsm]L3- Rev $ per-labor hr !PivotTable2</c:name>
    <c:fmtId val="5"/>
  </c:pivotSource>
  <c:chart>
    <c:title>
      <c:tx>
        <c:rich>
          <a:bodyPr rot="0" spcFirstLastPara="1" vertOverflow="ellipsis" vert="horz" wrap="square" anchor="ctr" anchorCtr="1"/>
          <a:lstStyle/>
          <a:p>
            <a:pPr algn="ctr" rtl="0">
              <a:defRPr lang="en-US" sz="1600" b="1" i="0" u="none" strike="noStrike" kern="1200" spc="0" baseline="0">
                <a:solidFill>
                  <a:schemeClr val="accent5"/>
                </a:solidFill>
                <a:latin typeface="+mn-lt"/>
                <a:ea typeface="+mn-ea"/>
                <a:cs typeface="+mn-cs"/>
              </a:defRPr>
            </a:pPr>
            <a:r>
              <a:rPr lang="en-US" sz="1600" b="1" i="0" u="none" strike="noStrike" kern="1200" spc="0" baseline="0">
                <a:solidFill>
                  <a:sysClr val="windowText" lastClr="000000"/>
                </a:solidFill>
                <a:latin typeface="+mn-lt"/>
                <a:ea typeface="+mn-ea"/>
                <a:cs typeface="+mn-cs"/>
              </a:rPr>
              <a:t>REVENUE PER LABOR HOUR</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accent5"/>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'L3- Rev $ per-labor hr '!$Z$14</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'L3- Rev $ per-labor hr '!$Y$15:$Y$32</c:f>
              <c:multiLvlStrCache>
                <c:ptCount val="13"/>
                <c:lvl>
                  <c:pt idx="0">
                    <c:v>Aug</c:v>
                  </c:pt>
                  <c:pt idx="1">
                    <c:v>Sep</c:v>
                  </c:pt>
                  <c:pt idx="2">
                    <c:v>Oct</c:v>
                  </c:pt>
                  <c:pt idx="3">
                    <c:v>Nov</c:v>
                  </c:pt>
                  <c:pt idx="4">
                    <c:v>Dec</c:v>
                  </c:pt>
                  <c:pt idx="5">
                    <c:v>Jan</c:v>
                  </c:pt>
                  <c:pt idx="6">
                    <c:v>Feb</c:v>
                  </c:pt>
                  <c:pt idx="7">
                    <c:v>Mar</c:v>
                  </c:pt>
                  <c:pt idx="8">
                    <c:v>Apr</c:v>
                  </c:pt>
                  <c:pt idx="9">
                    <c:v>May</c:v>
                  </c:pt>
                  <c:pt idx="10">
                    <c:v>Jun</c:v>
                  </c:pt>
                  <c:pt idx="11">
                    <c:v>Jul</c:v>
                  </c:pt>
                  <c:pt idx="12">
                    <c:v>Sep</c:v>
                  </c:pt>
                </c:lvl>
                <c:lvl>
                  <c:pt idx="0">
                    <c:v>2014</c:v>
                  </c:pt>
                  <c:pt idx="5">
                    <c:v>2015</c:v>
                  </c:pt>
                </c:lvl>
                <c:lvl>
                  <c:pt idx="0">
                    <c:v>2015</c:v>
                  </c:pt>
                  <c:pt idx="5">
                    <c:v>2016</c:v>
                  </c:pt>
                </c:lvl>
              </c:multiLvlStrCache>
            </c:multiLvlStrRef>
          </c:cat>
          <c:val>
            <c:numRef>
              <c:f>'L3- Rev $ per-labor hr '!$Z$15:$Z$32</c:f>
              <c:numCache>
                <c:formatCode>"$"#,##0.00</c:formatCode>
                <c:ptCount val="13"/>
                <c:pt idx="0">
                  <c:v>0</c:v>
                </c:pt>
                <c:pt idx="1">
                  <c:v>0</c:v>
                </c:pt>
                <c:pt idx="2">
                  <c:v>0</c:v>
                </c:pt>
                <c:pt idx="3">
                  <c:v>0</c:v>
                </c:pt>
                <c:pt idx="4">
                  <c:v>0</c:v>
                </c:pt>
                <c:pt idx="5">
                  <c:v>0</c:v>
                </c:pt>
                <c:pt idx="6">
                  <c:v>4972.2767040832914</c:v>
                </c:pt>
                <c:pt idx="7">
                  <c:v>9535.1967043304303</c:v>
                </c:pt>
                <c:pt idx="8">
                  <c:v>10692.980106630106</c:v>
                </c:pt>
                <c:pt idx="9">
                  <c:v>6216.7350184111174</c:v>
                </c:pt>
                <c:pt idx="10">
                  <c:v>6581.2004513252123</c:v>
                </c:pt>
                <c:pt idx="11">
                  <c:v>10123.871224767092</c:v>
                </c:pt>
                <c:pt idx="12">
                  <c:v>25408.183959178335</c:v>
                </c:pt>
              </c:numCache>
            </c:numRef>
          </c:val>
        </c:ser>
        <c:dLbls>
          <c:showLegendKey val="0"/>
          <c:showVal val="0"/>
          <c:showCatName val="0"/>
          <c:showSerName val="0"/>
          <c:showPercent val="0"/>
          <c:showBubbleSize val="0"/>
        </c:dLbls>
        <c:gapWidth val="219"/>
        <c:overlap val="-27"/>
        <c:axId val="879480920"/>
        <c:axId val="879482880"/>
      </c:barChart>
      <c:catAx>
        <c:axId val="879480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2880"/>
        <c:crosses val="autoZero"/>
        <c:auto val="1"/>
        <c:lblAlgn val="ctr"/>
        <c:lblOffset val="100"/>
        <c:noMultiLvlLbl val="0"/>
      </c:catAx>
      <c:valAx>
        <c:axId val="8794828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0920"/>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[KPI-CCC.xlsm]P4_LABOR_RU!PivotTable15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LABOR COSTS PER UNIT PRODUCED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P4_LABOR_RU!$W$2</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P4_LABOR_RU!$V$3:$V$28</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P4_LABOR_RU!$W$3:$W$28</c:f>
              <c:numCache>
                <c:formatCode>"$"#,##0.00</c:formatCode>
                <c:ptCount val="12"/>
                <c:pt idx="0">
                  <c:v>10.54</c:v>
                </c:pt>
                <c:pt idx="1">
                  <c:v>8.51</c:v>
                </c:pt>
                <c:pt idx="2">
                  <c:v>6.66</c:v>
                </c:pt>
                <c:pt idx="3">
                  <c:v>5.49</c:v>
                </c:pt>
                <c:pt idx="4">
                  <c:v>5.73</c:v>
                </c:pt>
                <c:pt idx="5">
                  <c:v>4.8099999999999996</c:v>
                </c:pt>
                <c:pt idx="6">
                  <c:v>4.1100000000000003</c:v>
                </c:pt>
                <c:pt idx="7">
                  <c:v>6.24</c:v>
                </c:pt>
                <c:pt idx="8">
                  <c:v>21.03</c:v>
                </c:pt>
                <c:pt idx="9">
                  <c:v>12.83</c:v>
                </c:pt>
                <c:pt idx="10">
                  <c:v>8.1199999999999992</c:v>
                </c:pt>
                <c:pt idx="11">
                  <c:v>3.37</c:v>
                </c:pt>
              </c:numCache>
            </c:numRef>
          </c:val>
        </c:ser>
        <c:dLbls>
          <c:dLblPos val="outEnd"/>
          <c:showLegendKey val="0"/>
          <c:showVal val="1"/>
          <c:showCatName val="0"/>
          <c:showSerName val="0"/>
          <c:showPercent val="0"/>
          <c:showBubbleSize val="0"/>
        </c:dLbls>
        <c:gapWidth val="219"/>
        <c:overlap val="-27"/>
        <c:axId val="879487584"/>
        <c:axId val="879481704"/>
      </c:barChart>
      <c:catAx>
        <c:axId val="87948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1704"/>
        <c:crosses val="autoZero"/>
        <c:auto val="1"/>
        <c:lblAlgn val="ctr"/>
        <c:lblOffset val="100"/>
        <c:noMultiLvlLbl val="0"/>
      </c:catAx>
      <c:valAx>
        <c:axId val="879481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Lobor 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7584"/>
        <c:crosses val="autoZero"/>
        <c:crossBetween val="between"/>
      </c:valAx>
      <c:spPr>
        <a:noFill/>
        <a:ln>
          <a:noFill/>
        </a:ln>
        <a:effectLst/>
      </c:spPr>
    </c:plotArea>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[KPI-CCC.xlsm]WC PV!PivotTable12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b="1">
                <a:solidFill>
                  <a:schemeClr val="tx1"/>
                </a:solidFill>
              </a:rPr>
              <a:t>WORKCENTER UTLIZATION %</a:t>
            </a:r>
          </a:p>
        </c:rich>
      </c:tx>
      <c:layout>
        <c:manualLayout>
          <c:xMode val="edge"/>
          <c:yMode val="edge"/>
          <c:x val="0.44203913218230145"/>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threePt" dir="t"/>
          </a:scene3d>
          <a:sp3d>
            <a:bevelT/>
          </a:sp3d>
        </c:spPr>
        <c:marker>
          <c:symbol val="none"/>
        </c:marker>
      </c:pivotFmt>
      <c:pivotFmt>
        <c:idx val="1"/>
        <c:spPr>
          <a:solidFill>
            <a:schemeClr val="accent1"/>
          </a:solidFill>
          <a:ln>
            <a:noFill/>
          </a:ln>
          <a:effectLst/>
          <a:scene3d>
            <a:camera prst="orthographicFront"/>
            <a:lightRig rig="threePt" dir="t"/>
          </a:scene3d>
          <a:sp3d>
            <a:bevelT/>
          </a:sp3d>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marker>
          <c:symbol val="none"/>
        </c:marker>
      </c:pivotFmt>
      <c:pivotFmt>
        <c:idx val="4"/>
        <c:spPr>
          <a:solidFill>
            <a:schemeClr val="accent1"/>
          </a:solidFill>
          <a:ln>
            <a:noFill/>
          </a:ln>
          <a:effectLst/>
          <a:scene3d>
            <a:camera prst="orthographicFront"/>
            <a:lightRig rig="threePt" dir="t"/>
          </a:scene3d>
          <a:sp3d>
            <a:bevelT/>
          </a:sp3d>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'WC PV'!$B$7</c:f>
              <c:strCache>
                <c:ptCount val="1"/>
                <c:pt idx="0">
                  <c:v>Hours Worked </c:v>
                </c:pt>
              </c:strCache>
            </c:strRef>
          </c:tx>
          <c:spPr>
            <a:solidFill>
              <a:schemeClr val="accent1"/>
            </a:solidFill>
            <a:ln>
              <a:noFill/>
            </a:ln>
            <a:effectLst/>
            <a:scene3d>
              <a:camera prst="orthographicFront"/>
              <a:lightRig rig="threePt" dir="t"/>
            </a:scene3d>
            <a:sp3d>
              <a:bevelT/>
            </a:sp3d>
          </c:spPr>
          <c:invertIfNegative val="0"/>
          <c:cat>
            <c:strRef>
              <c:f>'WC PV'!$A$8:$A$18</c:f>
              <c:strCache>
                <c:ptCount val="10"/>
                <c:pt idx="0">
                  <c:v>2ND1</c:v>
                </c:pt>
                <c:pt idx="1">
                  <c:v>AMS2</c:v>
                </c:pt>
                <c:pt idx="2">
                  <c:v>BRAN</c:v>
                </c:pt>
                <c:pt idx="3">
                  <c:v>CUT1</c:v>
                </c:pt>
                <c:pt idx="4">
                  <c:v>MACH</c:v>
                </c:pt>
                <c:pt idx="5">
                  <c:v>NDF1</c:v>
                </c:pt>
                <c:pt idx="6">
                  <c:v>NOR</c:v>
                </c:pt>
                <c:pt idx="7">
                  <c:v>PCK1</c:v>
                </c:pt>
                <c:pt idx="8">
                  <c:v>TFO</c:v>
                </c:pt>
                <c:pt idx="9">
                  <c:v>WF02</c:v>
                </c:pt>
              </c:strCache>
            </c:strRef>
          </c:cat>
          <c:val>
            <c:numRef>
              <c:f>'WC PV'!$B$8:$B$18</c:f>
              <c:numCache>
                <c:formatCode>#,##0</c:formatCode>
                <c:ptCount val="10"/>
                <c:pt idx="0">
                  <c:v>982.31999999999994</c:v>
                </c:pt>
                <c:pt idx="1">
                  <c:v>1499.0900000000001</c:v>
                </c:pt>
                <c:pt idx="2">
                  <c:v>1127.81</c:v>
                </c:pt>
                <c:pt idx="3">
                  <c:v>1775.01</c:v>
                </c:pt>
                <c:pt idx="4">
                  <c:v>6978.65</c:v>
                </c:pt>
                <c:pt idx="5">
                  <c:v>2109.83</c:v>
                </c:pt>
                <c:pt idx="6">
                  <c:v>1672.49</c:v>
                </c:pt>
                <c:pt idx="7">
                  <c:v>2512.7299999999996</c:v>
                </c:pt>
                <c:pt idx="8">
                  <c:v>1466.7200000000003</c:v>
                </c:pt>
                <c:pt idx="9">
                  <c:v>2366.6699999999996</c:v>
                </c:pt>
              </c:numCache>
            </c:numRef>
          </c:val>
        </c:ser>
        <c:ser>
          <c:idx val="1"/>
          <c:order val="1"/>
          <c:tx>
            <c:strRef>
              <c:f>'WC PV'!$C$7</c:f>
              <c:strCache>
                <c:ptCount val="1"/>
                <c:pt idx="0">
                  <c:v>Hours Available</c:v>
                </c:pt>
              </c:strCache>
            </c:strRef>
          </c:tx>
          <c:spPr>
            <a:solidFill>
              <a:schemeClr val="accent2"/>
            </a:solidFill>
            <a:ln>
              <a:noFill/>
            </a:ln>
            <a:effectLst/>
            <a:scene3d>
              <a:camera prst="orthographicFront"/>
              <a:lightRig rig="threePt" dir="t"/>
            </a:scene3d>
            <a:sp3d>
              <a:bevelT/>
            </a:sp3d>
          </c:spPr>
          <c:invertIfNegative val="0"/>
          <c:cat>
            <c:strRef>
              <c:f>'WC PV'!$A$8:$A$18</c:f>
              <c:strCache>
                <c:ptCount val="10"/>
                <c:pt idx="0">
                  <c:v>2ND1</c:v>
                </c:pt>
                <c:pt idx="1">
                  <c:v>AMS2</c:v>
                </c:pt>
                <c:pt idx="2">
                  <c:v>BRAN</c:v>
                </c:pt>
                <c:pt idx="3">
                  <c:v>CUT1</c:v>
                </c:pt>
                <c:pt idx="4">
                  <c:v>MACH</c:v>
                </c:pt>
                <c:pt idx="5">
                  <c:v>NDF1</c:v>
                </c:pt>
                <c:pt idx="6">
                  <c:v>NOR</c:v>
                </c:pt>
                <c:pt idx="7">
                  <c:v>PCK1</c:v>
                </c:pt>
                <c:pt idx="8">
                  <c:v>TFO</c:v>
                </c:pt>
                <c:pt idx="9">
                  <c:v>WF02</c:v>
                </c:pt>
              </c:strCache>
            </c:strRef>
          </c:cat>
          <c:val>
            <c:numRef>
              <c:f>'WC PV'!$C$8:$C$18</c:f>
              <c:numCache>
                <c:formatCode>#,##0</c:formatCode>
                <c:ptCount val="10"/>
                <c:pt idx="0">
                  <c:v>1388.5</c:v>
                </c:pt>
                <c:pt idx="1">
                  <c:v>1496</c:v>
                </c:pt>
                <c:pt idx="2">
                  <c:v>891.5</c:v>
                </c:pt>
                <c:pt idx="3">
                  <c:v>1907</c:v>
                </c:pt>
                <c:pt idx="4">
                  <c:v>932.5</c:v>
                </c:pt>
                <c:pt idx="5">
                  <c:v>1687</c:v>
                </c:pt>
                <c:pt idx="6">
                  <c:v>887.5</c:v>
                </c:pt>
                <c:pt idx="7">
                  <c:v>2174</c:v>
                </c:pt>
                <c:pt idx="8">
                  <c:v>1791.5</c:v>
                </c:pt>
                <c:pt idx="9">
                  <c:v>1763.5</c:v>
                </c:pt>
              </c:numCache>
            </c:numRef>
          </c:val>
        </c:ser>
        <c:dLbls>
          <c:showLegendKey val="0"/>
          <c:showVal val="0"/>
          <c:showCatName val="0"/>
          <c:showSerName val="0"/>
          <c:showPercent val="0"/>
          <c:showBubbleSize val="0"/>
        </c:dLbls>
        <c:gapWidth val="219"/>
        <c:overlap val="-27"/>
        <c:axId val="879487192"/>
        <c:axId val="879487976"/>
      </c:barChart>
      <c:lineChart>
        <c:grouping val="standard"/>
        <c:varyColors val="0"/>
        <c:ser>
          <c:idx val="2"/>
          <c:order val="2"/>
          <c:tx>
            <c:strRef>
              <c:f>'WC PV'!$D$7</c:f>
              <c:strCache>
                <c:ptCount val="1"/>
                <c:pt idx="0">
                  <c:v>WC Utilization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'WC PV'!$A$8:$A$18</c:f>
              <c:strCache>
                <c:ptCount val="10"/>
                <c:pt idx="0">
                  <c:v>2ND1</c:v>
                </c:pt>
                <c:pt idx="1">
                  <c:v>AMS2</c:v>
                </c:pt>
                <c:pt idx="2">
                  <c:v>BRAN</c:v>
                </c:pt>
                <c:pt idx="3">
                  <c:v>CUT1</c:v>
                </c:pt>
                <c:pt idx="4">
                  <c:v>MACH</c:v>
                </c:pt>
                <c:pt idx="5">
                  <c:v>NDF1</c:v>
                </c:pt>
                <c:pt idx="6">
                  <c:v>NOR</c:v>
                </c:pt>
                <c:pt idx="7">
                  <c:v>PCK1</c:v>
                </c:pt>
                <c:pt idx="8">
                  <c:v>TFO</c:v>
                </c:pt>
                <c:pt idx="9">
                  <c:v>WF02</c:v>
                </c:pt>
              </c:strCache>
            </c:strRef>
          </c:cat>
          <c:val>
            <c:numRef>
              <c:f>'WC PV'!$D$8:$D$18</c:f>
              <c:numCache>
                <c:formatCode>0.00</c:formatCode>
                <c:ptCount val="10"/>
                <c:pt idx="0">
                  <c:v>6.76</c:v>
                </c:pt>
                <c:pt idx="1">
                  <c:v>11.049999999999997</c:v>
                </c:pt>
                <c:pt idx="2">
                  <c:v>6.85</c:v>
                </c:pt>
                <c:pt idx="3">
                  <c:v>10.549999999999999</c:v>
                </c:pt>
                <c:pt idx="4">
                  <c:v>38.51</c:v>
                </c:pt>
                <c:pt idx="5">
                  <c:v>12.57</c:v>
                </c:pt>
                <c:pt idx="6">
                  <c:v>9.64</c:v>
                </c:pt>
                <c:pt idx="7">
                  <c:v>13.800000000000002</c:v>
                </c:pt>
                <c:pt idx="8">
                  <c:v>8.7800000000000011</c:v>
                </c:pt>
                <c:pt idx="9">
                  <c:v>14.76</c:v>
                </c:pt>
              </c:numCache>
            </c:numRef>
          </c:val>
          <c:smooth val="0"/>
        </c:ser>
        <c:dLbls>
          <c:showLegendKey val="0"/>
          <c:showVal val="0"/>
          <c:showCatName val="0"/>
          <c:showSerName val="0"/>
          <c:showPercent val="0"/>
          <c:showBubbleSize val="0"/>
        </c:dLbls>
        <c:marker val="1"/>
        <c:smooth val="0"/>
        <c:axId val="879488368"/>
        <c:axId val="879484840"/>
      </c:lineChart>
      <c:catAx>
        <c:axId val="8794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7976"/>
        <c:crosses val="autoZero"/>
        <c:auto val="1"/>
        <c:lblAlgn val="ctr"/>
        <c:lblOffset val="100"/>
        <c:noMultiLvlLbl val="0"/>
      </c:catAx>
      <c:valAx>
        <c:axId val="879487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Hours</a:t>
                </a:r>
                <a:r>
                  <a:rPr lang="en-CA" baseline="0"/>
                  <a:t> </a:t>
                </a:r>
                <a:endParaRPr lang="en-CA"/>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7192"/>
        <c:crosses val="autoZero"/>
        <c:crossBetween val="between"/>
      </c:valAx>
      <c:valAx>
        <c:axId val="87948484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a:t>
                </a:r>
                <a:r>
                  <a:rPr lang="en-CA" baseline="0">
                    <a:solidFill>
                      <a:sysClr val="windowText" lastClr="000000"/>
                    </a:solidFill>
                  </a:rPr>
                  <a:t> Utilization</a:t>
                </a:r>
                <a:endParaRPr lang="en-CA">
                  <a:solidFill>
                    <a:sysClr val="windowText" lastClr="000000"/>
                  </a:solidFill>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8368"/>
        <c:crosses val="max"/>
        <c:crossBetween val="between"/>
      </c:valAx>
      <c:catAx>
        <c:axId val="879488368"/>
        <c:scaling>
          <c:orientation val="minMax"/>
        </c:scaling>
        <c:delete val="1"/>
        <c:axPos val="b"/>
        <c:numFmt formatCode="General" sourceLinked="1"/>
        <c:majorTickMark val="out"/>
        <c:minorTickMark val="none"/>
        <c:tickLblPos val="nextTo"/>
        <c:crossAx val="87948484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[KPI-CCC.xlsm]P3_PRODUCTION_RU!PivotTable1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chemeClr val="tx1"/>
                </a:solidFill>
              </a:rPr>
              <a:t>Production</a:t>
            </a:r>
            <a:r>
              <a:rPr lang="en-CA" sz="1600" b="1" baseline="0">
                <a:solidFill>
                  <a:schemeClr val="tx1"/>
                </a:solidFill>
              </a:rPr>
              <a:t> Hours Est vs Act</a:t>
            </a:r>
            <a:endParaRPr lang="en-CA" sz="1600" b="1">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a:scene3d>
            <a:camera prst="orthographicFront"/>
            <a:lightRig rig="threePt" dir="t"/>
          </a:scene3d>
          <a:sp3d>
            <a:bevelT/>
          </a:sp3d>
        </c:spPr>
        <c:marker>
          <c:symbol val="none"/>
        </c:marker>
      </c:pivotFmt>
      <c:pivotFmt>
        <c:idx val="8"/>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P3_PRODUCTION_RU!$AS$2</c:f>
              <c:strCache>
                <c:ptCount val="1"/>
                <c:pt idx="0">
                  <c:v>Hours Act</c:v>
                </c:pt>
              </c:strCache>
            </c:strRef>
          </c:tx>
          <c:spPr>
            <a:solidFill>
              <a:schemeClr val="accent1"/>
            </a:solidFill>
            <a:ln>
              <a:noFill/>
            </a:ln>
            <a:effectLst/>
            <a:scene3d>
              <a:camera prst="orthographicFront"/>
              <a:lightRig rig="threePt" dir="t"/>
            </a:scene3d>
            <a:sp3d>
              <a:bevelT/>
            </a:sp3d>
          </c:spPr>
          <c:invertIfNegative val="0"/>
          <c:cat>
            <c:multiLvlStrRef>
              <c:f>P3_PRODUCTION_RU!$AR$3:$AR$28</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P3_PRODUCTION_RU!$AS$3:$AS$28</c:f>
              <c:numCache>
                <c:formatCode>#,##0</c:formatCode>
                <c:ptCount val="12"/>
                <c:pt idx="0">
                  <c:v>1401.51</c:v>
                </c:pt>
                <c:pt idx="1">
                  <c:v>1343.08</c:v>
                </c:pt>
                <c:pt idx="2">
                  <c:v>823.62</c:v>
                </c:pt>
                <c:pt idx="3">
                  <c:v>559.84</c:v>
                </c:pt>
                <c:pt idx="4">
                  <c:v>320.55</c:v>
                </c:pt>
                <c:pt idx="5">
                  <c:v>1063.43</c:v>
                </c:pt>
                <c:pt idx="6">
                  <c:v>290.64999999999998</c:v>
                </c:pt>
                <c:pt idx="7">
                  <c:v>219.28</c:v>
                </c:pt>
                <c:pt idx="8">
                  <c:v>259.75</c:v>
                </c:pt>
                <c:pt idx="9">
                  <c:v>136.09</c:v>
                </c:pt>
                <c:pt idx="10">
                  <c:v>151.81</c:v>
                </c:pt>
                <c:pt idx="11">
                  <c:v>55.57</c:v>
                </c:pt>
              </c:numCache>
            </c:numRef>
          </c:val>
        </c:ser>
        <c:ser>
          <c:idx val="1"/>
          <c:order val="1"/>
          <c:tx>
            <c:strRef>
              <c:f>P3_PRODUCTION_RU!$AT$2</c:f>
              <c:strCache>
                <c:ptCount val="1"/>
                <c:pt idx="0">
                  <c:v>Hours Est</c:v>
                </c:pt>
              </c:strCache>
            </c:strRef>
          </c:tx>
          <c:spPr>
            <a:solidFill>
              <a:schemeClr val="accent2"/>
            </a:solidFill>
            <a:ln>
              <a:noFill/>
            </a:ln>
            <a:effectLst/>
            <a:scene3d>
              <a:camera prst="orthographicFront"/>
              <a:lightRig rig="threePt" dir="t"/>
            </a:scene3d>
            <a:sp3d>
              <a:bevelT/>
            </a:sp3d>
          </c:spPr>
          <c:invertIfNegative val="0"/>
          <c:cat>
            <c:multiLvlStrRef>
              <c:f>P3_PRODUCTION_RU!$AR$3:$AR$28</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P3_PRODUCTION_RU!$AT$3:$AT$28</c:f>
              <c:numCache>
                <c:formatCode>#,##0</c:formatCode>
                <c:ptCount val="12"/>
                <c:pt idx="0">
                  <c:v>5773.7</c:v>
                </c:pt>
                <c:pt idx="1">
                  <c:v>3553.52</c:v>
                </c:pt>
                <c:pt idx="2">
                  <c:v>5325.81</c:v>
                </c:pt>
                <c:pt idx="3">
                  <c:v>4401.82</c:v>
                </c:pt>
                <c:pt idx="4">
                  <c:v>5807.86</c:v>
                </c:pt>
                <c:pt idx="5">
                  <c:v>19417.45</c:v>
                </c:pt>
                <c:pt idx="6">
                  <c:v>14882.01</c:v>
                </c:pt>
                <c:pt idx="7">
                  <c:v>2017.78</c:v>
                </c:pt>
                <c:pt idx="8">
                  <c:v>2168.65</c:v>
                </c:pt>
                <c:pt idx="9">
                  <c:v>972.55</c:v>
                </c:pt>
                <c:pt idx="10">
                  <c:v>2684.11</c:v>
                </c:pt>
                <c:pt idx="11">
                  <c:v>1604.29</c:v>
                </c:pt>
              </c:numCache>
            </c:numRef>
          </c:val>
        </c:ser>
        <c:dLbls>
          <c:showLegendKey val="0"/>
          <c:showVal val="0"/>
          <c:showCatName val="0"/>
          <c:showSerName val="0"/>
          <c:showPercent val="0"/>
          <c:showBubbleSize val="0"/>
        </c:dLbls>
        <c:gapWidth val="219"/>
        <c:overlap val="-27"/>
        <c:axId val="879482096"/>
        <c:axId val="879481312"/>
      </c:barChart>
      <c:lineChart>
        <c:grouping val="standard"/>
        <c:varyColors val="0"/>
        <c:ser>
          <c:idx val="2"/>
          <c:order val="2"/>
          <c:tx>
            <c:strRef>
              <c:f>P3_PRODUCTION_RU!$AU$2</c:f>
              <c:strCache>
                <c:ptCount val="1"/>
                <c:pt idx="0">
                  <c:v>% of Estimate</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P3_PRODUCTION_RU!$AR$3:$AR$28</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P3_PRODUCTION_RU!$AU$3:$AU$28</c:f>
              <c:numCache>
                <c:formatCode>#,##0</c:formatCode>
                <c:ptCount val="12"/>
                <c:pt idx="0">
                  <c:v>24.27</c:v>
                </c:pt>
                <c:pt idx="1">
                  <c:v>37.79</c:v>
                </c:pt>
                <c:pt idx="2">
                  <c:v>15.46</c:v>
                </c:pt>
                <c:pt idx="3">
                  <c:v>12.71</c:v>
                </c:pt>
                <c:pt idx="4">
                  <c:v>5.51</c:v>
                </c:pt>
                <c:pt idx="5">
                  <c:v>5.47</c:v>
                </c:pt>
                <c:pt idx="6">
                  <c:v>1.95</c:v>
                </c:pt>
                <c:pt idx="7">
                  <c:v>10.86</c:v>
                </c:pt>
                <c:pt idx="8">
                  <c:v>11.97</c:v>
                </c:pt>
                <c:pt idx="9">
                  <c:v>13.99</c:v>
                </c:pt>
                <c:pt idx="10">
                  <c:v>5.65</c:v>
                </c:pt>
                <c:pt idx="11">
                  <c:v>3.46</c:v>
                </c:pt>
              </c:numCache>
            </c:numRef>
          </c:val>
          <c:smooth val="0"/>
        </c:ser>
        <c:dLbls>
          <c:showLegendKey val="0"/>
          <c:showVal val="0"/>
          <c:showCatName val="0"/>
          <c:showSerName val="0"/>
          <c:showPercent val="0"/>
          <c:showBubbleSize val="0"/>
        </c:dLbls>
        <c:marker val="1"/>
        <c:smooth val="0"/>
        <c:axId val="879484056"/>
        <c:axId val="879482488"/>
      </c:lineChart>
      <c:catAx>
        <c:axId val="87948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79481312"/>
        <c:crosses val="autoZero"/>
        <c:auto val="1"/>
        <c:lblAlgn val="ctr"/>
        <c:lblOffset val="100"/>
        <c:noMultiLvlLbl val="0"/>
      </c:catAx>
      <c:valAx>
        <c:axId val="879481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chemeClr val="tx1"/>
                    </a:solidFill>
                  </a:rPr>
                  <a:t>Production</a:t>
                </a:r>
                <a:r>
                  <a:rPr lang="en-CA" baseline="0">
                    <a:solidFill>
                      <a:schemeClr val="tx1"/>
                    </a:solidFill>
                  </a:rPr>
                  <a:t> Hours</a:t>
                </a:r>
                <a:endParaRPr lang="en-CA">
                  <a:solidFill>
                    <a:schemeClr val="tx1"/>
                  </a:solidFill>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79482096"/>
        <c:crosses val="autoZero"/>
        <c:crossBetween val="between"/>
      </c:valAx>
      <c:valAx>
        <c:axId val="87948248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CA">
                    <a:solidFill>
                      <a:schemeClr val="tx1"/>
                    </a:solidFill>
                  </a:rPr>
                  <a:t>% o Estimate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879484056"/>
        <c:crosses val="max"/>
        <c:crossBetween val="between"/>
      </c:valAx>
      <c:catAx>
        <c:axId val="879484056"/>
        <c:scaling>
          <c:orientation val="minMax"/>
        </c:scaling>
        <c:delete val="1"/>
        <c:axPos val="b"/>
        <c:numFmt formatCode="General" sourceLinked="1"/>
        <c:majorTickMark val="out"/>
        <c:minorTickMark val="none"/>
        <c:tickLblPos val="nextTo"/>
        <c:crossAx val="87948248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[KPI-CCC.xlsm]P2_ONTIME_RU!PivotTable19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600" b="1">
                <a:solidFill>
                  <a:sysClr val="windowText" lastClr="000000"/>
                </a:solidFill>
              </a:rPr>
              <a:t>ON-TIME</a:t>
            </a:r>
            <a:r>
              <a:rPr lang="en-CA" sz="1600" b="1" baseline="0">
                <a:solidFill>
                  <a:sysClr val="windowText" lastClr="000000"/>
                </a:solidFill>
              </a:rPr>
              <a:t> DELIVERY</a:t>
            </a:r>
            <a:endParaRPr lang="en-CA" sz="1600" b="1">
              <a:solidFill>
                <a:sysClr val="windowText" lastClr="000000"/>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a:noFill/>
          </a:ln>
          <a:effectLst/>
          <a:scene3d>
            <a:camera prst="orthographicFront"/>
            <a:lightRig rig="threePt" dir="t"/>
          </a:scene3d>
          <a:sp3d>
            <a:bevelT/>
          </a:sp3d>
        </c:spPr>
        <c:marker>
          <c:symbol val="none"/>
        </c:marker>
      </c:pivotFmt>
      <c:pivotFmt>
        <c:idx val="9"/>
        <c:spPr>
          <a:solidFill>
            <a:schemeClr val="accent1"/>
          </a:solidFill>
          <a:ln>
            <a:noFill/>
          </a:ln>
          <a:effectLst/>
          <a:scene3d>
            <a:camera prst="orthographicFront"/>
            <a:lightRig rig="threePt" dir="t"/>
          </a:scene3d>
          <a:sp3d>
            <a:bevelT/>
          </a:sp3d>
        </c:spPr>
        <c:marker>
          <c:symbol val="none"/>
        </c:marker>
      </c:pivotFmt>
      <c:pivotFmt>
        <c:idx val="10"/>
        <c:spPr>
          <a:solidFill>
            <a:schemeClr val="accent1"/>
          </a:solidFill>
          <a:ln>
            <a:noFill/>
          </a:ln>
          <a:effectLst/>
          <a:scene3d>
            <a:camera prst="orthographicFront"/>
            <a:lightRig rig="threePt" dir="t"/>
          </a:scene3d>
          <a:sp3d>
            <a:bevelT/>
          </a:sp3d>
        </c:spPr>
        <c:marker>
          <c:symbol val="none"/>
        </c:marker>
      </c:pivotFmt>
      <c:pivotFmt>
        <c:idx val="11"/>
        <c:spPr>
          <a:ln w="28575" cap="rnd">
            <a:solidFill>
              <a:schemeClr val="accent1"/>
            </a:solidFill>
            <a:round/>
          </a:ln>
          <a:effectLst/>
        </c:spPr>
        <c:marker>
          <c:symbol val="none"/>
        </c:marker>
      </c:pivotFmt>
    </c:pivotFmts>
    <c:plotArea>
      <c:layout/>
      <c:barChart>
        <c:barDir val="col"/>
        <c:grouping val="stacked"/>
        <c:varyColors val="0"/>
        <c:ser>
          <c:idx val="0"/>
          <c:order val="0"/>
          <c:tx>
            <c:strRef>
              <c:f>P2_ONTIME_RU!$AA$2</c:f>
              <c:strCache>
                <c:ptCount val="1"/>
                <c:pt idx="0">
                  <c:v>On-Time  </c:v>
                </c:pt>
              </c:strCache>
            </c:strRef>
          </c:tx>
          <c:spPr>
            <a:solidFill>
              <a:schemeClr val="accent1"/>
            </a:solidFill>
            <a:ln>
              <a:noFill/>
            </a:ln>
            <a:effectLst/>
            <a:scene3d>
              <a:camera prst="orthographicFront"/>
              <a:lightRig rig="threePt" dir="t"/>
            </a:scene3d>
            <a:sp3d>
              <a:bevelT/>
            </a:sp3d>
          </c:spPr>
          <c:invertIfNegative val="0"/>
          <c:cat>
            <c:strRef>
              <c:f>P2_ONTIME_RU!$Z$3</c:f>
              <c:strCache>
                <c:ptCount val="1"/>
                <c:pt idx="0">
                  <c:v>Grand Total</c:v>
                </c:pt>
              </c:strCache>
            </c:strRef>
          </c:cat>
          <c:val>
            <c:numRef>
              <c:f>P2_ONTIME_RU!$AA$3</c:f>
              <c:numCache>
                <c:formatCode>#,##0</c:formatCode>
                <c:ptCount val="1"/>
              </c:numCache>
            </c:numRef>
          </c:val>
        </c:ser>
        <c:ser>
          <c:idx val="1"/>
          <c:order val="1"/>
          <c:tx>
            <c:strRef>
              <c:f>P2_ONTIME_RU!$AB$2</c:f>
              <c:strCache>
                <c:ptCount val="1"/>
                <c:pt idx="0">
                  <c:v>Late  </c:v>
                </c:pt>
              </c:strCache>
            </c:strRef>
          </c:tx>
          <c:spPr>
            <a:solidFill>
              <a:schemeClr val="accent2"/>
            </a:solidFill>
            <a:ln>
              <a:noFill/>
            </a:ln>
            <a:effectLst/>
            <a:scene3d>
              <a:camera prst="orthographicFront"/>
              <a:lightRig rig="threePt" dir="t"/>
            </a:scene3d>
            <a:sp3d>
              <a:bevelT/>
            </a:sp3d>
          </c:spPr>
          <c:invertIfNegative val="0"/>
          <c:cat>
            <c:strRef>
              <c:f>P2_ONTIME_RU!$Z$3</c:f>
              <c:strCache>
                <c:ptCount val="1"/>
                <c:pt idx="0">
                  <c:v>Grand Total</c:v>
                </c:pt>
              </c:strCache>
            </c:strRef>
          </c:cat>
          <c:val>
            <c:numRef>
              <c:f>P2_ONTIME_RU!$AB$3</c:f>
              <c:numCache>
                <c:formatCode>#,##0</c:formatCode>
                <c:ptCount val="1"/>
              </c:numCache>
            </c:numRef>
          </c:val>
        </c:ser>
        <c:ser>
          <c:idx val="2"/>
          <c:order val="2"/>
          <c:tx>
            <c:strRef>
              <c:f>P2_ONTIME_RU!$AC$2</c:f>
              <c:strCache>
                <c:ptCount val="1"/>
                <c:pt idx="0">
                  <c:v>Early </c:v>
                </c:pt>
              </c:strCache>
            </c:strRef>
          </c:tx>
          <c:spPr>
            <a:solidFill>
              <a:schemeClr val="accent3"/>
            </a:solidFill>
            <a:ln>
              <a:noFill/>
            </a:ln>
            <a:effectLst/>
            <a:scene3d>
              <a:camera prst="orthographicFront"/>
              <a:lightRig rig="threePt" dir="t"/>
            </a:scene3d>
            <a:sp3d>
              <a:bevelT/>
            </a:sp3d>
          </c:spPr>
          <c:invertIfNegative val="0"/>
          <c:cat>
            <c:strRef>
              <c:f>P2_ONTIME_RU!$Z$3</c:f>
              <c:strCache>
                <c:ptCount val="1"/>
                <c:pt idx="0">
                  <c:v>Grand Total</c:v>
                </c:pt>
              </c:strCache>
            </c:strRef>
          </c:cat>
          <c:val>
            <c:numRef>
              <c:f>P2_ONTIME_RU!$AC$3</c:f>
              <c:numCache>
                <c:formatCode>#,##0</c:formatCode>
                <c:ptCount val="1"/>
              </c:numCache>
            </c:numRef>
          </c:val>
        </c:ser>
        <c:dLbls>
          <c:showLegendKey val="0"/>
          <c:showVal val="0"/>
          <c:showCatName val="0"/>
          <c:showSerName val="0"/>
          <c:showPercent val="0"/>
          <c:showBubbleSize val="0"/>
        </c:dLbls>
        <c:gapWidth val="219"/>
        <c:overlap val="100"/>
        <c:axId val="879485624"/>
        <c:axId val="879486016"/>
      </c:barChart>
      <c:lineChart>
        <c:grouping val="standard"/>
        <c:varyColors val="0"/>
        <c:ser>
          <c:idx val="3"/>
          <c:order val="3"/>
          <c:tx>
            <c:strRef>
              <c:f>P2_ONTIME_RU!$AD$2</c:f>
              <c:strCache>
                <c:ptCount val="1"/>
                <c:pt idx="0">
                  <c:v>% On-Time</c:v>
                </c:pt>
              </c:strCache>
            </c:strRef>
          </c:tx>
          <c:spPr>
            <a:ln w="28575" cap="rnd">
              <a:solidFill>
                <a:schemeClr val="accent4"/>
              </a:solidFill>
              <a:round/>
            </a:ln>
            <a:effectLst/>
          </c:spPr>
          <c:marker>
            <c:symbol val="none"/>
          </c:marker>
          <c:cat>
            <c:strRef>
              <c:f>P2_ONTIME_RU!$Z$3</c:f>
              <c:strCache>
                <c:ptCount val="1"/>
                <c:pt idx="0">
                  <c:v>Grand Total</c:v>
                </c:pt>
              </c:strCache>
            </c:strRef>
          </c:cat>
          <c:val>
            <c:numRef>
              <c:f>P2_ONTIME_RU!$AD$3</c:f>
              <c:numCache>
                <c:formatCode>0.00%</c:formatCode>
                <c:ptCount val="1"/>
              </c:numCache>
            </c:numRef>
          </c:val>
          <c:smooth val="0"/>
        </c:ser>
        <c:dLbls>
          <c:showLegendKey val="0"/>
          <c:showVal val="0"/>
          <c:showCatName val="0"/>
          <c:showSerName val="0"/>
          <c:showPercent val="0"/>
          <c:showBubbleSize val="0"/>
        </c:dLbls>
        <c:marker val="1"/>
        <c:smooth val="0"/>
        <c:axId val="879486800"/>
        <c:axId val="879486408"/>
      </c:lineChart>
      <c:catAx>
        <c:axId val="879485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6016"/>
        <c:crosses val="autoZero"/>
        <c:auto val="1"/>
        <c:lblAlgn val="ctr"/>
        <c:lblOffset val="100"/>
        <c:noMultiLvlLbl val="0"/>
      </c:catAx>
      <c:valAx>
        <c:axId val="879486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OF Lines</a:t>
                </a:r>
              </a:p>
            </c:rich>
          </c:tx>
          <c:layout>
            <c:manualLayout>
              <c:xMode val="edge"/>
              <c:yMode val="edge"/>
              <c:x val="1.6798941798941799E-2"/>
              <c:y val="0.3451766450916936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5624"/>
        <c:crosses val="autoZero"/>
        <c:crossBetween val="between"/>
      </c:valAx>
      <c:valAx>
        <c:axId val="87948640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On-Time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79486800"/>
        <c:crosses val="max"/>
        <c:crossBetween val="between"/>
      </c:valAx>
      <c:catAx>
        <c:axId val="879486800"/>
        <c:scaling>
          <c:orientation val="minMax"/>
        </c:scaling>
        <c:delete val="1"/>
        <c:axPos val="b"/>
        <c:numFmt formatCode="General" sourceLinked="1"/>
        <c:majorTickMark val="out"/>
        <c:minorTickMark val="none"/>
        <c:tickLblPos val="nextTo"/>
        <c:crossAx val="8794864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1">
          <a:shade val="50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[KPI-CCC.xlsm]WC PV!PivotTable13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b="1">
                <a:solidFill>
                  <a:sysClr val="windowText" lastClr="000000"/>
                </a:solidFill>
              </a:rPr>
              <a:t>UNITS SCRAPPED PER</a:t>
            </a:r>
            <a:r>
              <a:rPr lang="en-CA" b="1" baseline="0">
                <a:solidFill>
                  <a:sysClr val="windowText" lastClr="000000"/>
                </a:solidFill>
              </a:rPr>
              <a:t> UNITS PRODUCED</a:t>
            </a:r>
            <a:endParaRPr lang="en-CA"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a:noFill/>
          </a:ln>
          <a:effectLst/>
          <a:scene3d>
            <a:camera prst="orthographicFront"/>
            <a:lightRig rig="threePt" dir="t"/>
          </a:scene3d>
          <a:sp3d>
            <a:bevelT/>
          </a:sp3d>
        </c:spPr>
        <c:marker>
          <c:symbol val="none"/>
        </c:marker>
      </c:pivotFmt>
      <c:pivotFmt>
        <c:idx val="7"/>
        <c:spPr>
          <a:solidFill>
            <a:schemeClr val="accent1"/>
          </a:solidFill>
          <a:ln>
            <a:noFill/>
          </a:ln>
          <a:effectLst/>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'WC PV'!$I$3</c:f>
              <c:strCache>
                <c:ptCount val="1"/>
                <c:pt idx="0">
                  <c:v>Units Produced</c:v>
                </c:pt>
              </c:strCache>
            </c:strRef>
          </c:tx>
          <c:spPr>
            <a:solidFill>
              <a:schemeClr val="accent1"/>
            </a:solidFill>
            <a:ln>
              <a:noFill/>
            </a:ln>
            <a:effectLst/>
            <a:scene3d>
              <a:camera prst="orthographicFront"/>
              <a:lightRig rig="threePt" dir="t"/>
            </a:scene3d>
            <a:sp3d>
              <a:bevelT/>
            </a:sp3d>
          </c:spPr>
          <c:invertIfNegative val="0"/>
          <c:cat>
            <c:multiLvlStrRef>
              <c:f>'WC PV'!$H$4:$H$29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'WC PV'!$I$4:$I$29</c:f>
              <c:numCache>
                <c:formatCode>#,##0</c:formatCode>
                <c:ptCount val="12"/>
                <c:pt idx="0">
                  <c:v>121896</c:v>
                </c:pt>
                <c:pt idx="1">
                  <c:v>209878.5</c:v>
                </c:pt>
                <c:pt idx="2">
                  <c:v>161917.5</c:v>
                </c:pt>
                <c:pt idx="3">
                  <c:v>13760703</c:v>
                </c:pt>
                <c:pt idx="4">
                  <c:v>130635</c:v>
                </c:pt>
                <c:pt idx="5">
                  <c:v>146410.5</c:v>
                </c:pt>
                <c:pt idx="6">
                  <c:v>186313.5</c:v>
                </c:pt>
                <c:pt idx="7">
                  <c:v>78333</c:v>
                </c:pt>
                <c:pt idx="8">
                  <c:v>23355</c:v>
                </c:pt>
                <c:pt idx="9">
                  <c:v>23235</c:v>
                </c:pt>
                <c:pt idx="10">
                  <c:v>17290.5</c:v>
                </c:pt>
                <c:pt idx="11">
                  <c:v>10249.5</c:v>
                </c:pt>
              </c:numCache>
            </c:numRef>
          </c:val>
        </c:ser>
        <c:ser>
          <c:idx val="1"/>
          <c:order val="1"/>
          <c:tx>
            <c:strRef>
              <c:f>'WC PV'!$J$3</c:f>
              <c:strCache>
                <c:ptCount val="1"/>
                <c:pt idx="0">
                  <c:v>Units Scrapped</c:v>
                </c:pt>
              </c:strCache>
            </c:strRef>
          </c:tx>
          <c:spPr>
            <a:solidFill>
              <a:schemeClr val="accent2"/>
            </a:solidFill>
            <a:ln>
              <a:noFill/>
            </a:ln>
            <a:effectLst/>
          </c:spPr>
          <c:invertIfNegative val="0"/>
          <c:cat>
            <c:multiLvlStrRef>
              <c:f>'WC PV'!$H$4:$H$29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'WC PV'!$J$4:$J$29</c:f>
              <c:numCache>
                <c:formatCode>#,##0</c:formatCode>
                <c:ptCount val="12"/>
                <c:pt idx="0">
                  <c:v>105</c:v>
                </c:pt>
                <c:pt idx="1">
                  <c:v>835</c:v>
                </c:pt>
                <c:pt idx="2">
                  <c:v>212.5</c:v>
                </c:pt>
                <c:pt idx="3">
                  <c:v>27.5</c:v>
                </c:pt>
                <c:pt idx="4">
                  <c:v>15</c:v>
                </c:pt>
                <c:pt idx="5">
                  <c:v>72.5</c:v>
                </c:pt>
                <c:pt idx="6">
                  <c:v>270</c:v>
                </c:pt>
                <c:pt idx="7">
                  <c:v>57.5</c:v>
                </c:pt>
                <c:pt idx="8">
                  <c:v>65</c:v>
                </c:pt>
                <c:pt idx="9">
                  <c:v>85</c:v>
                </c:pt>
                <c:pt idx="10">
                  <c:v>2.5</c:v>
                </c:pt>
                <c:pt idx="11">
                  <c:v>0</c:v>
                </c:pt>
              </c:numCache>
            </c:numRef>
          </c:val>
        </c:ser>
        <c:dLbls>
          <c:showLegendKey val="0"/>
          <c:showVal val="0"/>
          <c:showCatName val="0"/>
          <c:showSerName val="0"/>
          <c:showPercent val="0"/>
          <c:showBubbleSize val="0"/>
        </c:dLbls>
        <c:gapWidth val="219"/>
        <c:overlap val="-27"/>
        <c:axId val="880509080"/>
        <c:axId val="880508296"/>
      </c:barChart>
      <c:lineChart>
        <c:grouping val="standard"/>
        <c:varyColors val="0"/>
        <c:ser>
          <c:idx val="2"/>
          <c:order val="2"/>
          <c:tx>
            <c:strRef>
              <c:f>'WC PV'!$K$3</c:f>
              <c:strCache>
                <c:ptCount val="1"/>
                <c:pt idx="0">
                  <c:v>% Scrapped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'WC PV'!$H$4:$H$29</c:f>
              <c:multiLvlStrCache>
                <c:ptCount val="12"/>
                <c:lvl>
                  <c:pt idx="0">
                    <c:v>Aug</c:v>
                  </c:pt>
                  <c:pt idx="1">
                    <c:v>Sep</c:v>
                  </c:pt>
                  <c:pt idx="2">
                    <c:v>Oct</c:v>
                  </c:pt>
                  <c:pt idx="3">
                    <c:v>Nov</c:v>
                  </c:pt>
                  <c:pt idx="4">
                    <c:v>Dec</c:v>
                  </c:pt>
                  <c:pt idx="5">
                    <c:v>Jan</c:v>
                  </c:pt>
                  <c:pt idx="6">
                    <c:v>Feb</c:v>
                  </c:pt>
                  <c:pt idx="7">
                    <c:v>Mar</c:v>
                  </c:pt>
                  <c:pt idx="8">
                    <c:v>Apr</c:v>
                  </c:pt>
                  <c:pt idx="9">
                    <c:v>May</c:v>
                  </c:pt>
                  <c:pt idx="10">
                    <c:v>Jun</c:v>
                  </c:pt>
                  <c:pt idx="11">
                    <c:v>Jul</c:v>
                  </c:pt>
                </c:lvl>
                <c:lvl>
                  <c:pt idx="0">
                    <c:v>1</c:v>
                  </c:pt>
                  <c:pt idx="1">
                    <c:v>2</c:v>
                  </c:pt>
                  <c:pt idx="2">
                    <c:v>3</c:v>
                  </c:pt>
                  <c:pt idx="3">
                    <c:v>4</c:v>
                  </c:pt>
                  <c:pt idx="4">
                    <c:v>5</c:v>
                  </c:pt>
                  <c:pt idx="5">
                    <c:v>6</c:v>
                  </c:pt>
                  <c:pt idx="6">
                    <c:v>7</c:v>
                  </c:pt>
                  <c:pt idx="7">
                    <c:v>8</c:v>
                  </c:pt>
                  <c:pt idx="8">
                    <c:v>9</c:v>
                  </c:pt>
                  <c:pt idx="9">
                    <c:v>10</c:v>
                  </c:pt>
                  <c:pt idx="10">
                    <c:v>11</c:v>
                  </c:pt>
                  <c:pt idx="11">
                    <c:v>12</c:v>
                  </c:pt>
                </c:lvl>
                <c:lvl>
                  <c:pt idx="0">
                    <c:v>2015</c:v>
                  </c:pt>
                </c:lvl>
              </c:multiLvlStrCache>
            </c:multiLvlStrRef>
          </c:cat>
          <c:val>
            <c:numRef>
              <c:f>'WC PV'!$K$4:$K$29</c:f>
              <c:numCache>
                <c:formatCode>0.00%</c:formatCode>
                <c:ptCount val="12"/>
                <c:pt idx="0">
                  <c:v>8.6139003740893876E-4</c:v>
                </c:pt>
                <c:pt idx="1">
                  <c:v>3.9784923181745632E-3</c:v>
                </c:pt>
                <c:pt idx="2">
                  <c:v>1.3123967452560717E-3</c:v>
                </c:pt>
                <c:pt idx="3">
                  <c:v>1.9984444108705785E-6</c:v>
                </c:pt>
                <c:pt idx="4">
                  <c:v>1.1482374555057986E-4</c:v>
                </c:pt>
                <c:pt idx="5">
                  <c:v>4.9518306405619812E-4</c:v>
                </c:pt>
                <c:pt idx="6">
                  <c:v>1.4491703499746396E-3</c:v>
                </c:pt>
                <c:pt idx="7">
                  <c:v>7.3404567679011398E-4</c:v>
                </c:pt>
                <c:pt idx="8">
                  <c:v>2.7831299507600086E-3</c:v>
                </c:pt>
                <c:pt idx="9">
                  <c:v>3.6582741553690553E-3</c:v>
                </c:pt>
                <c:pt idx="10">
                  <c:v>1.4458806859257974E-4</c:v>
                </c:pt>
                <c:pt idx="11">
                  <c:v>0</c:v>
                </c:pt>
              </c:numCache>
            </c:numRef>
          </c:val>
          <c:smooth val="0"/>
        </c:ser>
        <c:dLbls>
          <c:showLegendKey val="0"/>
          <c:showVal val="0"/>
          <c:showCatName val="0"/>
          <c:showSerName val="0"/>
          <c:showPercent val="0"/>
          <c:showBubbleSize val="0"/>
        </c:dLbls>
        <c:marker val="1"/>
        <c:smooth val="0"/>
        <c:axId val="880507120"/>
        <c:axId val="880508688"/>
      </c:lineChart>
      <c:catAx>
        <c:axId val="880509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80508296"/>
        <c:crosses val="autoZero"/>
        <c:auto val="1"/>
        <c:lblAlgn val="ctr"/>
        <c:lblOffset val="100"/>
        <c:noMultiLvlLbl val="0"/>
      </c:catAx>
      <c:valAx>
        <c:axId val="88050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Units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80509080"/>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valAx>
        <c:axId val="88050868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solidFill>
                      <a:sysClr val="windowText" lastClr="000000"/>
                    </a:solidFill>
                  </a:rPr>
                  <a:t>% Scrapped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880507120"/>
        <c:crosses val="max"/>
        <c:crossBetween val="between"/>
      </c:valAx>
      <c:catAx>
        <c:axId val="880507120"/>
        <c:scaling>
          <c:orientation val="minMax"/>
        </c:scaling>
        <c:delete val="1"/>
        <c:axPos val="b"/>
        <c:numFmt formatCode="General" sourceLinked="1"/>
        <c:majorTickMark val="out"/>
        <c:minorTickMark val="none"/>
        <c:tickLblPos val="nextTo"/>
        <c:crossAx val="8805086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ap="flat" cmpd="sng" algn="ctr">
      <a:solidFill>
        <a:schemeClr val="accent6">
          <a:lumMod val="7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1">
  <dgm:title val=""/>
  <dgm:desc val=""/>
  <dgm:catLst>
    <dgm:cat type="colorful" pri="10100"/>
  </dgm:catLst>
  <dgm:styleLbl name="node0">
    <dgm:fillClrLst meth="repeat">
      <a:schemeClr val="accent1"/>
    </dgm:fillClrLst>
    <dgm:linClrLst meth="repeat">
      <a:schemeClr val="lt1"/>
    </dgm:linClrLst>
    <dgm:effectClrLst/>
    <dgm:txLinClrLst/>
    <dgm:txFillClrLst/>
    <dgm:txEffectClrLst/>
  </dgm:styleLbl>
  <dgm:styleLbl name="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alignNode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dgm:txEffectClrLst/>
  </dgm:styleLbl>
  <dgm:styleLbl name="ln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vennNode1">
    <dgm:fillClrLst meth="repeat">
      <a:schemeClr val="accent2">
        <a:alpha val="50000"/>
      </a:schemeClr>
      <a:schemeClr val="accent3">
        <a:alpha val="50000"/>
      </a:schemeClr>
      <a:schemeClr val="accent4">
        <a:alpha val="50000"/>
      </a:schemeClr>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2"/>
    </dgm:fillClrLst>
    <dgm:linClrLst meth="repeat">
      <a:schemeClr val="lt1"/>
    </dgm:linClrLst>
    <dgm:effectClrLst/>
    <dgm:txLinClrLst/>
    <dgm:txFillClrLst/>
    <dgm:txEffectClrLst/>
  </dgm:styleLbl>
  <dgm:styleLbl name="node3">
    <dgm:fillClrLst>
      <a:schemeClr val="accent3"/>
    </dgm:fillClrLst>
    <dgm:linClrLst meth="repeat">
      <a:schemeClr val="lt1"/>
    </dgm:linClrLst>
    <dgm:effectClrLst/>
    <dgm:txLinClrLst/>
    <dgm:txFillClrLst/>
    <dgm:txEffectClrLst/>
  </dgm:styleLbl>
  <dgm:styleLbl name="node4">
    <dgm:fillClrLst>
      <a:schemeClr val="accent4"/>
    </dgm:fillClrLst>
    <dgm:linClrLst meth="repeat">
      <a:schemeClr val="lt1"/>
    </dgm:linClrLst>
    <dgm:effectClrLst/>
    <dgm:txLinClrLst/>
    <dgm:txFillClrLst/>
    <dgm:txEffectClrLst/>
  </dgm:styleLbl>
  <dgm:styleLbl name="fgImgPlace1">
    <dgm:fillClrLst meth="repeat">
      <a:schemeClr val="accent2">
        <a:tint val="50000"/>
      </a:schemeClr>
      <a:schemeClr val="accent3">
        <a:tint val="50000"/>
      </a:schemeClr>
      <a:schemeClr val="accent4">
        <a:tint val="50000"/>
      </a:schemeClr>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2">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2">
        <a:tint val="2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schemeClr val="accent3"/>
      <a:schemeClr val="accent4"/>
      <a:schemeClr val="accent5"/>
      <a:schemeClr val="accent6"/>
    </dgm:fillClrLst>
    <dgm:linClrLst meth="cycle">
      <a:schemeClr val="lt1"/>
    </dgm:linClrLst>
    <dgm:effectClrLst/>
    <dgm:txLinClrLst/>
    <dgm:txFillClrLst/>
    <dgm:txEffectClrLst/>
  </dgm:styleLbl>
  <dgm:styleLbl name="f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b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sibTrans1D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a:schemeClr val="accent3"/>
    </dgm:fillClrLst>
    <dgm:linClrLst meth="repeat">
      <a:schemeClr val="lt1"/>
    </dgm:linClrLst>
    <dgm:effectClrLst/>
    <dgm:txLinClrLst/>
    <dgm:txFillClrLst/>
    <dgm:txEffectClrLst/>
  </dgm:styleLbl>
  <dgm:styleLbl name="asst3">
    <dgm:fillClrLst>
      <a:schemeClr val="accent4"/>
    </dgm:fillClrLst>
    <dgm:linClrLst meth="repeat">
      <a:schemeClr val="lt1"/>
    </dgm:linClrLst>
    <dgm:effectClrLst/>
    <dgm:txLinClrLst/>
    <dgm:txFillClrLst/>
    <dgm:txEffectClrLst/>
  </dgm:styleLbl>
  <dgm:styleLbl name="asst4">
    <dgm:fillClrLst>
      <a:schemeClr val="accent5"/>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1"/>
    </dgm:linClrLst>
    <dgm:effectClrLst/>
    <dgm:txLinClrLst/>
    <dgm:txFillClrLst meth="repeat">
      <a:schemeClr val="tx1"/>
    </dgm:txFillClrLst>
    <dgm:txEffectClrLst/>
  </dgm:styleLbl>
  <dgm:styleLbl name="parChTrans1D2">
    <dgm:fillClrLst meth="repeat">
      <a:schemeClr val="accent3">
        <a:tint val="90000"/>
      </a:schemeClr>
    </dgm:fillClrLst>
    <dgm:linClrLst meth="repeat">
      <a:schemeClr val="accent2"/>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3"/>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4"/>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f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align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2"/>
    </dgm:linClrLst>
    <dgm:effectClrLst/>
    <dgm:txLinClrLst/>
    <dgm:txFillClrLst meth="repeat">
      <a:schemeClr val="dk1"/>
    </dgm:txFillClrLst>
    <dgm:txEffectClrLst/>
  </dgm:styleLbl>
  <dgm:styleLbl name="fgAcc3">
    <dgm:fillClrLst meth="repeat">
      <a:schemeClr val="lt1">
        <a:alpha val="90000"/>
      </a:schemeClr>
    </dgm:fillClrLst>
    <dgm:linClrLst>
      <a:schemeClr val="accent3"/>
    </dgm:linClrLst>
    <dgm:effectClrLst/>
    <dgm:txLinClrLst/>
    <dgm:txFillClrLst meth="repeat">
      <a:schemeClr val="dk1"/>
    </dgm:txFillClrLst>
    <dgm:txEffectClrLst/>
  </dgm:styleLbl>
  <dgm:styleLbl name="fgAcc4">
    <dgm:fillClrLst meth="repeat">
      <a:schemeClr val="lt1">
        <a:alpha val="90000"/>
      </a:schemeClr>
    </dgm:fillClrLst>
    <dgm:linClrLst>
      <a:schemeClr val="accent4"/>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5_4">
  <dgm:title val=""/>
  <dgm:desc val=""/>
  <dgm:catLst>
    <dgm:cat type="accent5" pri="11400"/>
  </dgm:catLst>
  <dgm:styleLbl name="node0">
    <dgm:fillClrLst meth="cycle">
      <a:schemeClr val="accent5">
        <a:shade val="60000"/>
      </a:schemeClr>
    </dgm:fillClrLst>
    <dgm:linClrLst meth="repeat">
      <a:schemeClr val="lt1"/>
    </dgm:linClrLst>
    <dgm:effectClrLst/>
    <dgm:txLinClrLst/>
    <dgm:txFillClrLst/>
    <dgm:txEffectClrLst/>
  </dgm:styleLbl>
  <dgm:styleLbl name="node1">
    <dgm:fillClrLst meth="cycle">
      <a:schemeClr val="accent5">
        <a:shade val="50000"/>
      </a:schemeClr>
      <a:schemeClr val="accent5">
        <a:tint val="55000"/>
      </a:schemeClr>
    </dgm:fillClrLst>
    <dgm:linClrLst meth="repeat">
      <a:schemeClr val="lt1"/>
    </dgm:linClrLst>
    <dgm:effectClrLst/>
    <dgm:txLinClrLst/>
    <dgm:txFillClrLst/>
    <dgm:txEffectClrLst/>
  </dgm:styleLbl>
  <dgm:styleLbl name="alignNode1">
    <dgm:fillClrLst meth="cycle">
      <a:schemeClr val="accent5">
        <a:shade val="50000"/>
      </a:schemeClr>
      <a:schemeClr val="accent5">
        <a:tint val="55000"/>
      </a:schemeClr>
    </dgm:fillClrLst>
    <dgm:linClrLst meth="cycle">
      <a:schemeClr val="accent5">
        <a:shade val="50000"/>
      </a:schemeClr>
      <a:schemeClr val="accent5">
        <a:tint val="55000"/>
      </a:schemeClr>
    </dgm:linClrLst>
    <dgm:effectClrLst/>
    <dgm:txLinClrLst/>
    <dgm:txFillClrLst/>
    <dgm:txEffectClrLst/>
  </dgm:styleLbl>
  <dgm:styleLbl name="lnNode1">
    <dgm:fillClrLst meth="cycle">
      <a:schemeClr val="accent5">
        <a:shade val="50000"/>
      </a:schemeClr>
      <a:schemeClr val="accent5">
        <a:tint val="55000"/>
      </a:schemeClr>
    </dgm:fillClrLst>
    <dgm:linClrLst meth="repeat">
      <a:schemeClr val="lt1"/>
    </dgm:linClrLst>
    <dgm:effectClrLst/>
    <dgm:txLinClrLst/>
    <dgm:txFillClrLst/>
    <dgm:txEffectClrLst/>
  </dgm:styleLbl>
  <dgm:styleLbl name="vennNode1">
    <dgm:fillClrLst meth="cycle">
      <a:schemeClr val="accent5">
        <a:shade val="80000"/>
        <a:alpha val="50000"/>
      </a:schemeClr>
      <a:schemeClr val="accent5">
        <a:tint val="50000"/>
        <a:alpha val="50000"/>
      </a:schemeClr>
    </dgm:fillClrLst>
    <dgm:linClrLst meth="repeat">
      <a:schemeClr val="lt1"/>
    </dgm:linClrLst>
    <dgm:effectClrLst/>
    <dgm:txLinClrLst/>
    <dgm:txFillClrLst/>
    <dgm:txEffectClrLst/>
  </dgm:styleLbl>
  <dgm:styleLbl name="node2">
    <dgm:fillClrLst>
      <a:schemeClr val="accent5">
        <a:shade val="80000"/>
      </a:schemeClr>
    </dgm:fillClrLst>
    <dgm:linClrLst meth="repeat">
      <a:schemeClr val="lt1"/>
    </dgm:linClrLst>
    <dgm:effectClrLst/>
    <dgm:txLinClrLst/>
    <dgm:txFillClrLst/>
    <dgm:txEffectClrLst/>
  </dgm:styleLbl>
  <dgm:styleLbl name="node3">
    <dgm:fillClrLst>
      <a:schemeClr val="accent5">
        <a:tint val="99000"/>
      </a:schemeClr>
    </dgm:fillClrLst>
    <dgm:linClrLst meth="repeat">
      <a:schemeClr val="lt1"/>
    </dgm:linClrLst>
    <dgm:effectClrLst/>
    <dgm:txLinClrLst/>
    <dgm:txFillClrLst/>
    <dgm:txEffectClrLst/>
  </dgm:styleLbl>
  <dgm:styleLbl name="node4">
    <dgm:fillClrLst>
      <a:schemeClr val="accent5">
        <a:tint val="70000"/>
      </a:schemeClr>
    </dgm:fillClrLst>
    <dgm:linClrLst meth="repeat">
      <a:schemeClr val="lt1"/>
    </dgm:linClrLst>
    <dgm:effectClrLst/>
    <dgm:txLinClrLst/>
    <dgm:txFillClrLst/>
    <dgm:txEffectClrLst/>
  </dgm:styleLbl>
  <dgm:styleLbl name="fgImgPlace1">
    <dgm:fillClrLst>
      <a:schemeClr val="accent5">
        <a:tint val="50000"/>
      </a:schemeClr>
      <a:schemeClr val="accent5">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5">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5">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fg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bg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fg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sibTrans1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meth="repeat">
      <a:schemeClr val="tx1"/>
    </dgm:txFillClrLst>
    <dgm:txEffectClrLst/>
  </dgm:styleLbl>
  <dgm:styleLbl name="callout">
    <dgm:fillClrLst meth="repeat">
      <a:schemeClr val="accent5"/>
    </dgm:fillClrLst>
    <dgm:linClrLst meth="repeat">
      <a:schemeClr val="accent5"/>
    </dgm:linClrLst>
    <dgm:effectClrLst/>
    <dgm:txLinClrLst/>
    <dgm:txFillClrLst meth="repeat">
      <a:schemeClr val="tx1"/>
    </dgm:txFillClrLst>
    <dgm:txEffectClrLst/>
  </dgm:styleLbl>
  <dgm:styleLbl name="asst0">
    <dgm:fillClrLst meth="repeat">
      <a:schemeClr val="accent5">
        <a:shade val="80000"/>
      </a:schemeClr>
    </dgm:fillClrLst>
    <dgm:linClrLst meth="repeat">
      <a:schemeClr val="lt1"/>
    </dgm:linClrLst>
    <dgm:effectClrLst/>
    <dgm:txLinClrLst/>
    <dgm:txFillClrLst/>
    <dgm:txEffectClrLst/>
  </dgm:styleLbl>
  <dgm:styleLbl name="asst1">
    <dgm:fillClrLst meth="repeat">
      <a:schemeClr val="accent5">
        <a:shade val="80000"/>
      </a:schemeClr>
    </dgm:fillClrLst>
    <dgm:linClrLst meth="repeat">
      <a:schemeClr val="lt1"/>
    </dgm:linClrLst>
    <dgm:effectClrLst/>
    <dgm:txLinClrLst/>
    <dgm:txFillClrLst/>
    <dgm:txEffectClrLst/>
  </dgm:styleLbl>
  <dgm:styleLbl name="asst2">
    <dgm:fillClrLst>
      <a:schemeClr val="accent5">
        <a:tint val="90000"/>
      </a:schemeClr>
    </dgm:fillClrLst>
    <dgm:linClrLst meth="repeat">
      <a:schemeClr val="lt1"/>
    </dgm:linClrLst>
    <dgm:effectClrLst/>
    <dgm:txLinClrLst/>
    <dgm:txFillClrLst/>
    <dgm:txEffectClrLst/>
  </dgm:styleLbl>
  <dgm:styleLbl name="asst3">
    <dgm:fillClrLst>
      <a:schemeClr val="accent5">
        <a:tint val="70000"/>
      </a:schemeClr>
    </dgm:fillClrLst>
    <dgm:linClrLst meth="repeat">
      <a:schemeClr val="lt1"/>
    </dgm:linClrLst>
    <dgm:effectClrLst/>
    <dgm:txLinClrLst/>
    <dgm:txFillClrLst/>
    <dgm:txEffectClrLst/>
  </dgm:styleLbl>
  <dgm:styleLbl name="asst4">
    <dgm:fillClrLst>
      <a:schemeClr val="accent5">
        <a:tint val="50000"/>
      </a:schemeClr>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shade val="80000"/>
      </a:schemeClr>
    </dgm:linClrLst>
    <dgm:effectClrLst/>
    <dgm:txLinClrLst/>
    <dgm:txFillClrLst/>
    <dgm:txEffectClrLst/>
  </dgm:styleLbl>
  <dgm:styleLbl name="parChTrans2D2">
    <dgm:fillClrLst meth="repeat">
      <a:schemeClr val="accent5">
        <a:tint val="90000"/>
      </a:schemeClr>
    </dgm:fillClrLst>
    <dgm:linClrLst meth="repeat">
      <a:schemeClr val="accent5">
        <a:tint val="90000"/>
      </a:schemeClr>
    </dgm:linClrLst>
    <dgm:effectClrLst/>
    <dgm:txLinClrLst/>
    <dgm:txFillClrLst/>
    <dgm:txEffectClrLst/>
  </dgm:styleLbl>
  <dgm:styleLbl name="parChTrans2D3">
    <dgm:fillClrLst meth="repeat">
      <a:schemeClr val="accent5">
        <a:tint val="70000"/>
      </a:schemeClr>
    </dgm:fillClrLst>
    <dgm:linClrLst meth="repeat">
      <a:schemeClr val="accent5">
        <a:tint val="70000"/>
      </a:schemeClr>
    </dgm:linClrLst>
    <dgm:effectClrLst/>
    <dgm:txLinClrLst/>
    <dgm:txFillClrLst/>
    <dgm:txEffectClrLst/>
  </dgm:styleLbl>
  <dgm:styleLbl name="parChTrans2D4">
    <dgm:fillClrLst meth="repeat">
      <a:schemeClr val="accent5">
        <a:tint val="50000"/>
      </a:schemeClr>
    </dgm:fillClrLst>
    <dgm:linClrLst meth="repeat">
      <a:schemeClr val="accent5">
        <a:tint val="50000"/>
      </a:schemeClr>
    </dgm:linClrLst>
    <dgm:effectClrLst/>
    <dgm:txLinClrLst/>
    <dgm:txFillClrLst meth="repeat">
      <a:schemeClr val="dk1"/>
    </dgm:txFillClrLst>
    <dgm:txEffectClrLst/>
  </dgm:styleLbl>
  <dgm:styleLbl name="parChTrans1D1">
    <dgm:fillClrLst meth="repeat">
      <a:schemeClr val="accent5">
        <a:shade val="80000"/>
      </a:schemeClr>
    </dgm:fillClrLst>
    <dgm:linClrLst meth="repeat">
      <a:schemeClr val="accent5">
        <a:shade val="80000"/>
      </a:schemeClr>
    </dgm:linClrLst>
    <dgm:effectClrLst/>
    <dgm:txLinClrLst/>
    <dgm:txFillClrLst meth="repeat">
      <a:schemeClr val="tx1"/>
    </dgm:txFillClrLst>
    <dgm:txEffectClrLst/>
  </dgm:styleLbl>
  <dgm:styleLbl name="parChTrans1D2">
    <dgm:fillClrLst meth="repeat">
      <a:schemeClr val="accent5">
        <a:tint val="90000"/>
      </a:schemeClr>
    </dgm:fillClrLst>
    <dgm:linClrLst meth="repeat">
      <a:schemeClr val="accent5">
        <a:tint val="90000"/>
      </a:schemeClr>
    </dgm:linClrLst>
    <dgm:effectClrLst/>
    <dgm:txLinClrLst/>
    <dgm:txFillClrLst meth="repeat">
      <a:schemeClr val="tx1"/>
    </dgm:txFillClrLst>
    <dgm:txEffectClrLst/>
  </dgm:styleLbl>
  <dgm:styleLbl name="parChTrans1D3">
    <dgm:fillClrLst meth="repeat">
      <a:schemeClr val="accent5">
        <a:tint val="70000"/>
      </a:schemeClr>
    </dgm:fillClrLst>
    <dgm:linClrLst meth="repeat">
      <a:schemeClr val="accent5">
        <a:tint val="70000"/>
      </a:schemeClr>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5">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55000"/>
      </a:schemeClr>
    </dgm:fillClrLst>
    <dgm:linClrLst meth="repeat">
      <a:schemeClr val="accent5">
        <a:alpha val="90000"/>
        <a:tint val="55000"/>
      </a:schemeClr>
    </dgm:linClrLst>
    <dgm:effectClrLst/>
    <dgm:txLinClrLst/>
    <dgm:txFillClrLst meth="repeat">
      <a:schemeClr val="dk1"/>
    </dgm:txFillClrLst>
    <dgm:txEffectClrLst/>
  </dgm:styleLbl>
  <dgm:styleLbl name="alignAccFollowNode1">
    <dgm:fillClrLst meth="repeat">
      <a:schemeClr val="accent5">
        <a:alpha val="90000"/>
        <a:tint val="55000"/>
      </a:schemeClr>
    </dgm:fillClrLst>
    <dgm:linClrLst meth="repeat">
      <a:schemeClr val="accent5">
        <a:alpha val="90000"/>
        <a:tint val="55000"/>
      </a:schemeClr>
    </dgm:linClrLst>
    <dgm:effectClrLst/>
    <dgm:txLinClrLst/>
    <dgm:txFillClrLst meth="repeat">
      <a:schemeClr val="dk1"/>
    </dgm:txFillClrLst>
    <dgm:txEffectClrLst/>
  </dgm:styleLbl>
  <dgm:styleLbl name="bgAccFollowNode1">
    <dgm:fillClrLst meth="repeat">
      <a:schemeClr val="accent5">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a:tint val="50000"/>
      </a:schemeClr>
    </dgm:linClrLst>
    <dgm:effectClrLst/>
    <dgm:txLinClrLst/>
    <dgm:txFillClrLst meth="repeat">
      <a:schemeClr val="dk1"/>
    </dgm:txFillClrLst>
    <dgm:txEffectClrLst/>
  </dgm:styleLbl>
  <dgm:styleLbl name="bgShp">
    <dgm:fillClrLst meth="repeat">
      <a:schemeClr val="accent5">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55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6_3">
  <dgm:title val=""/>
  <dgm:desc val=""/>
  <dgm:catLst>
    <dgm:cat type="accent6" pri="11300"/>
  </dgm:catLst>
  <dgm:styleLbl name="node0">
    <dgm:fillClrLst meth="repeat">
      <a:schemeClr val="accent6">
        <a:shade val="80000"/>
      </a:schemeClr>
    </dgm:fillClrLst>
    <dgm:linClrLst meth="repeat">
      <a:schemeClr val="lt1"/>
    </dgm:linClrLst>
    <dgm:effectClrLst/>
    <dgm:txLinClrLst/>
    <dgm:txFillClrLst/>
    <dgm:txEffectClrLst/>
  </dgm:styleLbl>
  <dgm:styleLbl name="node1">
    <dgm:fillClrLst>
      <a:schemeClr val="accent6">
        <a:shade val="80000"/>
      </a:schemeClr>
      <a:schemeClr val="accent6">
        <a:tint val="70000"/>
      </a:schemeClr>
    </dgm:fillClrLst>
    <dgm:linClrLst meth="repeat">
      <a:schemeClr val="lt1"/>
    </dgm:linClrLst>
    <dgm:effectClrLst/>
    <dgm:txLinClrLst/>
    <dgm:txFillClrLst/>
    <dgm:txEffectClrLst/>
  </dgm:styleLbl>
  <dgm:styleLbl name="alignNode1">
    <dgm:fillClrLst>
      <a:schemeClr val="accent6">
        <a:shade val="80000"/>
      </a:schemeClr>
      <a:schemeClr val="accent6">
        <a:tint val="70000"/>
      </a:schemeClr>
    </dgm:fillClrLst>
    <dgm:linClrLst>
      <a:schemeClr val="accent6">
        <a:shade val="80000"/>
      </a:schemeClr>
      <a:schemeClr val="accent6">
        <a:tint val="70000"/>
      </a:schemeClr>
    </dgm:linClrLst>
    <dgm:effectClrLst/>
    <dgm:txLinClrLst/>
    <dgm:txFillClrLst/>
    <dgm:txEffectClrLst/>
  </dgm:styleLbl>
  <dgm:styleLbl name="lnNode1">
    <dgm:fillClrLst>
      <a:schemeClr val="accent6">
        <a:shade val="80000"/>
      </a:schemeClr>
      <a:schemeClr val="accent6">
        <a:tint val="70000"/>
      </a:schemeClr>
    </dgm:fillClrLst>
    <dgm:linClrLst meth="repeat">
      <a:schemeClr val="lt1"/>
    </dgm:linClrLst>
    <dgm:effectClrLst/>
    <dgm:txLinClrLst/>
    <dgm:txFillClrLst/>
    <dgm:txEffectClrLst/>
  </dgm:styleLbl>
  <dgm:styleLbl name="vennNode1">
    <dgm:fillClrLst>
      <a:schemeClr val="accent6">
        <a:shade val="80000"/>
        <a:alpha val="50000"/>
      </a:schemeClr>
      <a:schemeClr val="accent6">
        <a:tint val="70000"/>
        <a:alpha val="50000"/>
      </a:schemeClr>
    </dgm:fillClrLst>
    <dgm:linClrLst meth="repeat">
      <a:schemeClr val="lt1"/>
    </dgm:linClrLst>
    <dgm:effectClrLst/>
    <dgm:txLinClrLst/>
    <dgm:txFillClrLst/>
    <dgm:txEffectClrLst/>
  </dgm:styleLbl>
  <dgm:styleLbl name="node2">
    <dgm:fillClrLst>
      <a:schemeClr val="accent6">
        <a:tint val="99000"/>
      </a:schemeClr>
    </dgm:fillClrLst>
    <dgm:linClrLst meth="repeat">
      <a:schemeClr val="lt1"/>
    </dgm:linClrLst>
    <dgm:effectClrLst/>
    <dgm:txLinClrLst/>
    <dgm:txFillClrLst/>
    <dgm:txEffectClrLst/>
  </dgm:styleLbl>
  <dgm:styleLbl name="node3">
    <dgm:fillClrLst>
      <a:schemeClr val="accent6">
        <a:tint val="80000"/>
      </a:schemeClr>
    </dgm:fillClrLst>
    <dgm:linClrLst meth="repeat">
      <a:schemeClr val="lt1"/>
    </dgm:linClrLst>
    <dgm:effectClrLst/>
    <dgm:txLinClrLst/>
    <dgm:txFillClrLst/>
    <dgm:txEffectClrLst/>
  </dgm:styleLbl>
  <dgm:styleLbl name="node4">
    <dgm:fillClrLst>
      <a:schemeClr val="accent6">
        <a:tint val="70000"/>
      </a:schemeClr>
    </dgm:fillClrLst>
    <dgm:linClrLst meth="repeat">
      <a:schemeClr val="lt1"/>
    </dgm:linClrLst>
    <dgm:effectClrLst/>
    <dgm:txLinClrLst/>
    <dgm:txFillClrLst/>
    <dgm:txEffectClrLst/>
  </dgm:styleLbl>
  <dgm:styleLbl name="f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dgm:txEffectClrLst/>
  </dgm:styleLbl>
  <dgm:styleLbl name="f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b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sibTrans1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tx1"/>
    </dgm:txFillClrLst>
    <dgm:txEffectClrLst/>
  </dgm:styleLbl>
  <dgm:styleLbl name="callout">
    <dgm:fillClrLst meth="repeat">
      <a:schemeClr val="accent6"/>
    </dgm:fillClrLst>
    <dgm:linClrLst meth="repeat">
      <a:schemeClr val="accent6"/>
    </dgm:linClrLst>
    <dgm:effectClrLst/>
    <dgm:txLinClrLst/>
    <dgm:txFillClrLst meth="repeat">
      <a:schemeClr val="tx1"/>
    </dgm:txFillClrLst>
    <dgm:txEffectClrLst/>
  </dgm:styleLbl>
  <dgm:styleLbl name="asst0">
    <dgm:fillClrLst meth="repeat">
      <a:schemeClr val="accent6">
        <a:shade val="80000"/>
      </a:schemeClr>
    </dgm:fillClrLst>
    <dgm:linClrLst meth="repeat">
      <a:schemeClr val="lt1"/>
    </dgm:linClrLst>
    <dgm:effectClrLst/>
    <dgm:txLinClrLst/>
    <dgm:txFillClrLst/>
    <dgm:txEffectClrLst/>
  </dgm:styleLbl>
  <dgm:styleLbl name="asst1">
    <dgm:fillClrLst meth="repeat">
      <a:schemeClr val="accent6">
        <a:shade val="80000"/>
      </a:schemeClr>
    </dgm:fillClrLst>
    <dgm:linClrLst meth="repeat">
      <a:schemeClr val="lt1"/>
    </dgm:linClrLst>
    <dgm:effectClrLst/>
    <dgm:txLinClrLst/>
    <dgm:txFillClrLst/>
    <dgm:txEffectClrLst/>
  </dgm:styleLbl>
  <dgm:styleLbl name="asst2">
    <dgm:fillClrLst>
      <a:schemeClr val="accent6">
        <a:tint val="99000"/>
      </a:schemeClr>
    </dgm:fillClrLst>
    <dgm:linClrLst meth="repeat">
      <a:schemeClr val="lt1"/>
    </dgm:linClrLst>
    <dgm:effectClrLst/>
    <dgm:txLinClrLst/>
    <dgm:txFillClrLst/>
    <dgm:txEffectClrLst/>
  </dgm:styleLbl>
  <dgm:styleLbl name="asst3">
    <dgm:fillClrLst>
      <a:schemeClr val="accent6">
        <a:tint val="80000"/>
      </a:schemeClr>
    </dgm:fillClrLst>
    <dgm:linClrLst meth="repeat">
      <a:schemeClr val="lt1"/>
    </dgm:linClrLst>
    <dgm:effectClrLst/>
    <dgm:txLinClrLst/>
    <dgm:txFillClrLst/>
    <dgm:txEffectClrLst/>
  </dgm:styleLbl>
  <dgm:styleLbl name="asst4">
    <dgm:fillClrLst>
      <a:schemeClr val="accent6">
        <a:tint val="70000"/>
      </a:schemeClr>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a:tint val="90000"/>
      </a:schemeClr>
    </dgm:fillClrLst>
    <dgm:linClrLst meth="repeat">
      <a:schemeClr val="accent6">
        <a:tint val="90000"/>
      </a:schemeClr>
    </dgm:linClrLst>
    <dgm:effectClrLst/>
    <dgm:txLinClrLst/>
    <dgm:txFillClrLst/>
    <dgm:txEffectClrLst/>
  </dgm:styleLbl>
  <dgm:styleLbl name="parChTrans2D3">
    <dgm:fillClrLst meth="repeat">
      <a:schemeClr val="accent6">
        <a:tint val="70000"/>
      </a:schemeClr>
    </dgm:fillClrLst>
    <dgm:linClrLst meth="repeat">
      <a:schemeClr val="accent6">
        <a:tint val="70000"/>
      </a:schemeClr>
    </dgm:linClrLst>
    <dgm:effectClrLst/>
    <dgm:txLinClrLst/>
    <dgm:txFillClrLst/>
    <dgm:txEffectClrLst/>
  </dgm:styleLbl>
  <dgm:styleLbl name="parChTrans2D4">
    <dgm:fillClrLst meth="repeat">
      <a:schemeClr val="accent6">
        <a:tint val="50000"/>
      </a:schemeClr>
    </dgm:fillClrLst>
    <dgm:linClrLst meth="repeat">
      <a:schemeClr val="accent6">
        <a:tint val="50000"/>
      </a:schemeClr>
    </dgm:linClrLst>
    <dgm:effectClrLst/>
    <dgm:txLinClrLst/>
    <dgm:txFillClrLst meth="repeat">
      <a:schemeClr val="lt1"/>
    </dgm:txFillClrLst>
    <dgm:txEffectClrLst/>
  </dgm:styleLbl>
  <dgm:styleLbl name="parChTrans1D1">
    <dgm:fillClrLst meth="repeat">
      <a:schemeClr val="accent6">
        <a:shade val="80000"/>
      </a:schemeClr>
    </dgm:fillClrLst>
    <dgm:linClrLst meth="repeat">
      <a:schemeClr val="accent6">
        <a:shade val="80000"/>
      </a:schemeClr>
    </dgm:linClrLst>
    <dgm:effectClrLst/>
    <dgm:txLinClrLst/>
    <dgm:txFillClrLst meth="repeat">
      <a:schemeClr val="tx1"/>
    </dgm:txFillClrLst>
    <dgm:txEffectClrLst/>
  </dgm:styleLbl>
  <dgm:styleLbl name="parChTrans1D2">
    <dgm:fillClrLst meth="repeat">
      <a:schemeClr val="accent6">
        <a:tint val="99000"/>
      </a:schemeClr>
    </dgm:fillClrLst>
    <dgm:linClrLst meth="repeat">
      <a:schemeClr val="accent6">
        <a:tint val="99000"/>
      </a:schemeClr>
    </dgm:linClrLst>
    <dgm:effectClrLst/>
    <dgm:txLinClrLst/>
    <dgm:txFillClrLst meth="repeat">
      <a:schemeClr val="tx1"/>
    </dgm:txFillClrLst>
    <dgm:txEffectClrLst/>
  </dgm:styleLbl>
  <dgm:styleLbl name="parChTrans1D3">
    <dgm:fillClrLst meth="repeat">
      <a:schemeClr val="accent6">
        <a:tint val="80000"/>
      </a:schemeClr>
    </dgm:fillClrLst>
    <dgm:linClrLst meth="repeat">
      <a:schemeClr val="accent6">
        <a:tint val="80000"/>
      </a:schemeClr>
    </dgm:linClrLst>
    <dgm:effectClrLst/>
    <dgm:txLinClrLst/>
    <dgm:txFillClrLst meth="repeat">
      <a:schemeClr val="tx1"/>
    </dgm:txFillClrLst>
    <dgm:txEffectClrLst/>
  </dgm:styleLbl>
  <dgm:styleLbl name="parChTrans1D4">
    <dgm:fillClrLst meth="repeat">
      <a:schemeClr val="accent6">
        <a:tint val="70000"/>
      </a:schemeClr>
    </dgm:fillClrLst>
    <dgm:linClrLst meth="repeat">
      <a:schemeClr val="accent6">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a:tint val="70000"/>
      </a:schemeClr>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6">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5_4">
  <dgm:title val=""/>
  <dgm:desc val=""/>
  <dgm:catLst>
    <dgm:cat type="accent5" pri="11400"/>
  </dgm:catLst>
  <dgm:styleLbl name="node0">
    <dgm:fillClrLst meth="cycle">
      <a:schemeClr val="accent5">
        <a:shade val="60000"/>
      </a:schemeClr>
    </dgm:fillClrLst>
    <dgm:linClrLst meth="repeat">
      <a:schemeClr val="lt1"/>
    </dgm:linClrLst>
    <dgm:effectClrLst/>
    <dgm:txLinClrLst/>
    <dgm:txFillClrLst/>
    <dgm:txEffectClrLst/>
  </dgm:styleLbl>
  <dgm:styleLbl name="node1">
    <dgm:fillClrLst meth="cycle">
      <a:schemeClr val="accent5">
        <a:shade val="50000"/>
      </a:schemeClr>
      <a:schemeClr val="accent5">
        <a:tint val="55000"/>
      </a:schemeClr>
    </dgm:fillClrLst>
    <dgm:linClrLst meth="repeat">
      <a:schemeClr val="lt1"/>
    </dgm:linClrLst>
    <dgm:effectClrLst/>
    <dgm:txLinClrLst/>
    <dgm:txFillClrLst/>
    <dgm:txEffectClrLst/>
  </dgm:styleLbl>
  <dgm:styleLbl name="alignNode1">
    <dgm:fillClrLst meth="cycle">
      <a:schemeClr val="accent5">
        <a:shade val="50000"/>
      </a:schemeClr>
      <a:schemeClr val="accent5">
        <a:tint val="55000"/>
      </a:schemeClr>
    </dgm:fillClrLst>
    <dgm:linClrLst meth="cycle">
      <a:schemeClr val="accent5">
        <a:shade val="50000"/>
      </a:schemeClr>
      <a:schemeClr val="accent5">
        <a:tint val="55000"/>
      </a:schemeClr>
    </dgm:linClrLst>
    <dgm:effectClrLst/>
    <dgm:txLinClrLst/>
    <dgm:txFillClrLst/>
    <dgm:txEffectClrLst/>
  </dgm:styleLbl>
  <dgm:styleLbl name="lnNode1">
    <dgm:fillClrLst meth="cycle">
      <a:schemeClr val="accent5">
        <a:shade val="50000"/>
      </a:schemeClr>
      <a:schemeClr val="accent5">
        <a:tint val="55000"/>
      </a:schemeClr>
    </dgm:fillClrLst>
    <dgm:linClrLst meth="repeat">
      <a:schemeClr val="lt1"/>
    </dgm:linClrLst>
    <dgm:effectClrLst/>
    <dgm:txLinClrLst/>
    <dgm:txFillClrLst/>
    <dgm:txEffectClrLst/>
  </dgm:styleLbl>
  <dgm:styleLbl name="vennNode1">
    <dgm:fillClrLst meth="cycle">
      <a:schemeClr val="accent5">
        <a:shade val="80000"/>
        <a:alpha val="50000"/>
      </a:schemeClr>
      <a:schemeClr val="accent5">
        <a:tint val="50000"/>
        <a:alpha val="50000"/>
      </a:schemeClr>
    </dgm:fillClrLst>
    <dgm:linClrLst meth="repeat">
      <a:schemeClr val="lt1"/>
    </dgm:linClrLst>
    <dgm:effectClrLst/>
    <dgm:txLinClrLst/>
    <dgm:txFillClrLst/>
    <dgm:txEffectClrLst/>
  </dgm:styleLbl>
  <dgm:styleLbl name="node2">
    <dgm:fillClrLst>
      <a:schemeClr val="accent5">
        <a:shade val="80000"/>
      </a:schemeClr>
    </dgm:fillClrLst>
    <dgm:linClrLst meth="repeat">
      <a:schemeClr val="lt1"/>
    </dgm:linClrLst>
    <dgm:effectClrLst/>
    <dgm:txLinClrLst/>
    <dgm:txFillClrLst/>
    <dgm:txEffectClrLst/>
  </dgm:styleLbl>
  <dgm:styleLbl name="node3">
    <dgm:fillClrLst>
      <a:schemeClr val="accent5">
        <a:tint val="99000"/>
      </a:schemeClr>
    </dgm:fillClrLst>
    <dgm:linClrLst meth="repeat">
      <a:schemeClr val="lt1"/>
    </dgm:linClrLst>
    <dgm:effectClrLst/>
    <dgm:txLinClrLst/>
    <dgm:txFillClrLst/>
    <dgm:txEffectClrLst/>
  </dgm:styleLbl>
  <dgm:styleLbl name="node4">
    <dgm:fillClrLst>
      <a:schemeClr val="accent5">
        <a:tint val="70000"/>
      </a:schemeClr>
    </dgm:fillClrLst>
    <dgm:linClrLst meth="repeat">
      <a:schemeClr val="lt1"/>
    </dgm:linClrLst>
    <dgm:effectClrLst/>
    <dgm:txLinClrLst/>
    <dgm:txFillClrLst/>
    <dgm:txEffectClrLst/>
  </dgm:styleLbl>
  <dgm:styleLbl name="fgImgPlace1">
    <dgm:fillClrLst>
      <a:schemeClr val="accent5">
        <a:tint val="50000"/>
      </a:schemeClr>
      <a:schemeClr val="accent5">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5">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5">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fg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bg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fgSibTrans2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dgm:txEffectClrLst/>
  </dgm:styleLbl>
  <dgm:styleLbl name="sibTrans1D1">
    <dgm:fillClrLst meth="cycle">
      <a:schemeClr val="accent5">
        <a:shade val="90000"/>
      </a:schemeClr>
      <a:schemeClr val="accent5">
        <a:tint val="50000"/>
      </a:schemeClr>
    </dgm:fillClrLst>
    <dgm:linClrLst meth="cycle">
      <a:schemeClr val="accent5">
        <a:shade val="90000"/>
      </a:schemeClr>
      <a:schemeClr val="accent5">
        <a:tint val="50000"/>
      </a:schemeClr>
    </dgm:linClrLst>
    <dgm:effectClrLst/>
    <dgm:txLinClrLst/>
    <dgm:txFillClrLst meth="repeat">
      <a:schemeClr val="tx1"/>
    </dgm:txFillClrLst>
    <dgm:txEffectClrLst/>
  </dgm:styleLbl>
  <dgm:styleLbl name="callout">
    <dgm:fillClrLst meth="repeat">
      <a:schemeClr val="accent5"/>
    </dgm:fillClrLst>
    <dgm:linClrLst meth="repeat">
      <a:schemeClr val="accent5"/>
    </dgm:linClrLst>
    <dgm:effectClrLst/>
    <dgm:txLinClrLst/>
    <dgm:txFillClrLst meth="repeat">
      <a:schemeClr val="tx1"/>
    </dgm:txFillClrLst>
    <dgm:txEffectClrLst/>
  </dgm:styleLbl>
  <dgm:styleLbl name="asst0">
    <dgm:fillClrLst meth="repeat">
      <a:schemeClr val="accent5">
        <a:shade val="80000"/>
      </a:schemeClr>
    </dgm:fillClrLst>
    <dgm:linClrLst meth="repeat">
      <a:schemeClr val="lt1"/>
    </dgm:linClrLst>
    <dgm:effectClrLst/>
    <dgm:txLinClrLst/>
    <dgm:txFillClrLst/>
    <dgm:txEffectClrLst/>
  </dgm:styleLbl>
  <dgm:styleLbl name="asst1">
    <dgm:fillClrLst meth="repeat">
      <a:schemeClr val="accent5">
        <a:shade val="80000"/>
      </a:schemeClr>
    </dgm:fillClrLst>
    <dgm:linClrLst meth="repeat">
      <a:schemeClr val="lt1"/>
    </dgm:linClrLst>
    <dgm:effectClrLst/>
    <dgm:txLinClrLst/>
    <dgm:txFillClrLst/>
    <dgm:txEffectClrLst/>
  </dgm:styleLbl>
  <dgm:styleLbl name="asst2">
    <dgm:fillClrLst>
      <a:schemeClr val="accent5">
        <a:tint val="90000"/>
      </a:schemeClr>
    </dgm:fillClrLst>
    <dgm:linClrLst meth="repeat">
      <a:schemeClr val="lt1"/>
    </dgm:linClrLst>
    <dgm:effectClrLst/>
    <dgm:txLinClrLst/>
    <dgm:txFillClrLst/>
    <dgm:txEffectClrLst/>
  </dgm:styleLbl>
  <dgm:styleLbl name="asst3">
    <dgm:fillClrLst>
      <a:schemeClr val="accent5">
        <a:tint val="70000"/>
      </a:schemeClr>
    </dgm:fillClrLst>
    <dgm:linClrLst meth="repeat">
      <a:schemeClr val="lt1"/>
    </dgm:linClrLst>
    <dgm:effectClrLst/>
    <dgm:txLinClrLst/>
    <dgm:txFillClrLst/>
    <dgm:txEffectClrLst/>
  </dgm:styleLbl>
  <dgm:styleLbl name="asst4">
    <dgm:fillClrLst>
      <a:schemeClr val="accent5">
        <a:tint val="50000"/>
      </a:schemeClr>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shade val="80000"/>
      </a:schemeClr>
    </dgm:linClrLst>
    <dgm:effectClrLst/>
    <dgm:txLinClrLst/>
    <dgm:txFillClrLst/>
    <dgm:txEffectClrLst/>
  </dgm:styleLbl>
  <dgm:styleLbl name="parChTrans2D2">
    <dgm:fillClrLst meth="repeat">
      <a:schemeClr val="accent5">
        <a:tint val="90000"/>
      </a:schemeClr>
    </dgm:fillClrLst>
    <dgm:linClrLst meth="repeat">
      <a:schemeClr val="accent5">
        <a:tint val="90000"/>
      </a:schemeClr>
    </dgm:linClrLst>
    <dgm:effectClrLst/>
    <dgm:txLinClrLst/>
    <dgm:txFillClrLst/>
    <dgm:txEffectClrLst/>
  </dgm:styleLbl>
  <dgm:styleLbl name="parChTrans2D3">
    <dgm:fillClrLst meth="repeat">
      <a:schemeClr val="accent5">
        <a:tint val="70000"/>
      </a:schemeClr>
    </dgm:fillClrLst>
    <dgm:linClrLst meth="repeat">
      <a:schemeClr val="accent5">
        <a:tint val="70000"/>
      </a:schemeClr>
    </dgm:linClrLst>
    <dgm:effectClrLst/>
    <dgm:txLinClrLst/>
    <dgm:txFillClrLst/>
    <dgm:txEffectClrLst/>
  </dgm:styleLbl>
  <dgm:styleLbl name="parChTrans2D4">
    <dgm:fillClrLst meth="repeat">
      <a:schemeClr val="accent5">
        <a:tint val="50000"/>
      </a:schemeClr>
    </dgm:fillClrLst>
    <dgm:linClrLst meth="repeat">
      <a:schemeClr val="accent5">
        <a:tint val="50000"/>
      </a:schemeClr>
    </dgm:linClrLst>
    <dgm:effectClrLst/>
    <dgm:txLinClrLst/>
    <dgm:txFillClrLst meth="repeat">
      <a:schemeClr val="dk1"/>
    </dgm:txFillClrLst>
    <dgm:txEffectClrLst/>
  </dgm:styleLbl>
  <dgm:styleLbl name="parChTrans1D1">
    <dgm:fillClrLst meth="repeat">
      <a:schemeClr val="accent5">
        <a:shade val="80000"/>
      </a:schemeClr>
    </dgm:fillClrLst>
    <dgm:linClrLst meth="repeat">
      <a:schemeClr val="accent5">
        <a:shade val="80000"/>
      </a:schemeClr>
    </dgm:linClrLst>
    <dgm:effectClrLst/>
    <dgm:txLinClrLst/>
    <dgm:txFillClrLst meth="repeat">
      <a:schemeClr val="tx1"/>
    </dgm:txFillClrLst>
    <dgm:txEffectClrLst/>
  </dgm:styleLbl>
  <dgm:styleLbl name="parChTrans1D2">
    <dgm:fillClrLst meth="repeat">
      <a:schemeClr val="accent5">
        <a:tint val="90000"/>
      </a:schemeClr>
    </dgm:fillClrLst>
    <dgm:linClrLst meth="repeat">
      <a:schemeClr val="accent5">
        <a:tint val="90000"/>
      </a:schemeClr>
    </dgm:linClrLst>
    <dgm:effectClrLst/>
    <dgm:txLinClrLst/>
    <dgm:txFillClrLst meth="repeat">
      <a:schemeClr val="tx1"/>
    </dgm:txFillClrLst>
    <dgm:txEffectClrLst/>
  </dgm:styleLbl>
  <dgm:styleLbl name="parChTrans1D3">
    <dgm:fillClrLst meth="repeat">
      <a:schemeClr val="accent5">
        <a:tint val="70000"/>
      </a:schemeClr>
    </dgm:fillClrLst>
    <dgm:linClrLst meth="repeat">
      <a:schemeClr val="accent5">
        <a:tint val="70000"/>
      </a:schemeClr>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5">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5">
        <a:shade val="50000"/>
      </a:schemeClr>
      <a:schemeClr val="accent5">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55000"/>
      </a:schemeClr>
    </dgm:fillClrLst>
    <dgm:linClrLst meth="repeat">
      <a:schemeClr val="accent5">
        <a:alpha val="90000"/>
        <a:tint val="55000"/>
      </a:schemeClr>
    </dgm:linClrLst>
    <dgm:effectClrLst/>
    <dgm:txLinClrLst/>
    <dgm:txFillClrLst meth="repeat">
      <a:schemeClr val="dk1"/>
    </dgm:txFillClrLst>
    <dgm:txEffectClrLst/>
  </dgm:styleLbl>
  <dgm:styleLbl name="alignAccFollowNode1">
    <dgm:fillClrLst meth="repeat">
      <a:schemeClr val="accent5">
        <a:alpha val="90000"/>
        <a:tint val="55000"/>
      </a:schemeClr>
    </dgm:fillClrLst>
    <dgm:linClrLst meth="repeat">
      <a:schemeClr val="accent5">
        <a:alpha val="90000"/>
        <a:tint val="55000"/>
      </a:schemeClr>
    </dgm:linClrLst>
    <dgm:effectClrLst/>
    <dgm:txLinClrLst/>
    <dgm:txFillClrLst meth="repeat">
      <a:schemeClr val="dk1"/>
    </dgm:txFillClrLst>
    <dgm:txEffectClrLst/>
  </dgm:styleLbl>
  <dgm:styleLbl name="bgAccFollowNode1">
    <dgm:fillClrLst meth="repeat">
      <a:schemeClr val="accent5">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a:tint val="50000"/>
      </a:schemeClr>
    </dgm:linClrLst>
    <dgm:effectClrLst/>
    <dgm:txLinClrLst/>
    <dgm:txFillClrLst meth="repeat">
      <a:schemeClr val="dk1"/>
    </dgm:txFillClrLst>
    <dgm:txEffectClrLst/>
  </dgm:styleLbl>
  <dgm:styleLbl name="bgShp">
    <dgm:fillClrLst meth="repeat">
      <a:schemeClr val="accent5">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55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3">
  <dgm:title val=""/>
  <dgm:desc val=""/>
  <dgm:catLst>
    <dgm:cat type="accent6" pri="11300"/>
  </dgm:catLst>
  <dgm:styleLbl name="node0">
    <dgm:fillClrLst meth="repeat">
      <a:schemeClr val="accent6">
        <a:shade val="80000"/>
      </a:schemeClr>
    </dgm:fillClrLst>
    <dgm:linClrLst meth="repeat">
      <a:schemeClr val="lt1"/>
    </dgm:linClrLst>
    <dgm:effectClrLst/>
    <dgm:txLinClrLst/>
    <dgm:txFillClrLst/>
    <dgm:txEffectClrLst/>
  </dgm:styleLbl>
  <dgm:styleLbl name="node1">
    <dgm:fillClrLst>
      <a:schemeClr val="accent6">
        <a:shade val="80000"/>
      </a:schemeClr>
      <a:schemeClr val="accent6">
        <a:tint val="70000"/>
      </a:schemeClr>
    </dgm:fillClrLst>
    <dgm:linClrLst meth="repeat">
      <a:schemeClr val="lt1"/>
    </dgm:linClrLst>
    <dgm:effectClrLst/>
    <dgm:txLinClrLst/>
    <dgm:txFillClrLst/>
    <dgm:txEffectClrLst/>
  </dgm:styleLbl>
  <dgm:styleLbl name="alignNode1">
    <dgm:fillClrLst>
      <a:schemeClr val="accent6">
        <a:shade val="80000"/>
      </a:schemeClr>
      <a:schemeClr val="accent6">
        <a:tint val="70000"/>
      </a:schemeClr>
    </dgm:fillClrLst>
    <dgm:linClrLst>
      <a:schemeClr val="accent6">
        <a:shade val="80000"/>
      </a:schemeClr>
      <a:schemeClr val="accent6">
        <a:tint val="70000"/>
      </a:schemeClr>
    </dgm:linClrLst>
    <dgm:effectClrLst/>
    <dgm:txLinClrLst/>
    <dgm:txFillClrLst/>
    <dgm:txEffectClrLst/>
  </dgm:styleLbl>
  <dgm:styleLbl name="lnNode1">
    <dgm:fillClrLst>
      <a:schemeClr val="accent6">
        <a:shade val="80000"/>
      </a:schemeClr>
      <a:schemeClr val="accent6">
        <a:tint val="70000"/>
      </a:schemeClr>
    </dgm:fillClrLst>
    <dgm:linClrLst meth="repeat">
      <a:schemeClr val="lt1"/>
    </dgm:linClrLst>
    <dgm:effectClrLst/>
    <dgm:txLinClrLst/>
    <dgm:txFillClrLst/>
    <dgm:txEffectClrLst/>
  </dgm:styleLbl>
  <dgm:styleLbl name="vennNode1">
    <dgm:fillClrLst>
      <a:schemeClr val="accent6">
        <a:shade val="80000"/>
        <a:alpha val="50000"/>
      </a:schemeClr>
      <a:schemeClr val="accent6">
        <a:tint val="70000"/>
        <a:alpha val="50000"/>
      </a:schemeClr>
    </dgm:fillClrLst>
    <dgm:linClrLst meth="repeat">
      <a:schemeClr val="lt1"/>
    </dgm:linClrLst>
    <dgm:effectClrLst/>
    <dgm:txLinClrLst/>
    <dgm:txFillClrLst/>
    <dgm:txEffectClrLst/>
  </dgm:styleLbl>
  <dgm:styleLbl name="node2">
    <dgm:fillClrLst>
      <a:schemeClr val="accent6">
        <a:tint val="99000"/>
      </a:schemeClr>
    </dgm:fillClrLst>
    <dgm:linClrLst meth="repeat">
      <a:schemeClr val="lt1"/>
    </dgm:linClrLst>
    <dgm:effectClrLst/>
    <dgm:txLinClrLst/>
    <dgm:txFillClrLst/>
    <dgm:txEffectClrLst/>
  </dgm:styleLbl>
  <dgm:styleLbl name="node3">
    <dgm:fillClrLst>
      <a:schemeClr val="accent6">
        <a:tint val="80000"/>
      </a:schemeClr>
    </dgm:fillClrLst>
    <dgm:linClrLst meth="repeat">
      <a:schemeClr val="lt1"/>
    </dgm:linClrLst>
    <dgm:effectClrLst/>
    <dgm:txLinClrLst/>
    <dgm:txFillClrLst/>
    <dgm:txEffectClrLst/>
  </dgm:styleLbl>
  <dgm:styleLbl name="node4">
    <dgm:fillClrLst>
      <a:schemeClr val="accent6">
        <a:tint val="70000"/>
      </a:schemeClr>
    </dgm:fillClrLst>
    <dgm:linClrLst meth="repeat">
      <a:schemeClr val="lt1"/>
    </dgm:linClrLst>
    <dgm:effectClrLst/>
    <dgm:txLinClrLst/>
    <dgm:txFillClrLst/>
    <dgm:txEffectClrLst/>
  </dgm:styleLbl>
  <dgm:styleLbl name="f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dgm:txEffectClrLst/>
  </dgm:styleLbl>
  <dgm:styleLbl name="f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b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sibTrans1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tx1"/>
    </dgm:txFillClrLst>
    <dgm:txEffectClrLst/>
  </dgm:styleLbl>
  <dgm:styleLbl name="callout">
    <dgm:fillClrLst meth="repeat">
      <a:schemeClr val="accent6"/>
    </dgm:fillClrLst>
    <dgm:linClrLst meth="repeat">
      <a:schemeClr val="accent6"/>
    </dgm:linClrLst>
    <dgm:effectClrLst/>
    <dgm:txLinClrLst/>
    <dgm:txFillClrLst meth="repeat">
      <a:schemeClr val="tx1"/>
    </dgm:txFillClrLst>
    <dgm:txEffectClrLst/>
  </dgm:styleLbl>
  <dgm:styleLbl name="asst0">
    <dgm:fillClrLst meth="repeat">
      <a:schemeClr val="accent6">
        <a:shade val="80000"/>
      </a:schemeClr>
    </dgm:fillClrLst>
    <dgm:linClrLst meth="repeat">
      <a:schemeClr val="lt1"/>
    </dgm:linClrLst>
    <dgm:effectClrLst/>
    <dgm:txLinClrLst/>
    <dgm:txFillClrLst/>
    <dgm:txEffectClrLst/>
  </dgm:styleLbl>
  <dgm:styleLbl name="asst1">
    <dgm:fillClrLst meth="repeat">
      <a:schemeClr val="accent6">
        <a:shade val="80000"/>
      </a:schemeClr>
    </dgm:fillClrLst>
    <dgm:linClrLst meth="repeat">
      <a:schemeClr val="lt1"/>
    </dgm:linClrLst>
    <dgm:effectClrLst/>
    <dgm:txLinClrLst/>
    <dgm:txFillClrLst/>
    <dgm:txEffectClrLst/>
  </dgm:styleLbl>
  <dgm:styleLbl name="asst2">
    <dgm:fillClrLst>
      <a:schemeClr val="accent6">
        <a:tint val="99000"/>
      </a:schemeClr>
    </dgm:fillClrLst>
    <dgm:linClrLst meth="repeat">
      <a:schemeClr val="lt1"/>
    </dgm:linClrLst>
    <dgm:effectClrLst/>
    <dgm:txLinClrLst/>
    <dgm:txFillClrLst/>
    <dgm:txEffectClrLst/>
  </dgm:styleLbl>
  <dgm:styleLbl name="asst3">
    <dgm:fillClrLst>
      <a:schemeClr val="accent6">
        <a:tint val="80000"/>
      </a:schemeClr>
    </dgm:fillClrLst>
    <dgm:linClrLst meth="repeat">
      <a:schemeClr val="lt1"/>
    </dgm:linClrLst>
    <dgm:effectClrLst/>
    <dgm:txLinClrLst/>
    <dgm:txFillClrLst/>
    <dgm:txEffectClrLst/>
  </dgm:styleLbl>
  <dgm:styleLbl name="asst4">
    <dgm:fillClrLst>
      <a:schemeClr val="accent6">
        <a:tint val="70000"/>
      </a:schemeClr>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a:tint val="90000"/>
      </a:schemeClr>
    </dgm:fillClrLst>
    <dgm:linClrLst meth="repeat">
      <a:schemeClr val="accent6">
        <a:tint val="90000"/>
      </a:schemeClr>
    </dgm:linClrLst>
    <dgm:effectClrLst/>
    <dgm:txLinClrLst/>
    <dgm:txFillClrLst/>
    <dgm:txEffectClrLst/>
  </dgm:styleLbl>
  <dgm:styleLbl name="parChTrans2D3">
    <dgm:fillClrLst meth="repeat">
      <a:schemeClr val="accent6">
        <a:tint val="70000"/>
      </a:schemeClr>
    </dgm:fillClrLst>
    <dgm:linClrLst meth="repeat">
      <a:schemeClr val="accent6">
        <a:tint val="70000"/>
      </a:schemeClr>
    </dgm:linClrLst>
    <dgm:effectClrLst/>
    <dgm:txLinClrLst/>
    <dgm:txFillClrLst/>
    <dgm:txEffectClrLst/>
  </dgm:styleLbl>
  <dgm:styleLbl name="parChTrans2D4">
    <dgm:fillClrLst meth="repeat">
      <a:schemeClr val="accent6">
        <a:tint val="50000"/>
      </a:schemeClr>
    </dgm:fillClrLst>
    <dgm:linClrLst meth="repeat">
      <a:schemeClr val="accent6">
        <a:tint val="50000"/>
      </a:schemeClr>
    </dgm:linClrLst>
    <dgm:effectClrLst/>
    <dgm:txLinClrLst/>
    <dgm:txFillClrLst meth="repeat">
      <a:schemeClr val="lt1"/>
    </dgm:txFillClrLst>
    <dgm:txEffectClrLst/>
  </dgm:styleLbl>
  <dgm:styleLbl name="parChTrans1D1">
    <dgm:fillClrLst meth="repeat">
      <a:schemeClr val="accent6">
        <a:shade val="80000"/>
      </a:schemeClr>
    </dgm:fillClrLst>
    <dgm:linClrLst meth="repeat">
      <a:schemeClr val="accent6">
        <a:shade val="80000"/>
      </a:schemeClr>
    </dgm:linClrLst>
    <dgm:effectClrLst/>
    <dgm:txLinClrLst/>
    <dgm:txFillClrLst meth="repeat">
      <a:schemeClr val="tx1"/>
    </dgm:txFillClrLst>
    <dgm:txEffectClrLst/>
  </dgm:styleLbl>
  <dgm:styleLbl name="parChTrans1D2">
    <dgm:fillClrLst meth="repeat">
      <a:schemeClr val="accent6">
        <a:tint val="99000"/>
      </a:schemeClr>
    </dgm:fillClrLst>
    <dgm:linClrLst meth="repeat">
      <a:schemeClr val="accent6">
        <a:tint val="99000"/>
      </a:schemeClr>
    </dgm:linClrLst>
    <dgm:effectClrLst/>
    <dgm:txLinClrLst/>
    <dgm:txFillClrLst meth="repeat">
      <a:schemeClr val="tx1"/>
    </dgm:txFillClrLst>
    <dgm:txEffectClrLst/>
  </dgm:styleLbl>
  <dgm:styleLbl name="parChTrans1D3">
    <dgm:fillClrLst meth="repeat">
      <a:schemeClr val="accent6">
        <a:tint val="80000"/>
      </a:schemeClr>
    </dgm:fillClrLst>
    <dgm:linClrLst meth="repeat">
      <a:schemeClr val="accent6">
        <a:tint val="80000"/>
      </a:schemeClr>
    </dgm:linClrLst>
    <dgm:effectClrLst/>
    <dgm:txLinClrLst/>
    <dgm:txFillClrLst meth="repeat">
      <a:schemeClr val="tx1"/>
    </dgm:txFillClrLst>
    <dgm:txEffectClrLst/>
  </dgm:styleLbl>
  <dgm:styleLbl name="parChTrans1D4">
    <dgm:fillClrLst meth="repeat">
      <a:schemeClr val="accent6">
        <a:tint val="70000"/>
      </a:schemeClr>
    </dgm:fillClrLst>
    <dgm:linClrLst meth="repeat">
      <a:schemeClr val="accent6">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a:tint val="70000"/>
      </a:schemeClr>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6">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6_3">
  <dgm:title val=""/>
  <dgm:desc val=""/>
  <dgm:catLst>
    <dgm:cat type="accent6" pri="11300"/>
  </dgm:catLst>
  <dgm:styleLbl name="node0">
    <dgm:fillClrLst meth="repeat">
      <a:schemeClr val="accent6">
        <a:shade val="80000"/>
      </a:schemeClr>
    </dgm:fillClrLst>
    <dgm:linClrLst meth="repeat">
      <a:schemeClr val="lt1"/>
    </dgm:linClrLst>
    <dgm:effectClrLst/>
    <dgm:txLinClrLst/>
    <dgm:txFillClrLst/>
    <dgm:txEffectClrLst/>
  </dgm:styleLbl>
  <dgm:styleLbl name="node1">
    <dgm:fillClrLst>
      <a:schemeClr val="accent6">
        <a:shade val="80000"/>
      </a:schemeClr>
      <a:schemeClr val="accent6">
        <a:tint val="70000"/>
      </a:schemeClr>
    </dgm:fillClrLst>
    <dgm:linClrLst meth="repeat">
      <a:schemeClr val="lt1"/>
    </dgm:linClrLst>
    <dgm:effectClrLst/>
    <dgm:txLinClrLst/>
    <dgm:txFillClrLst/>
    <dgm:txEffectClrLst/>
  </dgm:styleLbl>
  <dgm:styleLbl name="alignNode1">
    <dgm:fillClrLst>
      <a:schemeClr val="accent6">
        <a:shade val="80000"/>
      </a:schemeClr>
      <a:schemeClr val="accent6">
        <a:tint val="70000"/>
      </a:schemeClr>
    </dgm:fillClrLst>
    <dgm:linClrLst>
      <a:schemeClr val="accent6">
        <a:shade val="80000"/>
      </a:schemeClr>
      <a:schemeClr val="accent6">
        <a:tint val="70000"/>
      </a:schemeClr>
    </dgm:linClrLst>
    <dgm:effectClrLst/>
    <dgm:txLinClrLst/>
    <dgm:txFillClrLst/>
    <dgm:txEffectClrLst/>
  </dgm:styleLbl>
  <dgm:styleLbl name="lnNode1">
    <dgm:fillClrLst>
      <a:schemeClr val="accent6">
        <a:shade val="80000"/>
      </a:schemeClr>
      <a:schemeClr val="accent6">
        <a:tint val="70000"/>
      </a:schemeClr>
    </dgm:fillClrLst>
    <dgm:linClrLst meth="repeat">
      <a:schemeClr val="lt1"/>
    </dgm:linClrLst>
    <dgm:effectClrLst/>
    <dgm:txLinClrLst/>
    <dgm:txFillClrLst/>
    <dgm:txEffectClrLst/>
  </dgm:styleLbl>
  <dgm:styleLbl name="vennNode1">
    <dgm:fillClrLst>
      <a:schemeClr val="accent6">
        <a:shade val="80000"/>
        <a:alpha val="50000"/>
      </a:schemeClr>
      <a:schemeClr val="accent6">
        <a:tint val="70000"/>
        <a:alpha val="50000"/>
      </a:schemeClr>
    </dgm:fillClrLst>
    <dgm:linClrLst meth="repeat">
      <a:schemeClr val="lt1"/>
    </dgm:linClrLst>
    <dgm:effectClrLst/>
    <dgm:txLinClrLst/>
    <dgm:txFillClrLst/>
    <dgm:txEffectClrLst/>
  </dgm:styleLbl>
  <dgm:styleLbl name="node2">
    <dgm:fillClrLst>
      <a:schemeClr val="accent6">
        <a:tint val="99000"/>
      </a:schemeClr>
    </dgm:fillClrLst>
    <dgm:linClrLst meth="repeat">
      <a:schemeClr val="lt1"/>
    </dgm:linClrLst>
    <dgm:effectClrLst/>
    <dgm:txLinClrLst/>
    <dgm:txFillClrLst/>
    <dgm:txEffectClrLst/>
  </dgm:styleLbl>
  <dgm:styleLbl name="node3">
    <dgm:fillClrLst>
      <a:schemeClr val="accent6">
        <a:tint val="80000"/>
      </a:schemeClr>
    </dgm:fillClrLst>
    <dgm:linClrLst meth="repeat">
      <a:schemeClr val="lt1"/>
    </dgm:linClrLst>
    <dgm:effectClrLst/>
    <dgm:txLinClrLst/>
    <dgm:txFillClrLst/>
    <dgm:txEffectClrLst/>
  </dgm:styleLbl>
  <dgm:styleLbl name="node4">
    <dgm:fillClrLst>
      <a:schemeClr val="accent6">
        <a:tint val="70000"/>
      </a:schemeClr>
    </dgm:fillClrLst>
    <dgm:linClrLst meth="repeat">
      <a:schemeClr val="lt1"/>
    </dgm:linClrLst>
    <dgm:effectClrLst/>
    <dgm:txLinClrLst/>
    <dgm:txFillClrLst/>
    <dgm:txEffectClrLst/>
  </dgm:styleLbl>
  <dgm:styleLbl name="f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6">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dgm:txEffectClrLst/>
  </dgm:styleLbl>
  <dgm:styleLbl name="f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bgSibTrans2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lt1"/>
    </dgm:txFillClrLst>
    <dgm:txEffectClrLst/>
  </dgm:styleLbl>
  <dgm:styleLbl name="sibTrans1D1">
    <dgm:fillClrLst>
      <a:schemeClr val="accent6">
        <a:shade val="90000"/>
      </a:schemeClr>
      <a:schemeClr val="accent6">
        <a:tint val="70000"/>
      </a:schemeClr>
    </dgm:fillClrLst>
    <dgm:linClrLst>
      <a:schemeClr val="accent6">
        <a:shade val="90000"/>
      </a:schemeClr>
      <a:schemeClr val="accent6">
        <a:tint val="70000"/>
      </a:schemeClr>
    </dgm:linClrLst>
    <dgm:effectClrLst/>
    <dgm:txLinClrLst/>
    <dgm:txFillClrLst meth="repeat">
      <a:schemeClr val="tx1"/>
    </dgm:txFillClrLst>
    <dgm:txEffectClrLst/>
  </dgm:styleLbl>
  <dgm:styleLbl name="callout">
    <dgm:fillClrLst meth="repeat">
      <a:schemeClr val="accent6"/>
    </dgm:fillClrLst>
    <dgm:linClrLst meth="repeat">
      <a:schemeClr val="accent6"/>
    </dgm:linClrLst>
    <dgm:effectClrLst/>
    <dgm:txLinClrLst/>
    <dgm:txFillClrLst meth="repeat">
      <a:schemeClr val="tx1"/>
    </dgm:txFillClrLst>
    <dgm:txEffectClrLst/>
  </dgm:styleLbl>
  <dgm:styleLbl name="asst0">
    <dgm:fillClrLst meth="repeat">
      <a:schemeClr val="accent6">
        <a:shade val="80000"/>
      </a:schemeClr>
    </dgm:fillClrLst>
    <dgm:linClrLst meth="repeat">
      <a:schemeClr val="lt1"/>
    </dgm:linClrLst>
    <dgm:effectClrLst/>
    <dgm:txLinClrLst/>
    <dgm:txFillClrLst/>
    <dgm:txEffectClrLst/>
  </dgm:styleLbl>
  <dgm:styleLbl name="asst1">
    <dgm:fillClrLst meth="repeat">
      <a:schemeClr val="accent6">
        <a:shade val="80000"/>
      </a:schemeClr>
    </dgm:fillClrLst>
    <dgm:linClrLst meth="repeat">
      <a:schemeClr val="lt1"/>
    </dgm:linClrLst>
    <dgm:effectClrLst/>
    <dgm:txLinClrLst/>
    <dgm:txFillClrLst/>
    <dgm:txEffectClrLst/>
  </dgm:styleLbl>
  <dgm:styleLbl name="asst2">
    <dgm:fillClrLst>
      <a:schemeClr val="accent6">
        <a:tint val="99000"/>
      </a:schemeClr>
    </dgm:fillClrLst>
    <dgm:linClrLst meth="repeat">
      <a:schemeClr val="lt1"/>
    </dgm:linClrLst>
    <dgm:effectClrLst/>
    <dgm:txLinClrLst/>
    <dgm:txFillClrLst/>
    <dgm:txEffectClrLst/>
  </dgm:styleLbl>
  <dgm:styleLbl name="asst3">
    <dgm:fillClrLst>
      <a:schemeClr val="accent6">
        <a:tint val="80000"/>
      </a:schemeClr>
    </dgm:fillClrLst>
    <dgm:linClrLst meth="repeat">
      <a:schemeClr val="lt1"/>
    </dgm:linClrLst>
    <dgm:effectClrLst/>
    <dgm:txLinClrLst/>
    <dgm:txFillClrLst/>
    <dgm:txEffectClrLst/>
  </dgm:styleLbl>
  <dgm:styleLbl name="asst4">
    <dgm:fillClrLst>
      <a:schemeClr val="accent6">
        <a:tint val="70000"/>
      </a:schemeClr>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a:tint val="90000"/>
      </a:schemeClr>
    </dgm:fillClrLst>
    <dgm:linClrLst meth="repeat">
      <a:schemeClr val="accent6">
        <a:tint val="90000"/>
      </a:schemeClr>
    </dgm:linClrLst>
    <dgm:effectClrLst/>
    <dgm:txLinClrLst/>
    <dgm:txFillClrLst/>
    <dgm:txEffectClrLst/>
  </dgm:styleLbl>
  <dgm:styleLbl name="parChTrans2D3">
    <dgm:fillClrLst meth="repeat">
      <a:schemeClr val="accent6">
        <a:tint val="70000"/>
      </a:schemeClr>
    </dgm:fillClrLst>
    <dgm:linClrLst meth="repeat">
      <a:schemeClr val="accent6">
        <a:tint val="70000"/>
      </a:schemeClr>
    </dgm:linClrLst>
    <dgm:effectClrLst/>
    <dgm:txLinClrLst/>
    <dgm:txFillClrLst/>
    <dgm:txEffectClrLst/>
  </dgm:styleLbl>
  <dgm:styleLbl name="parChTrans2D4">
    <dgm:fillClrLst meth="repeat">
      <a:schemeClr val="accent6">
        <a:tint val="50000"/>
      </a:schemeClr>
    </dgm:fillClrLst>
    <dgm:linClrLst meth="repeat">
      <a:schemeClr val="accent6">
        <a:tint val="50000"/>
      </a:schemeClr>
    </dgm:linClrLst>
    <dgm:effectClrLst/>
    <dgm:txLinClrLst/>
    <dgm:txFillClrLst meth="repeat">
      <a:schemeClr val="lt1"/>
    </dgm:txFillClrLst>
    <dgm:txEffectClrLst/>
  </dgm:styleLbl>
  <dgm:styleLbl name="parChTrans1D1">
    <dgm:fillClrLst meth="repeat">
      <a:schemeClr val="accent6">
        <a:shade val="80000"/>
      </a:schemeClr>
    </dgm:fillClrLst>
    <dgm:linClrLst meth="repeat">
      <a:schemeClr val="accent6">
        <a:shade val="80000"/>
      </a:schemeClr>
    </dgm:linClrLst>
    <dgm:effectClrLst/>
    <dgm:txLinClrLst/>
    <dgm:txFillClrLst meth="repeat">
      <a:schemeClr val="tx1"/>
    </dgm:txFillClrLst>
    <dgm:txEffectClrLst/>
  </dgm:styleLbl>
  <dgm:styleLbl name="parChTrans1D2">
    <dgm:fillClrLst meth="repeat">
      <a:schemeClr val="accent6">
        <a:tint val="99000"/>
      </a:schemeClr>
    </dgm:fillClrLst>
    <dgm:linClrLst meth="repeat">
      <a:schemeClr val="accent6">
        <a:tint val="99000"/>
      </a:schemeClr>
    </dgm:linClrLst>
    <dgm:effectClrLst/>
    <dgm:txLinClrLst/>
    <dgm:txFillClrLst meth="repeat">
      <a:schemeClr val="tx1"/>
    </dgm:txFillClrLst>
    <dgm:txEffectClrLst/>
  </dgm:styleLbl>
  <dgm:styleLbl name="parChTrans1D3">
    <dgm:fillClrLst meth="repeat">
      <a:schemeClr val="accent6">
        <a:tint val="80000"/>
      </a:schemeClr>
    </dgm:fillClrLst>
    <dgm:linClrLst meth="repeat">
      <a:schemeClr val="accent6">
        <a:tint val="80000"/>
      </a:schemeClr>
    </dgm:linClrLst>
    <dgm:effectClrLst/>
    <dgm:txLinClrLst/>
    <dgm:txFillClrLst meth="repeat">
      <a:schemeClr val="tx1"/>
    </dgm:txFillClrLst>
    <dgm:txEffectClrLst/>
  </dgm:styleLbl>
  <dgm:styleLbl name="parChTrans1D4">
    <dgm:fillClrLst meth="repeat">
      <a:schemeClr val="accent6">
        <a:tint val="70000"/>
      </a:schemeClr>
    </dgm:fillClrLst>
    <dgm:linClrLst meth="repeat">
      <a:schemeClr val="accent6">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6">
        <a:shade val="80000"/>
      </a:schemeClr>
      <a:schemeClr val="accent6">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a:tint val="70000"/>
      </a:schemeClr>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6">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BD3AD2E9-6B91-422F-8667-430EF6D76E0A}" type="doc">
      <dgm:prSet loTypeId="urn:microsoft.com/office/officeart/2005/8/layout/cycle1" loCatId="cycle" qsTypeId="urn:microsoft.com/office/officeart/2005/8/quickstyle/simple1" qsCatId="simple" csTypeId="urn:microsoft.com/office/officeart/2005/8/colors/colorful1" csCatId="colorful" phldr="1"/>
      <dgm:spPr/>
      <dgm:t>
        <a:bodyPr/>
        <a:lstStyle/>
        <a:p>
          <a:endParaRPr lang="en-CA"/>
        </a:p>
      </dgm:t>
    </dgm:pt>
    <dgm:pt modelId="{88DD7665-C227-411C-9866-EB8EBDCE610E}">
      <dgm:prSet phldrT="[Text]"/>
      <dgm:spPr/>
      <dgm:t>
        <a:bodyPr/>
        <a:lstStyle/>
        <a:p>
          <a:r>
            <a:rPr lang="en-CA"/>
            <a:t>Quotes</a:t>
          </a:r>
        </a:p>
      </dgm:t>
    </dgm:pt>
    <dgm:pt modelId="{CE129B1A-580A-44CD-9897-674F91764889}" type="parTrans" cxnId="{CFE16079-35EE-477F-85AF-E07C83F91624}">
      <dgm:prSet/>
      <dgm:spPr/>
      <dgm:t>
        <a:bodyPr/>
        <a:lstStyle/>
        <a:p>
          <a:endParaRPr lang="en-CA"/>
        </a:p>
      </dgm:t>
    </dgm:pt>
    <dgm:pt modelId="{3A50F636-4C99-43D0-86B6-5268DF555FA4}" type="sibTrans" cxnId="{CFE16079-35EE-477F-85AF-E07C83F91624}">
      <dgm:prSet/>
      <dgm:spPr/>
      <dgm:t>
        <a:bodyPr/>
        <a:lstStyle/>
        <a:p>
          <a:endParaRPr lang="en-CA"/>
        </a:p>
      </dgm:t>
    </dgm:pt>
    <dgm:pt modelId="{44ED1249-C19E-4E52-BCEF-EF9AC30245F1}">
      <dgm:prSet phldrT="[Text]"/>
      <dgm:spPr/>
      <dgm:t>
        <a:bodyPr/>
        <a:lstStyle/>
        <a:p>
          <a:r>
            <a:rPr lang="en-CA"/>
            <a:t>Inventory</a:t>
          </a:r>
        </a:p>
      </dgm:t>
    </dgm:pt>
    <dgm:pt modelId="{DEBAC963-EDF6-49B2-806B-0DD9D6823EAF}" type="parTrans" cxnId="{BFE0E0E8-C7BA-42F3-AD12-85491FAB07CA}">
      <dgm:prSet/>
      <dgm:spPr/>
      <dgm:t>
        <a:bodyPr/>
        <a:lstStyle/>
        <a:p>
          <a:endParaRPr lang="en-CA"/>
        </a:p>
      </dgm:t>
    </dgm:pt>
    <dgm:pt modelId="{23011F3A-F38D-4DF0-88FE-09CF667226F4}" type="sibTrans" cxnId="{BFE0E0E8-C7BA-42F3-AD12-85491FAB07CA}">
      <dgm:prSet/>
      <dgm:spPr/>
      <dgm:t>
        <a:bodyPr/>
        <a:lstStyle/>
        <a:p>
          <a:endParaRPr lang="en-CA"/>
        </a:p>
      </dgm:t>
    </dgm:pt>
    <dgm:pt modelId="{5F2B4216-D9B2-455F-9870-EA822BFAF00E}">
      <dgm:prSet phldrT="[Text]"/>
      <dgm:spPr/>
      <dgm:t>
        <a:bodyPr/>
        <a:lstStyle/>
        <a:p>
          <a:r>
            <a:rPr lang="en-CA"/>
            <a:t>Labour</a:t>
          </a:r>
        </a:p>
      </dgm:t>
    </dgm:pt>
    <dgm:pt modelId="{D24DE487-452B-46CE-A621-BD9AC49CC8C3}" type="parTrans" cxnId="{36A1076B-743C-4F2D-B5BE-2DAAEF62945E}">
      <dgm:prSet/>
      <dgm:spPr/>
      <dgm:t>
        <a:bodyPr/>
        <a:lstStyle/>
        <a:p>
          <a:endParaRPr lang="en-CA"/>
        </a:p>
      </dgm:t>
    </dgm:pt>
    <dgm:pt modelId="{C68C4054-02E6-4DC8-A219-9C0D685FF390}" type="sibTrans" cxnId="{36A1076B-743C-4F2D-B5BE-2DAAEF62945E}">
      <dgm:prSet/>
      <dgm:spPr/>
      <dgm:t>
        <a:bodyPr/>
        <a:lstStyle/>
        <a:p>
          <a:endParaRPr lang="en-CA"/>
        </a:p>
      </dgm:t>
    </dgm:pt>
    <dgm:pt modelId="{8AE0023F-3714-4ADA-BC65-9A3E833B15E3}">
      <dgm:prSet phldrT="[Text]"/>
      <dgm:spPr/>
      <dgm:t>
        <a:bodyPr/>
        <a:lstStyle/>
        <a:p>
          <a:r>
            <a:rPr lang="en-CA"/>
            <a:t>Quality</a:t>
          </a:r>
        </a:p>
      </dgm:t>
    </dgm:pt>
    <dgm:pt modelId="{E6EADE95-FA43-44D8-9C85-3B1FD4614FE3}" type="parTrans" cxnId="{39B862CA-EA90-43F3-8A66-8EFB4891DF15}">
      <dgm:prSet/>
      <dgm:spPr/>
      <dgm:t>
        <a:bodyPr/>
        <a:lstStyle/>
        <a:p>
          <a:endParaRPr lang="en-CA"/>
        </a:p>
      </dgm:t>
    </dgm:pt>
    <dgm:pt modelId="{EB51D2B6-885D-4636-BFE9-F9963A4300C7}" type="sibTrans" cxnId="{39B862CA-EA90-43F3-8A66-8EFB4891DF15}">
      <dgm:prSet/>
      <dgm:spPr/>
      <dgm:t>
        <a:bodyPr/>
        <a:lstStyle/>
        <a:p>
          <a:endParaRPr lang="en-CA"/>
        </a:p>
      </dgm:t>
    </dgm:pt>
    <dgm:pt modelId="{8410A90C-9D59-4814-B9D1-C0EC8A9B0340}">
      <dgm:prSet phldrT="[Text]"/>
      <dgm:spPr/>
      <dgm:t>
        <a:bodyPr/>
        <a:lstStyle/>
        <a:p>
          <a:r>
            <a:rPr lang="en-CA"/>
            <a:t>Sales</a:t>
          </a:r>
        </a:p>
      </dgm:t>
    </dgm:pt>
    <dgm:pt modelId="{801E0D7A-0659-44EA-BC1E-8B2ABF83062A}" type="parTrans" cxnId="{6D525504-925D-4997-9E4A-E8DA58D50850}">
      <dgm:prSet/>
      <dgm:spPr/>
      <dgm:t>
        <a:bodyPr/>
        <a:lstStyle/>
        <a:p>
          <a:endParaRPr lang="en-CA"/>
        </a:p>
      </dgm:t>
    </dgm:pt>
    <dgm:pt modelId="{CE35A86C-80CD-4B4D-8F44-289830255E8A}" type="sibTrans" cxnId="{6D525504-925D-4997-9E4A-E8DA58D50850}">
      <dgm:prSet/>
      <dgm:spPr/>
      <dgm:t>
        <a:bodyPr/>
        <a:lstStyle/>
        <a:p>
          <a:endParaRPr lang="en-CA"/>
        </a:p>
      </dgm:t>
    </dgm:pt>
    <dgm:pt modelId="{497EC3C9-1243-49DB-B8A3-BA1B9FC5DBCB}">
      <dgm:prSet phldrT="[Text]"/>
      <dgm:spPr/>
      <dgm:t>
        <a:bodyPr/>
        <a:lstStyle/>
        <a:p>
          <a:r>
            <a:rPr lang="en-CA"/>
            <a:t>Production</a:t>
          </a:r>
        </a:p>
      </dgm:t>
    </dgm:pt>
    <dgm:pt modelId="{7BB1C25B-9FA4-4712-B3E8-EA8AB2730FB8}" type="parTrans" cxnId="{E872DABA-2713-4F30-A1CD-C445D69AD787}">
      <dgm:prSet/>
      <dgm:spPr/>
      <dgm:t>
        <a:bodyPr/>
        <a:lstStyle/>
        <a:p>
          <a:endParaRPr lang="en-CA"/>
        </a:p>
      </dgm:t>
    </dgm:pt>
    <dgm:pt modelId="{807E0AC9-91E8-45CE-A02E-05F1F690B995}" type="sibTrans" cxnId="{E872DABA-2713-4F30-A1CD-C445D69AD787}">
      <dgm:prSet/>
      <dgm:spPr/>
      <dgm:t>
        <a:bodyPr/>
        <a:lstStyle/>
        <a:p>
          <a:endParaRPr lang="en-CA"/>
        </a:p>
      </dgm:t>
    </dgm:pt>
    <dgm:pt modelId="{ABEBA61C-D714-4A89-9A3B-A333ED0BEF73}" type="pres">
      <dgm:prSet presAssocID="{BD3AD2E9-6B91-422F-8667-430EF6D76E0A}" presName="cycle" presStyleCnt="0">
        <dgm:presLayoutVars>
          <dgm:dir/>
          <dgm:resizeHandles val="exact"/>
        </dgm:presLayoutVars>
      </dgm:prSet>
      <dgm:spPr/>
      <dgm:t>
        <a:bodyPr/>
        <a:lstStyle/>
        <a:p>
          <a:endParaRPr lang="en-CA"/>
        </a:p>
      </dgm:t>
    </dgm:pt>
    <dgm:pt modelId="{0AE1F657-9066-4BEC-9EF8-903AA0154550}" type="pres">
      <dgm:prSet presAssocID="{88DD7665-C227-411C-9866-EB8EBDCE610E}" presName="dummy" presStyleCnt="0"/>
      <dgm:spPr/>
    </dgm:pt>
    <dgm:pt modelId="{999561AF-1EF9-4FAC-870F-086293CA0665}" type="pres">
      <dgm:prSet presAssocID="{88DD7665-C227-411C-9866-EB8EBDCE610E}" presName="node" presStyleLbl="revTx" presStyleIdx="0" presStyleCnt="6">
        <dgm:presLayoutVars>
          <dgm:bulletEnabled val="1"/>
        </dgm:presLayoutVars>
      </dgm:prSet>
      <dgm:spPr/>
      <dgm:t>
        <a:bodyPr/>
        <a:lstStyle/>
        <a:p>
          <a:endParaRPr lang="en-CA"/>
        </a:p>
      </dgm:t>
    </dgm:pt>
    <dgm:pt modelId="{9673BDDC-3143-44E4-9146-CC2343298043}" type="pres">
      <dgm:prSet presAssocID="{3A50F636-4C99-43D0-86B6-5268DF555FA4}" presName="sibTrans" presStyleLbl="node1" presStyleIdx="0" presStyleCnt="6"/>
      <dgm:spPr/>
      <dgm:t>
        <a:bodyPr/>
        <a:lstStyle/>
        <a:p>
          <a:endParaRPr lang="en-CA"/>
        </a:p>
      </dgm:t>
    </dgm:pt>
    <dgm:pt modelId="{06C91769-0F5A-4AB6-BDBE-C362E890A9F2}" type="pres">
      <dgm:prSet presAssocID="{44ED1249-C19E-4E52-BCEF-EF9AC30245F1}" presName="dummy" presStyleCnt="0"/>
      <dgm:spPr/>
    </dgm:pt>
    <dgm:pt modelId="{14E81EA1-A69A-49A0-854F-BF3AAB726D82}" type="pres">
      <dgm:prSet presAssocID="{44ED1249-C19E-4E52-BCEF-EF9AC30245F1}" presName="node" presStyleLbl="revTx" presStyleIdx="1" presStyleCnt="6">
        <dgm:presLayoutVars>
          <dgm:bulletEnabled val="1"/>
        </dgm:presLayoutVars>
      </dgm:prSet>
      <dgm:spPr/>
      <dgm:t>
        <a:bodyPr/>
        <a:lstStyle/>
        <a:p>
          <a:endParaRPr lang="en-CA"/>
        </a:p>
      </dgm:t>
    </dgm:pt>
    <dgm:pt modelId="{BD5E26FF-2EAD-4EFB-8A8D-0D7509DD6904}" type="pres">
      <dgm:prSet presAssocID="{23011F3A-F38D-4DF0-88FE-09CF667226F4}" presName="sibTrans" presStyleLbl="node1" presStyleIdx="1" presStyleCnt="6"/>
      <dgm:spPr/>
      <dgm:t>
        <a:bodyPr/>
        <a:lstStyle/>
        <a:p>
          <a:endParaRPr lang="en-CA"/>
        </a:p>
      </dgm:t>
    </dgm:pt>
    <dgm:pt modelId="{34A93CD8-05AB-4C00-ADD8-3B5607611AA7}" type="pres">
      <dgm:prSet presAssocID="{497EC3C9-1243-49DB-B8A3-BA1B9FC5DBCB}" presName="dummy" presStyleCnt="0"/>
      <dgm:spPr/>
    </dgm:pt>
    <dgm:pt modelId="{1514FC0E-4C44-47AF-81F2-99123C4151B6}" type="pres">
      <dgm:prSet presAssocID="{497EC3C9-1243-49DB-B8A3-BA1B9FC5DBCB}" presName="node" presStyleLbl="revTx" presStyleIdx="2" presStyleCnt="6">
        <dgm:presLayoutVars>
          <dgm:bulletEnabled val="1"/>
        </dgm:presLayoutVars>
      </dgm:prSet>
      <dgm:spPr/>
      <dgm:t>
        <a:bodyPr/>
        <a:lstStyle/>
        <a:p>
          <a:endParaRPr lang="en-CA"/>
        </a:p>
      </dgm:t>
    </dgm:pt>
    <dgm:pt modelId="{F351F9F3-C24A-4383-B576-FB0B7EE7596C}" type="pres">
      <dgm:prSet presAssocID="{807E0AC9-91E8-45CE-A02E-05F1F690B995}" presName="sibTrans" presStyleLbl="node1" presStyleIdx="2" presStyleCnt="6"/>
      <dgm:spPr/>
      <dgm:t>
        <a:bodyPr/>
        <a:lstStyle/>
        <a:p>
          <a:endParaRPr lang="en-CA"/>
        </a:p>
      </dgm:t>
    </dgm:pt>
    <dgm:pt modelId="{D30C724E-6824-4EF2-9FD2-751E4A6E6C4C}" type="pres">
      <dgm:prSet presAssocID="{5F2B4216-D9B2-455F-9870-EA822BFAF00E}" presName="dummy" presStyleCnt="0"/>
      <dgm:spPr/>
    </dgm:pt>
    <dgm:pt modelId="{ED3533BA-CC58-4A4C-B2D9-B5F82EB36320}" type="pres">
      <dgm:prSet presAssocID="{5F2B4216-D9B2-455F-9870-EA822BFAF00E}" presName="node" presStyleLbl="revTx" presStyleIdx="3" presStyleCnt="6">
        <dgm:presLayoutVars>
          <dgm:bulletEnabled val="1"/>
        </dgm:presLayoutVars>
      </dgm:prSet>
      <dgm:spPr/>
      <dgm:t>
        <a:bodyPr/>
        <a:lstStyle/>
        <a:p>
          <a:endParaRPr lang="en-CA"/>
        </a:p>
      </dgm:t>
    </dgm:pt>
    <dgm:pt modelId="{58DB411E-E856-4319-82E0-4B2D0A8B5A12}" type="pres">
      <dgm:prSet presAssocID="{C68C4054-02E6-4DC8-A219-9C0D685FF390}" presName="sibTrans" presStyleLbl="node1" presStyleIdx="3" presStyleCnt="6"/>
      <dgm:spPr/>
      <dgm:t>
        <a:bodyPr/>
        <a:lstStyle/>
        <a:p>
          <a:endParaRPr lang="en-CA"/>
        </a:p>
      </dgm:t>
    </dgm:pt>
    <dgm:pt modelId="{E2AA296B-925C-4E81-B0E6-803AA2DA5084}" type="pres">
      <dgm:prSet presAssocID="{8AE0023F-3714-4ADA-BC65-9A3E833B15E3}" presName="dummy" presStyleCnt="0"/>
      <dgm:spPr/>
    </dgm:pt>
    <dgm:pt modelId="{A683EA3B-D7EC-4B45-B38B-0298BC50CA6F}" type="pres">
      <dgm:prSet presAssocID="{8AE0023F-3714-4ADA-BC65-9A3E833B15E3}" presName="node" presStyleLbl="revTx" presStyleIdx="4" presStyleCnt="6">
        <dgm:presLayoutVars>
          <dgm:bulletEnabled val="1"/>
        </dgm:presLayoutVars>
      </dgm:prSet>
      <dgm:spPr/>
      <dgm:t>
        <a:bodyPr/>
        <a:lstStyle/>
        <a:p>
          <a:endParaRPr lang="en-CA"/>
        </a:p>
      </dgm:t>
    </dgm:pt>
    <dgm:pt modelId="{1CD00CC9-DA20-4FB8-92A2-BB8F7240FB78}" type="pres">
      <dgm:prSet presAssocID="{EB51D2B6-885D-4636-BFE9-F9963A4300C7}" presName="sibTrans" presStyleLbl="node1" presStyleIdx="4" presStyleCnt="6"/>
      <dgm:spPr/>
      <dgm:t>
        <a:bodyPr/>
        <a:lstStyle/>
        <a:p>
          <a:endParaRPr lang="en-CA"/>
        </a:p>
      </dgm:t>
    </dgm:pt>
    <dgm:pt modelId="{FD800FC8-0FF5-447D-830B-1120380BA09C}" type="pres">
      <dgm:prSet presAssocID="{8410A90C-9D59-4814-B9D1-C0EC8A9B0340}" presName="dummy" presStyleCnt="0"/>
      <dgm:spPr/>
    </dgm:pt>
    <dgm:pt modelId="{5A5A79E7-04B9-44C4-97F5-6A6D88E73474}" type="pres">
      <dgm:prSet presAssocID="{8410A90C-9D59-4814-B9D1-C0EC8A9B0340}" presName="node" presStyleLbl="revTx" presStyleIdx="5" presStyleCnt="6">
        <dgm:presLayoutVars>
          <dgm:bulletEnabled val="1"/>
        </dgm:presLayoutVars>
      </dgm:prSet>
      <dgm:spPr/>
      <dgm:t>
        <a:bodyPr/>
        <a:lstStyle/>
        <a:p>
          <a:endParaRPr lang="en-CA"/>
        </a:p>
      </dgm:t>
    </dgm:pt>
    <dgm:pt modelId="{448DFC1C-4530-45CB-A59B-7A9C99EE56E6}" type="pres">
      <dgm:prSet presAssocID="{CE35A86C-80CD-4B4D-8F44-289830255E8A}" presName="sibTrans" presStyleLbl="node1" presStyleIdx="5" presStyleCnt="6"/>
      <dgm:spPr/>
      <dgm:t>
        <a:bodyPr/>
        <a:lstStyle/>
        <a:p>
          <a:endParaRPr lang="en-CA"/>
        </a:p>
      </dgm:t>
    </dgm:pt>
  </dgm:ptLst>
  <dgm:cxnLst>
    <dgm:cxn modelId="{8B638650-DB9B-4395-9861-72E74ECDC21F}" type="presOf" srcId="{497EC3C9-1243-49DB-B8A3-BA1B9FC5DBCB}" destId="{1514FC0E-4C44-47AF-81F2-99123C4151B6}" srcOrd="0" destOrd="0" presId="urn:microsoft.com/office/officeart/2005/8/layout/cycle1"/>
    <dgm:cxn modelId="{CFE16079-35EE-477F-85AF-E07C83F91624}" srcId="{BD3AD2E9-6B91-422F-8667-430EF6D76E0A}" destId="{88DD7665-C227-411C-9866-EB8EBDCE610E}" srcOrd="0" destOrd="0" parTransId="{CE129B1A-580A-44CD-9897-674F91764889}" sibTransId="{3A50F636-4C99-43D0-86B6-5268DF555FA4}"/>
    <dgm:cxn modelId="{2D7239C5-E46C-40E8-9FDB-9A4910F9D0D7}" type="presOf" srcId="{23011F3A-F38D-4DF0-88FE-09CF667226F4}" destId="{BD5E26FF-2EAD-4EFB-8A8D-0D7509DD6904}" srcOrd="0" destOrd="0" presId="urn:microsoft.com/office/officeart/2005/8/layout/cycle1"/>
    <dgm:cxn modelId="{36A1076B-743C-4F2D-B5BE-2DAAEF62945E}" srcId="{BD3AD2E9-6B91-422F-8667-430EF6D76E0A}" destId="{5F2B4216-D9B2-455F-9870-EA822BFAF00E}" srcOrd="3" destOrd="0" parTransId="{D24DE487-452B-46CE-A621-BD9AC49CC8C3}" sibTransId="{C68C4054-02E6-4DC8-A219-9C0D685FF390}"/>
    <dgm:cxn modelId="{05CAE4AF-E307-4B9C-A8F4-2332DD9A9951}" type="presOf" srcId="{5F2B4216-D9B2-455F-9870-EA822BFAF00E}" destId="{ED3533BA-CC58-4A4C-B2D9-B5F82EB36320}" srcOrd="0" destOrd="0" presId="urn:microsoft.com/office/officeart/2005/8/layout/cycle1"/>
    <dgm:cxn modelId="{14B1A2A6-EB11-472D-A9BB-4BB6EBD38549}" type="presOf" srcId="{8410A90C-9D59-4814-B9D1-C0EC8A9B0340}" destId="{5A5A79E7-04B9-44C4-97F5-6A6D88E73474}" srcOrd="0" destOrd="0" presId="urn:microsoft.com/office/officeart/2005/8/layout/cycle1"/>
    <dgm:cxn modelId="{7981C013-F84D-431E-9B3A-1DC1F8E5C00C}" type="presOf" srcId="{EB51D2B6-885D-4636-BFE9-F9963A4300C7}" destId="{1CD00CC9-DA20-4FB8-92A2-BB8F7240FB78}" srcOrd="0" destOrd="0" presId="urn:microsoft.com/office/officeart/2005/8/layout/cycle1"/>
    <dgm:cxn modelId="{D6396BB1-0E27-4045-9F05-9CFE362C8470}" type="presOf" srcId="{C68C4054-02E6-4DC8-A219-9C0D685FF390}" destId="{58DB411E-E856-4319-82E0-4B2D0A8B5A12}" srcOrd="0" destOrd="0" presId="urn:microsoft.com/office/officeart/2005/8/layout/cycle1"/>
    <dgm:cxn modelId="{BFE0E0E8-C7BA-42F3-AD12-85491FAB07CA}" srcId="{BD3AD2E9-6B91-422F-8667-430EF6D76E0A}" destId="{44ED1249-C19E-4E52-BCEF-EF9AC30245F1}" srcOrd="1" destOrd="0" parTransId="{DEBAC963-EDF6-49B2-806B-0DD9D6823EAF}" sibTransId="{23011F3A-F38D-4DF0-88FE-09CF667226F4}"/>
    <dgm:cxn modelId="{E872DABA-2713-4F30-A1CD-C445D69AD787}" srcId="{BD3AD2E9-6B91-422F-8667-430EF6D76E0A}" destId="{497EC3C9-1243-49DB-B8A3-BA1B9FC5DBCB}" srcOrd="2" destOrd="0" parTransId="{7BB1C25B-9FA4-4712-B3E8-EA8AB2730FB8}" sibTransId="{807E0AC9-91E8-45CE-A02E-05F1F690B995}"/>
    <dgm:cxn modelId="{EDC8F629-5F75-4E6F-95DB-3D6AE3A69661}" type="presOf" srcId="{8AE0023F-3714-4ADA-BC65-9A3E833B15E3}" destId="{A683EA3B-D7EC-4B45-B38B-0298BC50CA6F}" srcOrd="0" destOrd="0" presId="urn:microsoft.com/office/officeart/2005/8/layout/cycle1"/>
    <dgm:cxn modelId="{667B7211-21FF-4E77-8E1E-CB8E27BCBAA1}" type="presOf" srcId="{44ED1249-C19E-4E52-BCEF-EF9AC30245F1}" destId="{14E81EA1-A69A-49A0-854F-BF3AAB726D82}" srcOrd="0" destOrd="0" presId="urn:microsoft.com/office/officeart/2005/8/layout/cycle1"/>
    <dgm:cxn modelId="{06592243-AF63-4574-AF73-2AFDC6311846}" type="presOf" srcId="{3A50F636-4C99-43D0-86B6-5268DF555FA4}" destId="{9673BDDC-3143-44E4-9146-CC2343298043}" srcOrd="0" destOrd="0" presId="urn:microsoft.com/office/officeart/2005/8/layout/cycle1"/>
    <dgm:cxn modelId="{27A19C1D-B4C3-4259-9BDC-698F527D6FE5}" type="presOf" srcId="{CE35A86C-80CD-4B4D-8F44-289830255E8A}" destId="{448DFC1C-4530-45CB-A59B-7A9C99EE56E6}" srcOrd="0" destOrd="0" presId="urn:microsoft.com/office/officeart/2005/8/layout/cycle1"/>
    <dgm:cxn modelId="{17FC321A-328E-48FD-81BB-33271272EA1E}" type="presOf" srcId="{807E0AC9-91E8-45CE-A02E-05F1F690B995}" destId="{F351F9F3-C24A-4383-B576-FB0B7EE7596C}" srcOrd="0" destOrd="0" presId="urn:microsoft.com/office/officeart/2005/8/layout/cycle1"/>
    <dgm:cxn modelId="{345A28FA-4492-4BD1-BF11-65ADAA479AE2}" type="presOf" srcId="{BD3AD2E9-6B91-422F-8667-430EF6D76E0A}" destId="{ABEBA61C-D714-4A89-9A3B-A333ED0BEF73}" srcOrd="0" destOrd="0" presId="urn:microsoft.com/office/officeart/2005/8/layout/cycle1"/>
    <dgm:cxn modelId="{39B862CA-EA90-43F3-8A66-8EFB4891DF15}" srcId="{BD3AD2E9-6B91-422F-8667-430EF6D76E0A}" destId="{8AE0023F-3714-4ADA-BC65-9A3E833B15E3}" srcOrd="4" destOrd="0" parTransId="{E6EADE95-FA43-44D8-9C85-3B1FD4614FE3}" sibTransId="{EB51D2B6-885D-4636-BFE9-F9963A4300C7}"/>
    <dgm:cxn modelId="{6D525504-925D-4997-9E4A-E8DA58D50850}" srcId="{BD3AD2E9-6B91-422F-8667-430EF6D76E0A}" destId="{8410A90C-9D59-4814-B9D1-C0EC8A9B0340}" srcOrd="5" destOrd="0" parTransId="{801E0D7A-0659-44EA-BC1E-8B2ABF83062A}" sibTransId="{CE35A86C-80CD-4B4D-8F44-289830255E8A}"/>
    <dgm:cxn modelId="{436D20ED-0F70-437F-8DD7-2EE276D63B68}" type="presOf" srcId="{88DD7665-C227-411C-9866-EB8EBDCE610E}" destId="{999561AF-1EF9-4FAC-870F-086293CA0665}" srcOrd="0" destOrd="0" presId="urn:microsoft.com/office/officeart/2005/8/layout/cycle1"/>
    <dgm:cxn modelId="{EF631C17-AD5E-4622-AEA0-359A182BF9FE}" type="presParOf" srcId="{ABEBA61C-D714-4A89-9A3B-A333ED0BEF73}" destId="{0AE1F657-9066-4BEC-9EF8-903AA0154550}" srcOrd="0" destOrd="0" presId="urn:microsoft.com/office/officeart/2005/8/layout/cycle1"/>
    <dgm:cxn modelId="{0E5DA6FD-A3EB-4C41-8B92-0CADBB835701}" type="presParOf" srcId="{ABEBA61C-D714-4A89-9A3B-A333ED0BEF73}" destId="{999561AF-1EF9-4FAC-870F-086293CA0665}" srcOrd="1" destOrd="0" presId="urn:microsoft.com/office/officeart/2005/8/layout/cycle1"/>
    <dgm:cxn modelId="{EB6CB087-DC1E-4CD9-9D21-D5A9889C5401}" type="presParOf" srcId="{ABEBA61C-D714-4A89-9A3B-A333ED0BEF73}" destId="{9673BDDC-3143-44E4-9146-CC2343298043}" srcOrd="2" destOrd="0" presId="urn:microsoft.com/office/officeart/2005/8/layout/cycle1"/>
    <dgm:cxn modelId="{EACA73D6-0B3F-4783-BAA8-E8FC3B3E4F88}" type="presParOf" srcId="{ABEBA61C-D714-4A89-9A3B-A333ED0BEF73}" destId="{06C91769-0F5A-4AB6-BDBE-C362E890A9F2}" srcOrd="3" destOrd="0" presId="urn:microsoft.com/office/officeart/2005/8/layout/cycle1"/>
    <dgm:cxn modelId="{8573AAB6-3A76-49C9-8E37-8C1D3D8CBAB6}" type="presParOf" srcId="{ABEBA61C-D714-4A89-9A3B-A333ED0BEF73}" destId="{14E81EA1-A69A-49A0-854F-BF3AAB726D82}" srcOrd="4" destOrd="0" presId="urn:microsoft.com/office/officeart/2005/8/layout/cycle1"/>
    <dgm:cxn modelId="{67F1D9CA-AB78-474C-8AE0-CBBA907E5F32}" type="presParOf" srcId="{ABEBA61C-D714-4A89-9A3B-A333ED0BEF73}" destId="{BD5E26FF-2EAD-4EFB-8A8D-0D7509DD6904}" srcOrd="5" destOrd="0" presId="urn:microsoft.com/office/officeart/2005/8/layout/cycle1"/>
    <dgm:cxn modelId="{37103095-E36B-4B54-A259-DE536855F18A}" type="presParOf" srcId="{ABEBA61C-D714-4A89-9A3B-A333ED0BEF73}" destId="{34A93CD8-05AB-4C00-ADD8-3B5607611AA7}" srcOrd="6" destOrd="0" presId="urn:microsoft.com/office/officeart/2005/8/layout/cycle1"/>
    <dgm:cxn modelId="{9AAEEB85-5370-4BF4-BCBF-A4BE0FA7367A}" type="presParOf" srcId="{ABEBA61C-D714-4A89-9A3B-A333ED0BEF73}" destId="{1514FC0E-4C44-47AF-81F2-99123C4151B6}" srcOrd="7" destOrd="0" presId="urn:microsoft.com/office/officeart/2005/8/layout/cycle1"/>
    <dgm:cxn modelId="{0BD1CEC7-2151-410B-88C5-1D650744CE70}" type="presParOf" srcId="{ABEBA61C-D714-4A89-9A3B-A333ED0BEF73}" destId="{F351F9F3-C24A-4383-B576-FB0B7EE7596C}" srcOrd="8" destOrd="0" presId="urn:microsoft.com/office/officeart/2005/8/layout/cycle1"/>
    <dgm:cxn modelId="{589ADA6C-15B6-4BB7-A32E-8F74B0EFF7F6}" type="presParOf" srcId="{ABEBA61C-D714-4A89-9A3B-A333ED0BEF73}" destId="{D30C724E-6824-4EF2-9FD2-751E4A6E6C4C}" srcOrd="9" destOrd="0" presId="urn:microsoft.com/office/officeart/2005/8/layout/cycle1"/>
    <dgm:cxn modelId="{A999C6AE-2A0D-46D2-82AD-A106F5B6B61E}" type="presParOf" srcId="{ABEBA61C-D714-4A89-9A3B-A333ED0BEF73}" destId="{ED3533BA-CC58-4A4C-B2D9-B5F82EB36320}" srcOrd="10" destOrd="0" presId="urn:microsoft.com/office/officeart/2005/8/layout/cycle1"/>
    <dgm:cxn modelId="{09CB6159-D7EB-44DF-B604-822DC331FE3E}" type="presParOf" srcId="{ABEBA61C-D714-4A89-9A3B-A333ED0BEF73}" destId="{58DB411E-E856-4319-82E0-4B2D0A8B5A12}" srcOrd="11" destOrd="0" presId="urn:microsoft.com/office/officeart/2005/8/layout/cycle1"/>
    <dgm:cxn modelId="{1ABF72F7-FA0D-4DD8-ABD8-0AFF2226505A}" type="presParOf" srcId="{ABEBA61C-D714-4A89-9A3B-A333ED0BEF73}" destId="{E2AA296B-925C-4E81-B0E6-803AA2DA5084}" srcOrd="12" destOrd="0" presId="urn:microsoft.com/office/officeart/2005/8/layout/cycle1"/>
    <dgm:cxn modelId="{7DDC1316-8F5A-4E20-90EA-3F96B7EB60DE}" type="presParOf" srcId="{ABEBA61C-D714-4A89-9A3B-A333ED0BEF73}" destId="{A683EA3B-D7EC-4B45-B38B-0298BC50CA6F}" srcOrd="13" destOrd="0" presId="urn:microsoft.com/office/officeart/2005/8/layout/cycle1"/>
    <dgm:cxn modelId="{EDB8F9C6-57EE-40F3-BBCD-D1B3E675C313}" type="presParOf" srcId="{ABEBA61C-D714-4A89-9A3B-A333ED0BEF73}" destId="{1CD00CC9-DA20-4FB8-92A2-BB8F7240FB78}" srcOrd="14" destOrd="0" presId="urn:microsoft.com/office/officeart/2005/8/layout/cycle1"/>
    <dgm:cxn modelId="{BA3167FE-3E14-4B29-A576-8271F3A7CEFB}" type="presParOf" srcId="{ABEBA61C-D714-4A89-9A3B-A333ED0BEF73}" destId="{FD800FC8-0FF5-447D-830B-1120380BA09C}" srcOrd="15" destOrd="0" presId="urn:microsoft.com/office/officeart/2005/8/layout/cycle1"/>
    <dgm:cxn modelId="{B1E7B8F4-7671-4AD8-BC0A-23004CE815D5}" type="presParOf" srcId="{ABEBA61C-D714-4A89-9A3B-A333ED0BEF73}" destId="{5A5A79E7-04B9-44C4-97F5-6A6D88E73474}" srcOrd="16" destOrd="0" presId="urn:microsoft.com/office/officeart/2005/8/layout/cycle1"/>
    <dgm:cxn modelId="{A96049F5-5DF5-4F8B-B360-9CB9E2257CB9}" type="presParOf" srcId="{ABEBA61C-D714-4A89-9A3B-A333ED0BEF73}" destId="{448DFC1C-4530-45CB-A59B-7A9C99EE56E6}" srcOrd="17" destOrd="0" presId="urn:microsoft.com/office/officeart/2005/8/layout/cycle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E501FADE-E374-4B11-9AE0-A5C4D088C1FC}" type="doc">
      <dgm:prSet loTypeId="urn:microsoft.com/office/officeart/2005/8/layout/hChevron3" loCatId="process" qsTypeId="urn:microsoft.com/office/officeart/2005/8/quickstyle/simple3" qsCatId="simple" csTypeId="urn:microsoft.com/office/officeart/2005/8/colors/accent5_4" csCatId="accent5" phldr="1"/>
      <dgm:spPr/>
    </dgm:pt>
    <dgm:pt modelId="{C1A06065-6E4A-4176-8DE9-5A51CF3BE87F}">
      <dgm:prSet phldrT="[Text]"/>
      <dgm:spPr/>
      <dgm:t>
        <a:bodyPr/>
        <a:lstStyle/>
        <a:p>
          <a:r>
            <a:rPr lang="en-US" b="1"/>
            <a:t>Sales - 1</a:t>
          </a:r>
        </a:p>
      </dgm:t>
    </dgm:pt>
    <dgm:pt modelId="{DE16C624-2617-4F0C-9DD6-1F370931B4B1}" type="parTrans" cxnId="{BF9201D7-1D68-40A7-AC78-74BBB09BA312}">
      <dgm:prSet/>
      <dgm:spPr/>
      <dgm:t>
        <a:bodyPr/>
        <a:lstStyle/>
        <a:p>
          <a:endParaRPr lang="en-US"/>
        </a:p>
      </dgm:t>
    </dgm:pt>
    <dgm:pt modelId="{CB7CD665-9485-4BC8-9ACE-17D27227CCD1}" type="sibTrans" cxnId="{BF9201D7-1D68-40A7-AC78-74BBB09BA312}">
      <dgm:prSet/>
      <dgm:spPr/>
      <dgm:t>
        <a:bodyPr/>
        <a:lstStyle/>
        <a:p>
          <a:endParaRPr lang="en-US"/>
        </a:p>
      </dgm:t>
    </dgm:pt>
    <dgm:pt modelId="{D2074B0B-4EBD-43FD-A711-78982ED63F0F}">
      <dgm:prSet phldrT="[Text]"/>
      <dgm:spPr/>
      <dgm:t>
        <a:bodyPr/>
        <a:lstStyle/>
        <a:p>
          <a:r>
            <a:rPr lang="en-US" b="1"/>
            <a:t>Sales - 2</a:t>
          </a:r>
        </a:p>
      </dgm:t>
    </dgm:pt>
    <dgm:pt modelId="{F3D391BF-99CC-4B95-B20A-31DA88C43EDE}" type="parTrans" cxnId="{B063F038-ABDB-499F-95B0-E0C5E7F3579A}">
      <dgm:prSet/>
      <dgm:spPr/>
      <dgm:t>
        <a:bodyPr/>
        <a:lstStyle/>
        <a:p>
          <a:endParaRPr lang="en-US"/>
        </a:p>
      </dgm:t>
    </dgm:pt>
    <dgm:pt modelId="{6DE8F36D-E2AF-4EA5-BC77-F64B0EA268D1}" type="sibTrans" cxnId="{B063F038-ABDB-499F-95B0-E0C5E7F3579A}">
      <dgm:prSet/>
      <dgm:spPr/>
      <dgm:t>
        <a:bodyPr/>
        <a:lstStyle/>
        <a:p>
          <a:endParaRPr lang="en-US"/>
        </a:p>
      </dgm:t>
    </dgm:pt>
    <dgm:pt modelId="{C3C31F8D-FFFF-44E8-801C-2C9B81CC14D1}">
      <dgm:prSet phldrT="[Text]"/>
      <dgm:spPr/>
      <dgm:t>
        <a:bodyPr/>
        <a:lstStyle/>
        <a:p>
          <a:r>
            <a:rPr lang="en-US" b="1"/>
            <a:t>Sales - 3</a:t>
          </a:r>
        </a:p>
      </dgm:t>
    </dgm:pt>
    <dgm:pt modelId="{3213F8F4-DFFE-48A3-85DF-C9A2F7EFEA8B}" type="parTrans" cxnId="{33887AB4-6C8E-4001-A341-13C6A23CF48A}">
      <dgm:prSet/>
      <dgm:spPr/>
      <dgm:t>
        <a:bodyPr/>
        <a:lstStyle/>
        <a:p>
          <a:endParaRPr lang="en-CA"/>
        </a:p>
      </dgm:t>
    </dgm:pt>
    <dgm:pt modelId="{16A774A5-E94C-45CB-B67B-BE5F56955D23}" type="sibTrans" cxnId="{33887AB4-6C8E-4001-A341-13C6A23CF48A}">
      <dgm:prSet/>
      <dgm:spPr/>
      <dgm:t>
        <a:bodyPr/>
        <a:lstStyle/>
        <a:p>
          <a:endParaRPr lang="en-CA"/>
        </a:p>
      </dgm:t>
    </dgm:pt>
    <dgm:pt modelId="{BFA27393-EA6C-44B0-A3E9-D598E0F09703}">
      <dgm:prSet phldrT="[Text]"/>
      <dgm:spPr/>
      <dgm:t>
        <a:bodyPr/>
        <a:lstStyle/>
        <a:p>
          <a:r>
            <a:rPr lang="en-US" b="1"/>
            <a:t>Sales - 4</a:t>
          </a:r>
        </a:p>
      </dgm:t>
    </dgm:pt>
    <dgm:pt modelId="{8E621C0B-980F-4DFD-8259-72BFE9A49814}" type="parTrans" cxnId="{85BB1E86-2784-467B-9B41-9BADFAB1BD90}">
      <dgm:prSet/>
      <dgm:spPr/>
      <dgm:t>
        <a:bodyPr/>
        <a:lstStyle/>
        <a:p>
          <a:endParaRPr lang="en-CA"/>
        </a:p>
      </dgm:t>
    </dgm:pt>
    <dgm:pt modelId="{B42D6140-38CB-4B75-A459-B93E972DCF4A}" type="sibTrans" cxnId="{85BB1E86-2784-467B-9B41-9BADFAB1BD90}">
      <dgm:prSet/>
      <dgm:spPr/>
      <dgm:t>
        <a:bodyPr/>
        <a:lstStyle/>
        <a:p>
          <a:endParaRPr lang="en-CA"/>
        </a:p>
      </dgm:t>
    </dgm:pt>
    <dgm:pt modelId="{F151355F-3F9A-4C21-902E-D5874A768A54}">
      <dgm:prSet phldrT="[Text]"/>
      <dgm:spPr/>
      <dgm:t>
        <a:bodyPr/>
        <a:lstStyle/>
        <a:p>
          <a:r>
            <a:rPr lang="en-US" b="1"/>
            <a:t>Sales - 5</a:t>
          </a:r>
        </a:p>
      </dgm:t>
    </dgm:pt>
    <dgm:pt modelId="{2104B61D-3022-494A-ADD3-D359D37777BC}" type="parTrans" cxnId="{BACDC57B-8818-48EB-B89A-A7FBA38F50FC}">
      <dgm:prSet/>
      <dgm:spPr/>
      <dgm:t>
        <a:bodyPr/>
        <a:lstStyle/>
        <a:p>
          <a:endParaRPr lang="en-CA"/>
        </a:p>
      </dgm:t>
    </dgm:pt>
    <dgm:pt modelId="{16923215-F0BC-4991-89F5-18E61523D218}" type="sibTrans" cxnId="{BACDC57B-8818-48EB-B89A-A7FBA38F50FC}">
      <dgm:prSet/>
      <dgm:spPr/>
      <dgm:t>
        <a:bodyPr/>
        <a:lstStyle/>
        <a:p>
          <a:endParaRPr lang="en-CA"/>
        </a:p>
      </dgm:t>
    </dgm:pt>
    <dgm:pt modelId="{087F7E55-7B8E-485B-A9C1-C977382AB5ED}" type="pres">
      <dgm:prSet presAssocID="{E501FADE-E374-4B11-9AE0-A5C4D088C1FC}" presName="Name0" presStyleCnt="0">
        <dgm:presLayoutVars>
          <dgm:dir/>
          <dgm:resizeHandles val="exact"/>
        </dgm:presLayoutVars>
      </dgm:prSet>
      <dgm:spPr/>
    </dgm:pt>
    <dgm:pt modelId="{9D622782-14D1-42AE-B4F0-F2824D4CEE42}" type="pres">
      <dgm:prSet presAssocID="{C1A06065-6E4A-4176-8DE9-5A51CF3BE87F}" presName="parTxOnly" presStyleLbl="node1" presStyleIdx="0" presStyleCnt="5" custLinFactX="-29967" custLinFactNeighborX="-100000" custLinFactNeighborY="-51471">
        <dgm:presLayoutVars>
          <dgm:bulletEnabled val="1"/>
        </dgm:presLayoutVars>
      </dgm:prSet>
      <dgm:spPr/>
      <dgm:t>
        <a:bodyPr/>
        <a:lstStyle/>
        <a:p>
          <a:endParaRPr lang="en-US"/>
        </a:p>
      </dgm:t>
    </dgm:pt>
    <dgm:pt modelId="{CDA8232F-AAF4-4C64-9520-460B6A867989}" type="pres">
      <dgm:prSet presAssocID="{CB7CD665-9485-4BC8-9ACE-17D27227CCD1}" presName="parSpace" presStyleCnt="0"/>
      <dgm:spPr/>
    </dgm:pt>
    <dgm:pt modelId="{32062F60-3F57-4051-BB20-A72F896FED62}" type="pres">
      <dgm:prSet presAssocID="{D2074B0B-4EBD-43FD-A711-78982ED63F0F}" presName="parTxOnly" presStyleLbl="node1" presStyleIdx="1" presStyleCnt="5">
        <dgm:presLayoutVars>
          <dgm:bulletEnabled val="1"/>
        </dgm:presLayoutVars>
      </dgm:prSet>
      <dgm:spPr/>
      <dgm:t>
        <a:bodyPr/>
        <a:lstStyle/>
        <a:p>
          <a:endParaRPr lang="en-US"/>
        </a:p>
      </dgm:t>
    </dgm:pt>
    <dgm:pt modelId="{A310FAFF-375D-443A-A9A2-1492DDE17B7D}" type="pres">
      <dgm:prSet presAssocID="{6DE8F36D-E2AF-4EA5-BC77-F64B0EA268D1}" presName="parSpace" presStyleCnt="0"/>
      <dgm:spPr/>
    </dgm:pt>
    <dgm:pt modelId="{B7559382-2988-4DC6-B8B4-E448F51E2C3F}" type="pres">
      <dgm:prSet presAssocID="{C3C31F8D-FFFF-44E8-801C-2C9B81CC14D1}" presName="parTxOnly" presStyleLbl="node1" presStyleIdx="2" presStyleCnt="5">
        <dgm:presLayoutVars>
          <dgm:bulletEnabled val="1"/>
        </dgm:presLayoutVars>
      </dgm:prSet>
      <dgm:spPr/>
      <dgm:t>
        <a:bodyPr/>
        <a:lstStyle/>
        <a:p>
          <a:endParaRPr lang="en-CA"/>
        </a:p>
      </dgm:t>
    </dgm:pt>
    <dgm:pt modelId="{93336133-EBB6-4BD6-B186-7B36D8BCB1C6}" type="pres">
      <dgm:prSet presAssocID="{16A774A5-E94C-45CB-B67B-BE5F56955D23}" presName="parSpace" presStyleCnt="0"/>
      <dgm:spPr/>
    </dgm:pt>
    <dgm:pt modelId="{3A852B8A-C7E4-4BA4-9E06-E037E13ACA03}" type="pres">
      <dgm:prSet presAssocID="{BFA27393-EA6C-44B0-A3E9-D598E0F09703}" presName="parTxOnly" presStyleLbl="node1" presStyleIdx="3" presStyleCnt="5">
        <dgm:presLayoutVars>
          <dgm:bulletEnabled val="1"/>
        </dgm:presLayoutVars>
      </dgm:prSet>
      <dgm:spPr/>
      <dgm:t>
        <a:bodyPr/>
        <a:lstStyle/>
        <a:p>
          <a:endParaRPr lang="en-CA"/>
        </a:p>
      </dgm:t>
    </dgm:pt>
    <dgm:pt modelId="{5464E021-3AE5-489F-88EA-3FC37A64661A}" type="pres">
      <dgm:prSet presAssocID="{B42D6140-38CB-4B75-A459-B93E972DCF4A}" presName="parSpace" presStyleCnt="0"/>
      <dgm:spPr/>
    </dgm:pt>
    <dgm:pt modelId="{7A8DE90E-A005-4D41-B837-44DC78FB8B4D}" type="pres">
      <dgm:prSet presAssocID="{F151355F-3F9A-4C21-902E-D5874A768A54}" presName="parTxOnly" presStyleLbl="node1" presStyleIdx="4" presStyleCnt="5">
        <dgm:presLayoutVars>
          <dgm:bulletEnabled val="1"/>
        </dgm:presLayoutVars>
      </dgm:prSet>
      <dgm:spPr/>
      <dgm:t>
        <a:bodyPr/>
        <a:lstStyle/>
        <a:p>
          <a:endParaRPr lang="en-CA"/>
        </a:p>
      </dgm:t>
    </dgm:pt>
  </dgm:ptLst>
  <dgm:cxnLst>
    <dgm:cxn modelId="{A3EAED19-1746-4867-B1DA-DD4B352A0E98}" type="presOf" srcId="{F151355F-3F9A-4C21-902E-D5874A768A54}" destId="{7A8DE90E-A005-4D41-B837-44DC78FB8B4D}" srcOrd="0" destOrd="0" presId="urn:microsoft.com/office/officeart/2005/8/layout/hChevron3"/>
    <dgm:cxn modelId="{BF9201D7-1D68-40A7-AC78-74BBB09BA312}" srcId="{E501FADE-E374-4B11-9AE0-A5C4D088C1FC}" destId="{C1A06065-6E4A-4176-8DE9-5A51CF3BE87F}" srcOrd="0" destOrd="0" parTransId="{DE16C624-2617-4F0C-9DD6-1F370931B4B1}" sibTransId="{CB7CD665-9485-4BC8-9ACE-17D27227CCD1}"/>
    <dgm:cxn modelId="{BACDC57B-8818-48EB-B89A-A7FBA38F50FC}" srcId="{E501FADE-E374-4B11-9AE0-A5C4D088C1FC}" destId="{F151355F-3F9A-4C21-902E-D5874A768A54}" srcOrd="4" destOrd="0" parTransId="{2104B61D-3022-494A-ADD3-D359D37777BC}" sibTransId="{16923215-F0BC-4991-89F5-18E61523D218}"/>
    <dgm:cxn modelId="{122DA809-B6C5-471E-BA2C-E57896615547}" type="presOf" srcId="{BFA27393-EA6C-44B0-A3E9-D598E0F09703}" destId="{3A852B8A-C7E4-4BA4-9E06-E037E13ACA03}" srcOrd="0" destOrd="0" presId="urn:microsoft.com/office/officeart/2005/8/layout/hChevron3"/>
    <dgm:cxn modelId="{85BB1E86-2784-467B-9B41-9BADFAB1BD90}" srcId="{E501FADE-E374-4B11-9AE0-A5C4D088C1FC}" destId="{BFA27393-EA6C-44B0-A3E9-D598E0F09703}" srcOrd="3" destOrd="0" parTransId="{8E621C0B-980F-4DFD-8259-72BFE9A49814}" sibTransId="{B42D6140-38CB-4B75-A459-B93E972DCF4A}"/>
    <dgm:cxn modelId="{B063F038-ABDB-499F-95B0-E0C5E7F3579A}" srcId="{E501FADE-E374-4B11-9AE0-A5C4D088C1FC}" destId="{D2074B0B-4EBD-43FD-A711-78982ED63F0F}" srcOrd="1" destOrd="0" parTransId="{F3D391BF-99CC-4B95-B20A-31DA88C43EDE}" sibTransId="{6DE8F36D-E2AF-4EA5-BC77-F64B0EA268D1}"/>
    <dgm:cxn modelId="{33887AB4-6C8E-4001-A341-13C6A23CF48A}" srcId="{E501FADE-E374-4B11-9AE0-A5C4D088C1FC}" destId="{C3C31F8D-FFFF-44E8-801C-2C9B81CC14D1}" srcOrd="2" destOrd="0" parTransId="{3213F8F4-DFFE-48A3-85DF-C9A2F7EFEA8B}" sibTransId="{16A774A5-E94C-45CB-B67B-BE5F56955D23}"/>
    <dgm:cxn modelId="{2F31BECE-EAFD-4787-A459-1CECB4354CBB}" type="presOf" srcId="{C3C31F8D-FFFF-44E8-801C-2C9B81CC14D1}" destId="{B7559382-2988-4DC6-B8B4-E448F51E2C3F}" srcOrd="0" destOrd="0" presId="urn:microsoft.com/office/officeart/2005/8/layout/hChevron3"/>
    <dgm:cxn modelId="{4DE2C8E8-DA5C-4D83-914D-1912C67C7694}" type="presOf" srcId="{D2074B0B-4EBD-43FD-A711-78982ED63F0F}" destId="{32062F60-3F57-4051-BB20-A72F896FED62}" srcOrd="0" destOrd="0" presId="urn:microsoft.com/office/officeart/2005/8/layout/hChevron3"/>
    <dgm:cxn modelId="{5281CFCC-8E27-4709-9BD3-66602A008474}" type="presOf" srcId="{C1A06065-6E4A-4176-8DE9-5A51CF3BE87F}" destId="{9D622782-14D1-42AE-B4F0-F2824D4CEE42}" srcOrd="0" destOrd="0" presId="urn:microsoft.com/office/officeart/2005/8/layout/hChevron3"/>
    <dgm:cxn modelId="{DDD490AE-6A5A-44BB-829E-1660157A2526}" type="presOf" srcId="{E501FADE-E374-4B11-9AE0-A5C4D088C1FC}" destId="{087F7E55-7B8E-485B-A9C1-C977382AB5ED}" srcOrd="0" destOrd="0" presId="urn:microsoft.com/office/officeart/2005/8/layout/hChevron3"/>
    <dgm:cxn modelId="{1513F506-2446-4CC9-B339-FB702C9FC7C6}" type="presParOf" srcId="{087F7E55-7B8E-485B-A9C1-C977382AB5ED}" destId="{9D622782-14D1-42AE-B4F0-F2824D4CEE42}" srcOrd="0" destOrd="0" presId="urn:microsoft.com/office/officeart/2005/8/layout/hChevron3"/>
    <dgm:cxn modelId="{20E5CFBF-5BD0-4DCB-86B0-C855C161F57B}" type="presParOf" srcId="{087F7E55-7B8E-485B-A9C1-C977382AB5ED}" destId="{CDA8232F-AAF4-4C64-9520-460B6A867989}" srcOrd="1" destOrd="0" presId="urn:microsoft.com/office/officeart/2005/8/layout/hChevron3"/>
    <dgm:cxn modelId="{5B5CDCEB-97E5-47B3-AA3E-D29899F3284D}" type="presParOf" srcId="{087F7E55-7B8E-485B-A9C1-C977382AB5ED}" destId="{32062F60-3F57-4051-BB20-A72F896FED62}" srcOrd="2" destOrd="0" presId="urn:microsoft.com/office/officeart/2005/8/layout/hChevron3"/>
    <dgm:cxn modelId="{6FAF0BE3-1A44-4703-8647-47247382CB17}" type="presParOf" srcId="{087F7E55-7B8E-485B-A9C1-C977382AB5ED}" destId="{A310FAFF-375D-443A-A9A2-1492DDE17B7D}" srcOrd="3" destOrd="0" presId="urn:microsoft.com/office/officeart/2005/8/layout/hChevron3"/>
    <dgm:cxn modelId="{8D87EE42-738C-439D-A6F6-E2ED0544800E}" type="presParOf" srcId="{087F7E55-7B8E-485B-A9C1-C977382AB5ED}" destId="{B7559382-2988-4DC6-B8B4-E448F51E2C3F}" srcOrd="4" destOrd="0" presId="urn:microsoft.com/office/officeart/2005/8/layout/hChevron3"/>
    <dgm:cxn modelId="{B01F6C07-0E01-4EDF-9B82-47FD2AB1E0AA}" type="presParOf" srcId="{087F7E55-7B8E-485B-A9C1-C977382AB5ED}" destId="{93336133-EBB6-4BD6-B186-7B36D8BCB1C6}" srcOrd="5" destOrd="0" presId="urn:microsoft.com/office/officeart/2005/8/layout/hChevron3"/>
    <dgm:cxn modelId="{62010A86-AED5-4C60-970B-88D0A61BCF2B}" type="presParOf" srcId="{087F7E55-7B8E-485B-A9C1-C977382AB5ED}" destId="{3A852B8A-C7E4-4BA4-9E06-E037E13ACA03}" srcOrd="6" destOrd="0" presId="urn:microsoft.com/office/officeart/2005/8/layout/hChevron3"/>
    <dgm:cxn modelId="{A24B48BD-88A9-4BD5-B1CA-F2C43F9A7A61}" type="presParOf" srcId="{087F7E55-7B8E-485B-A9C1-C977382AB5ED}" destId="{5464E021-3AE5-489F-88EA-3FC37A64661A}" srcOrd="7" destOrd="0" presId="urn:microsoft.com/office/officeart/2005/8/layout/hChevron3"/>
    <dgm:cxn modelId="{DED84D4E-80E2-4DF6-B9F3-B0B577D8967E}" type="presParOf" srcId="{087F7E55-7B8E-485B-A9C1-C977382AB5ED}" destId="{7A8DE90E-A005-4D41-B837-44DC78FB8B4D}" srcOrd="8"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E501FADE-E374-4B11-9AE0-A5C4D088C1FC}" type="doc">
      <dgm:prSet loTypeId="urn:microsoft.com/office/officeart/2005/8/layout/hChevron3" loCatId="process" qsTypeId="urn:microsoft.com/office/officeart/2005/8/quickstyle/simple3" qsCatId="simple" csTypeId="urn:microsoft.com/office/officeart/2005/8/colors/accent6_3" csCatId="accent6" phldr="1"/>
      <dgm:spPr/>
    </dgm:pt>
    <dgm:pt modelId="{B8AC06E5-E265-47FF-93E3-46C72EF60116}">
      <dgm:prSet phldrT="[Text]" custT="1"/>
      <dgm:spPr/>
      <dgm:t>
        <a:bodyPr/>
        <a:lstStyle/>
        <a:p>
          <a:r>
            <a:rPr lang="en-US" sz="2600" b="1"/>
            <a:t>Quotes - 1</a:t>
          </a:r>
        </a:p>
      </dgm:t>
    </dgm:pt>
    <dgm:pt modelId="{74F17CC1-E3C9-4AFB-B077-3C3D9D4BD1B4}" type="parTrans" cxnId="{F495601E-E0A4-42BA-985F-12300005D31C}">
      <dgm:prSet/>
      <dgm:spPr/>
      <dgm:t>
        <a:bodyPr/>
        <a:lstStyle/>
        <a:p>
          <a:endParaRPr lang="en-US"/>
        </a:p>
      </dgm:t>
    </dgm:pt>
    <dgm:pt modelId="{242ACCE2-BE68-4780-A5BE-54F3122341AA}" type="sibTrans" cxnId="{F495601E-E0A4-42BA-985F-12300005D31C}">
      <dgm:prSet/>
      <dgm:spPr/>
      <dgm:t>
        <a:bodyPr/>
        <a:lstStyle/>
        <a:p>
          <a:endParaRPr lang="en-US"/>
        </a:p>
      </dgm:t>
    </dgm:pt>
    <dgm:pt modelId="{C3B02EFC-C2DF-445E-9AAB-84E179B52FD0}">
      <dgm:prSet phldrT="[Text]" custT="1"/>
      <dgm:spPr/>
      <dgm:t>
        <a:bodyPr/>
        <a:lstStyle/>
        <a:p>
          <a:r>
            <a:rPr lang="en-US" sz="2600" b="1"/>
            <a:t>Quotes</a:t>
          </a:r>
          <a:r>
            <a:rPr lang="en-US" sz="2200" b="1"/>
            <a:t> - 2</a:t>
          </a:r>
        </a:p>
      </dgm:t>
    </dgm:pt>
    <dgm:pt modelId="{F3377ADE-8933-4323-BB36-B693CF569278}" type="parTrans" cxnId="{F3A38EBC-D324-4275-8DE3-3A89A534C2B3}">
      <dgm:prSet/>
      <dgm:spPr/>
      <dgm:t>
        <a:bodyPr/>
        <a:lstStyle/>
        <a:p>
          <a:endParaRPr lang="en-US"/>
        </a:p>
      </dgm:t>
    </dgm:pt>
    <dgm:pt modelId="{5218C0E5-6EC6-41BD-90AC-A8BFE0AB7C51}" type="sibTrans" cxnId="{F3A38EBC-D324-4275-8DE3-3A89A534C2B3}">
      <dgm:prSet/>
      <dgm:spPr/>
      <dgm:t>
        <a:bodyPr/>
        <a:lstStyle/>
        <a:p>
          <a:endParaRPr lang="en-US"/>
        </a:p>
      </dgm:t>
    </dgm:pt>
    <dgm:pt modelId="{6620F620-092B-42BA-BED4-02E5F8329CEC}">
      <dgm:prSet phldrT="[Text]" custT="1"/>
      <dgm:spPr/>
      <dgm:t>
        <a:bodyPr/>
        <a:lstStyle/>
        <a:p>
          <a:r>
            <a:rPr lang="en-US" sz="2600" b="1"/>
            <a:t>Quotes</a:t>
          </a:r>
          <a:r>
            <a:rPr lang="en-US" sz="2200" b="1"/>
            <a:t> - 3</a:t>
          </a:r>
        </a:p>
      </dgm:t>
    </dgm:pt>
    <dgm:pt modelId="{82868AF8-12AD-4058-BA83-11695ED24A75}" type="parTrans" cxnId="{9EF21046-D77E-41BE-B2C4-6BD216633A05}">
      <dgm:prSet/>
      <dgm:spPr/>
      <dgm:t>
        <a:bodyPr/>
        <a:lstStyle/>
        <a:p>
          <a:endParaRPr lang="en-US"/>
        </a:p>
      </dgm:t>
    </dgm:pt>
    <dgm:pt modelId="{29ACFEE6-D6BD-4589-98FF-2D133C26B201}" type="sibTrans" cxnId="{9EF21046-D77E-41BE-B2C4-6BD216633A05}">
      <dgm:prSet/>
      <dgm:spPr/>
      <dgm:t>
        <a:bodyPr/>
        <a:lstStyle/>
        <a:p>
          <a:endParaRPr lang="en-US"/>
        </a:p>
      </dgm:t>
    </dgm:pt>
    <dgm:pt modelId="{8CF5CCA6-1A7B-4F60-88FA-0FF60F576DDD}">
      <dgm:prSet phldrT="[Text]" custT="1"/>
      <dgm:spPr/>
      <dgm:t>
        <a:bodyPr/>
        <a:lstStyle/>
        <a:p>
          <a:r>
            <a:rPr lang="en-US" sz="2600" b="1"/>
            <a:t>Quotes - </a:t>
          </a:r>
          <a:r>
            <a:rPr lang="en-US" sz="2600" b="1">
              <a:latin typeface="Arial" panose="020B0604020202020204" pitchFamily="34" charset="0"/>
              <a:cs typeface="Arial" panose="020B0604020202020204" pitchFamily="34" charset="0"/>
            </a:rPr>
            <a:t>4</a:t>
          </a:r>
          <a:endParaRPr lang="en-US" sz="2200" b="1">
            <a:latin typeface="Arial" panose="020B0604020202020204" pitchFamily="34" charset="0"/>
            <a:cs typeface="Arial" panose="020B0604020202020204" pitchFamily="34" charset="0"/>
          </a:endParaRPr>
        </a:p>
      </dgm:t>
    </dgm:pt>
    <dgm:pt modelId="{A246A993-3A6E-4169-A548-92354E6F850F}" type="parTrans" cxnId="{2E1253A2-2F11-474C-85A9-ACB29B6F9771}">
      <dgm:prSet/>
      <dgm:spPr/>
      <dgm:t>
        <a:bodyPr/>
        <a:lstStyle/>
        <a:p>
          <a:endParaRPr lang="en-CA"/>
        </a:p>
      </dgm:t>
    </dgm:pt>
    <dgm:pt modelId="{86ABB7DB-A2D4-448E-ACD2-BFED777FCC13}" type="sibTrans" cxnId="{2E1253A2-2F11-474C-85A9-ACB29B6F9771}">
      <dgm:prSet/>
      <dgm:spPr/>
      <dgm:t>
        <a:bodyPr/>
        <a:lstStyle/>
        <a:p>
          <a:endParaRPr lang="en-CA"/>
        </a:p>
      </dgm:t>
    </dgm:pt>
    <dgm:pt modelId="{70BF7FBA-53C2-47CF-8E27-FA9234745538}">
      <dgm:prSet phldrT="[Text]" custT="1"/>
      <dgm:spPr/>
      <dgm:t>
        <a:bodyPr/>
        <a:lstStyle/>
        <a:p>
          <a:r>
            <a:rPr lang="en-US" sz="2600" b="1"/>
            <a:t>Inventory</a:t>
          </a:r>
          <a:r>
            <a:rPr lang="en-US" sz="2200" b="1"/>
            <a:t> - 1</a:t>
          </a:r>
        </a:p>
      </dgm:t>
    </dgm:pt>
    <dgm:pt modelId="{56DF79C2-25CA-420C-8144-AD9B06D060D5}" type="parTrans" cxnId="{BFEC89F3-30CC-45BA-AECC-31788CA2A17A}">
      <dgm:prSet/>
      <dgm:spPr/>
      <dgm:t>
        <a:bodyPr/>
        <a:lstStyle/>
        <a:p>
          <a:endParaRPr lang="en-CA"/>
        </a:p>
      </dgm:t>
    </dgm:pt>
    <dgm:pt modelId="{62D46D4E-A721-4E3B-AFBF-3F0DECB3140D}" type="sibTrans" cxnId="{BFEC89F3-30CC-45BA-AECC-31788CA2A17A}">
      <dgm:prSet/>
      <dgm:spPr/>
      <dgm:t>
        <a:bodyPr/>
        <a:lstStyle/>
        <a:p>
          <a:endParaRPr lang="en-CA"/>
        </a:p>
      </dgm:t>
    </dgm:pt>
    <dgm:pt modelId="{087F7E55-7B8E-485B-A9C1-C977382AB5ED}" type="pres">
      <dgm:prSet presAssocID="{E501FADE-E374-4B11-9AE0-A5C4D088C1FC}" presName="Name0" presStyleCnt="0">
        <dgm:presLayoutVars>
          <dgm:dir/>
          <dgm:resizeHandles val="exact"/>
        </dgm:presLayoutVars>
      </dgm:prSet>
      <dgm:spPr/>
    </dgm:pt>
    <dgm:pt modelId="{F16CBF02-DC86-4508-8542-3E44130721BF}" type="pres">
      <dgm:prSet presAssocID="{B8AC06E5-E265-47FF-93E3-46C72EF60116}" presName="parTxOnly" presStyleLbl="node1" presStyleIdx="0" presStyleCnt="5">
        <dgm:presLayoutVars>
          <dgm:bulletEnabled val="1"/>
        </dgm:presLayoutVars>
      </dgm:prSet>
      <dgm:spPr/>
      <dgm:t>
        <a:bodyPr/>
        <a:lstStyle/>
        <a:p>
          <a:endParaRPr lang="en-US"/>
        </a:p>
      </dgm:t>
    </dgm:pt>
    <dgm:pt modelId="{25BF2BB6-41E4-48DF-853C-7FDD7CEDFA8E}" type="pres">
      <dgm:prSet presAssocID="{242ACCE2-BE68-4780-A5BE-54F3122341AA}" presName="parSpace" presStyleCnt="0"/>
      <dgm:spPr/>
    </dgm:pt>
    <dgm:pt modelId="{DB5DB179-7DB3-4B3B-9A28-41AD303FED69}" type="pres">
      <dgm:prSet presAssocID="{C3B02EFC-C2DF-445E-9AAB-84E179B52FD0}" presName="parTxOnly" presStyleLbl="node1" presStyleIdx="1" presStyleCnt="5">
        <dgm:presLayoutVars>
          <dgm:bulletEnabled val="1"/>
        </dgm:presLayoutVars>
      </dgm:prSet>
      <dgm:spPr/>
      <dgm:t>
        <a:bodyPr/>
        <a:lstStyle/>
        <a:p>
          <a:endParaRPr lang="en-US"/>
        </a:p>
      </dgm:t>
    </dgm:pt>
    <dgm:pt modelId="{4560009A-690C-4316-882E-E5A0E947B8FF}" type="pres">
      <dgm:prSet presAssocID="{5218C0E5-6EC6-41BD-90AC-A8BFE0AB7C51}" presName="parSpace" presStyleCnt="0"/>
      <dgm:spPr/>
    </dgm:pt>
    <dgm:pt modelId="{48FE7061-F792-42CA-A499-01297EB8A9B3}" type="pres">
      <dgm:prSet presAssocID="{6620F620-092B-42BA-BED4-02E5F8329CEC}" presName="parTxOnly" presStyleLbl="node1" presStyleIdx="2" presStyleCnt="5">
        <dgm:presLayoutVars>
          <dgm:bulletEnabled val="1"/>
        </dgm:presLayoutVars>
      </dgm:prSet>
      <dgm:spPr/>
      <dgm:t>
        <a:bodyPr/>
        <a:lstStyle/>
        <a:p>
          <a:endParaRPr lang="en-US"/>
        </a:p>
      </dgm:t>
    </dgm:pt>
    <dgm:pt modelId="{EE42A55D-E97B-4933-9B9D-75A8A1F61152}" type="pres">
      <dgm:prSet presAssocID="{29ACFEE6-D6BD-4589-98FF-2D133C26B201}" presName="parSpace" presStyleCnt="0"/>
      <dgm:spPr/>
    </dgm:pt>
    <dgm:pt modelId="{AF4CD630-08C7-4349-9B18-45B33E8184E5}" type="pres">
      <dgm:prSet presAssocID="{8CF5CCA6-1A7B-4F60-88FA-0FF60F576DDD}" presName="parTxOnly" presStyleLbl="node1" presStyleIdx="3" presStyleCnt="5">
        <dgm:presLayoutVars>
          <dgm:bulletEnabled val="1"/>
        </dgm:presLayoutVars>
      </dgm:prSet>
      <dgm:spPr/>
      <dgm:t>
        <a:bodyPr/>
        <a:lstStyle/>
        <a:p>
          <a:endParaRPr lang="en-CA"/>
        </a:p>
      </dgm:t>
    </dgm:pt>
    <dgm:pt modelId="{4C79C1F0-65D4-4167-A33D-D72330E2C5BE}" type="pres">
      <dgm:prSet presAssocID="{86ABB7DB-A2D4-448E-ACD2-BFED777FCC13}" presName="parSpace" presStyleCnt="0"/>
      <dgm:spPr/>
    </dgm:pt>
    <dgm:pt modelId="{7790C8DD-8E39-4C90-B34D-66C8AA90A200}" type="pres">
      <dgm:prSet presAssocID="{70BF7FBA-53C2-47CF-8E27-FA9234745538}" presName="parTxOnly" presStyleLbl="node1" presStyleIdx="4" presStyleCnt="5">
        <dgm:presLayoutVars>
          <dgm:bulletEnabled val="1"/>
        </dgm:presLayoutVars>
      </dgm:prSet>
      <dgm:spPr/>
      <dgm:t>
        <a:bodyPr/>
        <a:lstStyle/>
        <a:p>
          <a:endParaRPr lang="en-CA"/>
        </a:p>
      </dgm:t>
    </dgm:pt>
  </dgm:ptLst>
  <dgm:cxnLst>
    <dgm:cxn modelId="{F3A38EBC-D324-4275-8DE3-3A89A534C2B3}" srcId="{E501FADE-E374-4B11-9AE0-A5C4D088C1FC}" destId="{C3B02EFC-C2DF-445E-9AAB-84E179B52FD0}" srcOrd="1" destOrd="0" parTransId="{F3377ADE-8933-4323-BB36-B693CF569278}" sibTransId="{5218C0E5-6EC6-41BD-90AC-A8BFE0AB7C51}"/>
    <dgm:cxn modelId="{E197FAAC-1DB9-4A9D-97F4-F040FDE3B7BE}" type="presOf" srcId="{70BF7FBA-53C2-47CF-8E27-FA9234745538}" destId="{7790C8DD-8E39-4C90-B34D-66C8AA90A200}" srcOrd="0" destOrd="0" presId="urn:microsoft.com/office/officeart/2005/8/layout/hChevron3"/>
    <dgm:cxn modelId="{F495601E-E0A4-42BA-985F-12300005D31C}" srcId="{E501FADE-E374-4B11-9AE0-A5C4D088C1FC}" destId="{B8AC06E5-E265-47FF-93E3-46C72EF60116}" srcOrd="0" destOrd="0" parTransId="{74F17CC1-E3C9-4AFB-B077-3C3D9D4BD1B4}" sibTransId="{242ACCE2-BE68-4780-A5BE-54F3122341AA}"/>
    <dgm:cxn modelId="{9EF21046-D77E-41BE-B2C4-6BD216633A05}" srcId="{E501FADE-E374-4B11-9AE0-A5C4D088C1FC}" destId="{6620F620-092B-42BA-BED4-02E5F8329CEC}" srcOrd="2" destOrd="0" parTransId="{82868AF8-12AD-4058-BA83-11695ED24A75}" sibTransId="{29ACFEE6-D6BD-4589-98FF-2D133C26B201}"/>
    <dgm:cxn modelId="{79F66C46-20D9-4F4A-9972-5BEE18154075}" type="presOf" srcId="{B8AC06E5-E265-47FF-93E3-46C72EF60116}" destId="{F16CBF02-DC86-4508-8542-3E44130721BF}" srcOrd="0" destOrd="0" presId="urn:microsoft.com/office/officeart/2005/8/layout/hChevron3"/>
    <dgm:cxn modelId="{E2D7DF15-A0D6-40ED-AB43-255C492D8A3D}" type="presOf" srcId="{6620F620-092B-42BA-BED4-02E5F8329CEC}" destId="{48FE7061-F792-42CA-A499-01297EB8A9B3}" srcOrd="0" destOrd="0" presId="urn:microsoft.com/office/officeart/2005/8/layout/hChevron3"/>
    <dgm:cxn modelId="{2E1253A2-2F11-474C-85A9-ACB29B6F9771}" srcId="{E501FADE-E374-4B11-9AE0-A5C4D088C1FC}" destId="{8CF5CCA6-1A7B-4F60-88FA-0FF60F576DDD}" srcOrd="3" destOrd="0" parTransId="{A246A993-3A6E-4169-A548-92354E6F850F}" sibTransId="{86ABB7DB-A2D4-448E-ACD2-BFED777FCC13}"/>
    <dgm:cxn modelId="{A2F6D906-090B-45EF-9D3F-1AE17EBC36B8}" type="presOf" srcId="{8CF5CCA6-1A7B-4F60-88FA-0FF60F576DDD}" destId="{AF4CD630-08C7-4349-9B18-45B33E8184E5}" srcOrd="0" destOrd="0" presId="urn:microsoft.com/office/officeart/2005/8/layout/hChevron3"/>
    <dgm:cxn modelId="{FAFFF879-E426-4EB8-B8EB-346297E7B337}" type="presOf" srcId="{C3B02EFC-C2DF-445E-9AAB-84E179B52FD0}" destId="{DB5DB179-7DB3-4B3B-9A28-41AD303FED69}" srcOrd="0" destOrd="0" presId="urn:microsoft.com/office/officeart/2005/8/layout/hChevron3"/>
    <dgm:cxn modelId="{4665DBF1-0E0E-4E4C-88BF-3AF7B6FEA404}" type="presOf" srcId="{E501FADE-E374-4B11-9AE0-A5C4D088C1FC}" destId="{087F7E55-7B8E-485B-A9C1-C977382AB5ED}" srcOrd="0" destOrd="0" presId="urn:microsoft.com/office/officeart/2005/8/layout/hChevron3"/>
    <dgm:cxn modelId="{BFEC89F3-30CC-45BA-AECC-31788CA2A17A}" srcId="{E501FADE-E374-4B11-9AE0-A5C4D088C1FC}" destId="{70BF7FBA-53C2-47CF-8E27-FA9234745538}" srcOrd="4" destOrd="0" parTransId="{56DF79C2-25CA-420C-8144-AD9B06D060D5}" sibTransId="{62D46D4E-A721-4E3B-AFBF-3F0DECB3140D}"/>
    <dgm:cxn modelId="{66081334-B896-4BA2-BAAB-FCDEDCB181A5}" type="presParOf" srcId="{087F7E55-7B8E-485B-A9C1-C977382AB5ED}" destId="{F16CBF02-DC86-4508-8542-3E44130721BF}" srcOrd="0" destOrd="0" presId="urn:microsoft.com/office/officeart/2005/8/layout/hChevron3"/>
    <dgm:cxn modelId="{F06FCC64-08C7-413C-A30E-D18DAC0B3F53}" type="presParOf" srcId="{087F7E55-7B8E-485B-A9C1-C977382AB5ED}" destId="{25BF2BB6-41E4-48DF-853C-7FDD7CEDFA8E}" srcOrd="1" destOrd="0" presId="urn:microsoft.com/office/officeart/2005/8/layout/hChevron3"/>
    <dgm:cxn modelId="{8CE4D582-37C7-4221-9BCD-6431EB1CE404}" type="presParOf" srcId="{087F7E55-7B8E-485B-A9C1-C977382AB5ED}" destId="{DB5DB179-7DB3-4B3B-9A28-41AD303FED69}" srcOrd="2" destOrd="0" presId="urn:microsoft.com/office/officeart/2005/8/layout/hChevron3"/>
    <dgm:cxn modelId="{E5EE3849-8E7F-4B48-9B76-497B1B7E6C75}" type="presParOf" srcId="{087F7E55-7B8E-485B-A9C1-C977382AB5ED}" destId="{4560009A-690C-4316-882E-E5A0E947B8FF}" srcOrd="3" destOrd="0" presId="urn:microsoft.com/office/officeart/2005/8/layout/hChevron3"/>
    <dgm:cxn modelId="{25DE79BF-EDFF-4CB9-965D-5F2B64181F0A}" type="presParOf" srcId="{087F7E55-7B8E-485B-A9C1-C977382AB5ED}" destId="{48FE7061-F792-42CA-A499-01297EB8A9B3}" srcOrd="4" destOrd="0" presId="urn:microsoft.com/office/officeart/2005/8/layout/hChevron3"/>
    <dgm:cxn modelId="{FE4FF3CB-3150-4B2D-AC1D-7C5F43AB5A9F}" type="presParOf" srcId="{087F7E55-7B8E-485B-A9C1-C977382AB5ED}" destId="{EE42A55D-E97B-4933-9B9D-75A8A1F61152}" srcOrd="5" destOrd="0" presId="urn:microsoft.com/office/officeart/2005/8/layout/hChevron3"/>
    <dgm:cxn modelId="{88FDF978-47AA-4C29-A1C3-6ACB3CF1A7B7}" type="presParOf" srcId="{087F7E55-7B8E-485B-A9C1-C977382AB5ED}" destId="{AF4CD630-08C7-4349-9B18-45B33E8184E5}" srcOrd="6" destOrd="0" presId="urn:microsoft.com/office/officeart/2005/8/layout/hChevron3"/>
    <dgm:cxn modelId="{9B7420FA-C8EA-42E9-8CD4-C990C9BDC8C4}" type="presParOf" srcId="{087F7E55-7B8E-485B-A9C1-C977382AB5ED}" destId="{4C79C1F0-65D4-4167-A33D-D72330E2C5BE}" srcOrd="7" destOrd="0" presId="urn:microsoft.com/office/officeart/2005/8/layout/hChevron3"/>
    <dgm:cxn modelId="{6CCC3FBF-A5F4-4768-8A2B-9F0BCAF0B493}" type="presParOf" srcId="{087F7E55-7B8E-485B-A9C1-C977382AB5ED}" destId="{7790C8DD-8E39-4C90-B34D-66C8AA90A200}" srcOrd="8" destOrd="0" presId="urn:microsoft.com/office/officeart/2005/8/layout/hChevron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E501FADE-E374-4B11-9AE0-A5C4D088C1FC}" type="doc">
      <dgm:prSet loTypeId="urn:microsoft.com/office/officeart/2005/8/layout/hChevron3" loCatId="process" qsTypeId="urn:microsoft.com/office/officeart/2005/8/quickstyle/simple3" qsCatId="simple" csTypeId="urn:microsoft.com/office/officeart/2005/8/colors/accent5_4" csCatId="accent5" phldr="1"/>
      <dgm:spPr/>
    </dgm:pt>
    <dgm:pt modelId="{B8AC06E5-E265-47FF-93E3-46C72EF60116}">
      <dgm:prSet phldrT="[Text]" custT="1"/>
      <dgm:spPr/>
      <dgm:t>
        <a:bodyPr/>
        <a:lstStyle/>
        <a:p>
          <a:r>
            <a:rPr lang="en-US" sz="2600" b="1"/>
            <a:t>Quality</a:t>
          </a:r>
          <a:r>
            <a:rPr lang="en-US" sz="1800" b="1"/>
            <a:t> -</a:t>
          </a:r>
          <a:r>
            <a:rPr lang="en-US" sz="2600" b="1"/>
            <a:t> 1</a:t>
          </a:r>
        </a:p>
      </dgm:t>
    </dgm:pt>
    <dgm:pt modelId="{74F17CC1-E3C9-4AFB-B077-3C3D9D4BD1B4}" type="parTrans" cxnId="{F495601E-E0A4-42BA-985F-12300005D31C}">
      <dgm:prSet/>
      <dgm:spPr/>
      <dgm:t>
        <a:bodyPr/>
        <a:lstStyle/>
        <a:p>
          <a:endParaRPr lang="en-US"/>
        </a:p>
      </dgm:t>
    </dgm:pt>
    <dgm:pt modelId="{242ACCE2-BE68-4780-A5BE-54F3122341AA}" type="sibTrans" cxnId="{F495601E-E0A4-42BA-985F-12300005D31C}">
      <dgm:prSet/>
      <dgm:spPr/>
      <dgm:t>
        <a:bodyPr/>
        <a:lstStyle/>
        <a:p>
          <a:endParaRPr lang="en-US"/>
        </a:p>
      </dgm:t>
    </dgm:pt>
    <dgm:pt modelId="{C3B02EFC-C2DF-445E-9AAB-84E179B52FD0}">
      <dgm:prSet phldrT="[Text]" custT="1"/>
      <dgm:spPr/>
      <dgm:t>
        <a:bodyPr/>
        <a:lstStyle/>
        <a:p>
          <a:r>
            <a:rPr lang="en-US" sz="2600" b="1"/>
            <a:t>Quality</a:t>
          </a:r>
          <a:r>
            <a:rPr lang="en-US" sz="1800" b="1"/>
            <a:t> -</a:t>
          </a:r>
          <a:r>
            <a:rPr lang="en-US" sz="2600" b="1"/>
            <a:t> 2</a:t>
          </a:r>
        </a:p>
      </dgm:t>
    </dgm:pt>
    <dgm:pt modelId="{F3377ADE-8933-4323-BB36-B693CF569278}" type="parTrans" cxnId="{F3A38EBC-D324-4275-8DE3-3A89A534C2B3}">
      <dgm:prSet/>
      <dgm:spPr/>
      <dgm:t>
        <a:bodyPr/>
        <a:lstStyle/>
        <a:p>
          <a:endParaRPr lang="en-US"/>
        </a:p>
      </dgm:t>
    </dgm:pt>
    <dgm:pt modelId="{5218C0E5-6EC6-41BD-90AC-A8BFE0AB7C51}" type="sibTrans" cxnId="{F3A38EBC-D324-4275-8DE3-3A89A534C2B3}">
      <dgm:prSet/>
      <dgm:spPr/>
      <dgm:t>
        <a:bodyPr/>
        <a:lstStyle/>
        <a:p>
          <a:endParaRPr lang="en-US"/>
        </a:p>
      </dgm:t>
    </dgm:pt>
    <dgm:pt modelId="{6620F620-092B-42BA-BED4-02E5F8329CEC}">
      <dgm:prSet phldrT="[Text]" custT="1"/>
      <dgm:spPr/>
      <dgm:t>
        <a:bodyPr/>
        <a:lstStyle/>
        <a:p>
          <a:r>
            <a:rPr lang="en-US" sz="2600" b="1"/>
            <a:t>Quality - 3</a:t>
          </a:r>
        </a:p>
      </dgm:t>
    </dgm:pt>
    <dgm:pt modelId="{82868AF8-12AD-4058-BA83-11695ED24A75}" type="parTrans" cxnId="{9EF21046-D77E-41BE-B2C4-6BD216633A05}">
      <dgm:prSet/>
      <dgm:spPr/>
      <dgm:t>
        <a:bodyPr/>
        <a:lstStyle/>
        <a:p>
          <a:endParaRPr lang="en-US"/>
        </a:p>
      </dgm:t>
    </dgm:pt>
    <dgm:pt modelId="{29ACFEE6-D6BD-4589-98FF-2D133C26B201}" type="sibTrans" cxnId="{9EF21046-D77E-41BE-B2C4-6BD216633A05}">
      <dgm:prSet/>
      <dgm:spPr/>
      <dgm:t>
        <a:bodyPr/>
        <a:lstStyle/>
        <a:p>
          <a:endParaRPr lang="en-US"/>
        </a:p>
      </dgm:t>
    </dgm:pt>
    <dgm:pt modelId="{44CA11B0-06C1-4282-B223-1FC14B6A056A}">
      <dgm:prSet phldrT="[Text]" custT="1"/>
      <dgm:spPr/>
      <dgm:t>
        <a:bodyPr/>
        <a:lstStyle/>
        <a:p>
          <a:r>
            <a:rPr lang="en-US" sz="2600" b="1"/>
            <a:t>Quality - 4</a:t>
          </a:r>
        </a:p>
      </dgm:t>
    </dgm:pt>
    <dgm:pt modelId="{E47705CF-F501-41BB-910C-2790024C42AC}" type="parTrans" cxnId="{982E0E44-A3BE-4477-820A-F79DBD49D287}">
      <dgm:prSet/>
      <dgm:spPr/>
      <dgm:t>
        <a:bodyPr/>
        <a:lstStyle/>
        <a:p>
          <a:endParaRPr lang="en-US"/>
        </a:p>
      </dgm:t>
    </dgm:pt>
    <dgm:pt modelId="{1DFB4827-AD8F-4B52-80E0-ABA985B8D05A}" type="sibTrans" cxnId="{982E0E44-A3BE-4477-820A-F79DBD49D287}">
      <dgm:prSet/>
      <dgm:spPr/>
      <dgm:t>
        <a:bodyPr/>
        <a:lstStyle/>
        <a:p>
          <a:endParaRPr lang="en-US"/>
        </a:p>
      </dgm:t>
    </dgm:pt>
    <dgm:pt modelId="{EF62661C-E938-46CC-83D6-F518A1B9A61F}">
      <dgm:prSet phldrT="[Text]" custT="1"/>
      <dgm:spPr/>
      <dgm:t>
        <a:bodyPr/>
        <a:lstStyle/>
        <a:p>
          <a:r>
            <a:rPr lang="en-US" sz="2600" b="1"/>
            <a:t>Inventory - 2</a:t>
          </a:r>
        </a:p>
      </dgm:t>
    </dgm:pt>
    <dgm:pt modelId="{A496A532-13A5-493B-85D9-6EB152237D28}" type="parTrans" cxnId="{0CE7204D-3418-48A2-9E22-C5D71210BFAF}">
      <dgm:prSet/>
      <dgm:spPr/>
      <dgm:t>
        <a:bodyPr/>
        <a:lstStyle/>
        <a:p>
          <a:endParaRPr lang="en-US"/>
        </a:p>
      </dgm:t>
    </dgm:pt>
    <dgm:pt modelId="{B0C747A1-C34D-4D41-9CC7-97ACC424057A}" type="sibTrans" cxnId="{0CE7204D-3418-48A2-9E22-C5D71210BFAF}">
      <dgm:prSet/>
      <dgm:spPr/>
      <dgm:t>
        <a:bodyPr/>
        <a:lstStyle/>
        <a:p>
          <a:endParaRPr lang="en-US"/>
        </a:p>
      </dgm:t>
    </dgm:pt>
    <dgm:pt modelId="{087F7E55-7B8E-485B-A9C1-C977382AB5ED}" type="pres">
      <dgm:prSet presAssocID="{E501FADE-E374-4B11-9AE0-A5C4D088C1FC}" presName="Name0" presStyleCnt="0">
        <dgm:presLayoutVars>
          <dgm:dir/>
          <dgm:resizeHandles val="exact"/>
        </dgm:presLayoutVars>
      </dgm:prSet>
      <dgm:spPr/>
    </dgm:pt>
    <dgm:pt modelId="{F16CBF02-DC86-4508-8542-3E44130721BF}" type="pres">
      <dgm:prSet presAssocID="{B8AC06E5-E265-47FF-93E3-46C72EF60116}" presName="parTxOnly" presStyleLbl="node1" presStyleIdx="0" presStyleCnt="5">
        <dgm:presLayoutVars>
          <dgm:bulletEnabled val="1"/>
        </dgm:presLayoutVars>
      </dgm:prSet>
      <dgm:spPr/>
      <dgm:t>
        <a:bodyPr/>
        <a:lstStyle/>
        <a:p>
          <a:endParaRPr lang="en-US"/>
        </a:p>
      </dgm:t>
    </dgm:pt>
    <dgm:pt modelId="{25BF2BB6-41E4-48DF-853C-7FDD7CEDFA8E}" type="pres">
      <dgm:prSet presAssocID="{242ACCE2-BE68-4780-A5BE-54F3122341AA}" presName="parSpace" presStyleCnt="0"/>
      <dgm:spPr/>
    </dgm:pt>
    <dgm:pt modelId="{DB5DB179-7DB3-4B3B-9A28-41AD303FED69}" type="pres">
      <dgm:prSet presAssocID="{C3B02EFC-C2DF-445E-9AAB-84E179B52FD0}" presName="parTxOnly" presStyleLbl="node1" presStyleIdx="1" presStyleCnt="5">
        <dgm:presLayoutVars>
          <dgm:bulletEnabled val="1"/>
        </dgm:presLayoutVars>
      </dgm:prSet>
      <dgm:spPr/>
      <dgm:t>
        <a:bodyPr/>
        <a:lstStyle/>
        <a:p>
          <a:endParaRPr lang="en-US"/>
        </a:p>
      </dgm:t>
    </dgm:pt>
    <dgm:pt modelId="{4560009A-690C-4316-882E-E5A0E947B8FF}" type="pres">
      <dgm:prSet presAssocID="{5218C0E5-6EC6-41BD-90AC-A8BFE0AB7C51}" presName="parSpace" presStyleCnt="0"/>
      <dgm:spPr/>
    </dgm:pt>
    <dgm:pt modelId="{48FE7061-F792-42CA-A499-01297EB8A9B3}" type="pres">
      <dgm:prSet presAssocID="{6620F620-092B-42BA-BED4-02E5F8329CEC}" presName="parTxOnly" presStyleLbl="node1" presStyleIdx="2" presStyleCnt="5">
        <dgm:presLayoutVars>
          <dgm:bulletEnabled val="1"/>
        </dgm:presLayoutVars>
      </dgm:prSet>
      <dgm:spPr/>
      <dgm:t>
        <a:bodyPr/>
        <a:lstStyle/>
        <a:p>
          <a:endParaRPr lang="en-US"/>
        </a:p>
      </dgm:t>
    </dgm:pt>
    <dgm:pt modelId="{EE42A55D-E97B-4933-9B9D-75A8A1F61152}" type="pres">
      <dgm:prSet presAssocID="{29ACFEE6-D6BD-4589-98FF-2D133C26B201}" presName="parSpace" presStyleCnt="0"/>
      <dgm:spPr/>
    </dgm:pt>
    <dgm:pt modelId="{B6E68E44-6B6F-428A-907A-C68399948EE5}" type="pres">
      <dgm:prSet presAssocID="{44CA11B0-06C1-4282-B223-1FC14B6A056A}" presName="parTxOnly" presStyleLbl="node1" presStyleIdx="3" presStyleCnt="5">
        <dgm:presLayoutVars>
          <dgm:bulletEnabled val="1"/>
        </dgm:presLayoutVars>
      </dgm:prSet>
      <dgm:spPr/>
      <dgm:t>
        <a:bodyPr/>
        <a:lstStyle/>
        <a:p>
          <a:endParaRPr lang="en-US"/>
        </a:p>
      </dgm:t>
    </dgm:pt>
    <dgm:pt modelId="{DEF7012E-FE02-46EC-91D5-82B8E2016648}" type="pres">
      <dgm:prSet presAssocID="{1DFB4827-AD8F-4B52-80E0-ABA985B8D05A}" presName="parSpace" presStyleCnt="0"/>
      <dgm:spPr/>
    </dgm:pt>
    <dgm:pt modelId="{ADA31E01-8E59-4903-B1EE-8EC7F298AEAD}" type="pres">
      <dgm:prSet presAssocID="{EF62661C-E938-46CC-83D6-F518A1B9A61F}" presName="parTxOnly" presStyleLbl="node1" presStyleIdx="4" presStyleCnt="5">
        <dgm:presLayoutVars>
          <dgm:bulletEnabled val="1"/>
        </dgm:presLayoutVars>
      </dgm:prSet>
      <dgm:spPr/>
      <dgm:t>
        <a:bodyPr/>
        <a:lstStyle/>
        <a:p>
          <a:endParaRPr lang="en-US"/>
        </a:p>
      </dgm:t>
    </dgm:pt>
  </dgm:ptLst>
  <dgm:cxnLst>
    <dgm:cxn modelId="{9EF21046-D77E-41BE-B2C4-6BD216633A05}" srcId="{E501FADE-E374-4B11-9AE0-A5C4D088C1FC}" destId="{6620F620-092B-42BA-BED4-02E5F8329CEC}" srcOrd="2" destOrd="0" parTransId="{82868AF8-12AD-4058-BA83-11695ED24A75}" sibTransId="{29ACFEE6-D6BD-4589-98FF-2D133C26B201}"/>
    <dgm:cxn modelId="{76100A59-2F02-4415-96EB-0B1DBFCED08C}" type="presOf" srcId="{6620F620-092B-42BA-BED4-02E5F8329CEC}" destId="{48FE7061-F792-42CA-A499-01297EB8A9B3}" srcOrd="0" destOrd="0" presId="urn:microsoft.com/office/officeart/2005/8/layout/hChevron3"/>
    <dgm:cxn modelId="{2F1E3FDA-EA14-4B0D-BC75-C316F28FF05A}" type="presOf" srcId="{EF62661C-E938-46CC-83D6-F518A1B9A61F}" destId="{ADA31E01-8E59-4903-B1EE-8EC7F298AEAD}" srcOrd="0" destOrd="0" presId="urn:microsoft.com/office/officeart/2005/8/layout/hChevron3"/>
    <dgm:cxn modelId="{8DB66F75-4616-43DE-BB28-52BF68F1C36B}" type="presOf" srcId="{B8AC06E5-E265-47FF-93E3-46C72EF60116}" destId="{F16CBF02-DC86-4508-8542-3E44130721BF}" srcOrd="0" destOrd="0" presId="urn:microsoft.com/office/officeart/2005/8/layout/hChevron3"/>
    <dgm:cxn modelId="{BE1684FF-868E-4F55-9A7F-BFF102F9E9AB}" type="presOf" srcId="{44CA11B0-06C1-4282-B223-1FC14B6A056A}" destId="{B6E68E44-6B6F-428A-907A-C68399948EE5}" srcOrd="0" destOrd="0" presId="urn:microsoft.com/office/officeart/2005/8/layout/hChevron3"/>
    <dgm:cxn modelId="{0CE7204D-3418-48A2-9E22-C5D71210BFAF}" srcId="{E501FADE-E374-4B11-9AE0-A5C4D088C1FC}" destId="{EF62661C-E938-46CC-83D6-F518A1B9A61F}" srcOrd="4" destOrd="0" parTransId="{A496A532-13A5-493B-85D9-6EB152237D28}" sibTransId="{B0C747A1-C34D-4D41-9CC7-97ACC424057A}"/>
    <dgm:cxn modelId="{F495601E-E0A4-42BA-985F-12300005D31C}" srcId="{E501FADE-E374-4B11-9AE0-A5C4D088C1FC}" destId="{B8AC06E5-E265-47FF-93E3-46C72EF60116}" srcOrd="0" destOrd="0" parTransId="{74F17CC1-E3C9-4AFB-B077-3C3D9D4BD1B4}" sibTransId="{242ACCE2-BE68-4780-A5BE-54F3122341AA}"/>
    <dgm:cxn modelId="{F3A38EBC-D324-4275-8DE3-3A89A534C2B3}" srcId="{E501FADE-E374-4B11-9AE0-A5C4D088C1FC}" destId="{C3B02EFC-C2DF-445E-9AAB-84E179B52FD0}" srcOrd="1" destOrd="0" parTransId="{F3377ADE-8933-4323-BB36-B693CF569278}" sibTransId="{5218C0E5-6EC6-41BD-90AC-A8BFE0AB7C51}"/>
    <dgm:cxn modelId="{E584E64E-86DE-4576-8FE9-D469B5572184}" type="presOf" srcId="{E501FADE-E374-4B11-9AE0-A5C4D088C1FC}" destId="{087F7E55-7B8E-485B-A9C1-C977382AB5ED}" srcOrd="0" destOrd="0" presId="urn:microsoft.com/office/officeart/2005/8/layout/hChevron3"/>
    <dgm:cxn modelId="{92886C11-9489-4155-88D8-D07B2C37C3AF}" type="presOf" srcId="{C3B02EFC-C2DF-445E-9AAB-84E179B52FD0}" destId="{DB5DB179-7DB3-4B3B-9A28-41AD303FED69}" srcOrd="0" destOrd="0" presId="urn:microsoft.com/office/officeart/2005/8/layout/hChevron3"/>
    <dgm:cxn modelId="{982E0E44-A3BE-4477-820A-F79DBD49D287}" srcId="{E501FADE-E374-4B11-9AE0-A5C4D088C1FC}" destId="{44CA11B0-06C1-4282-B223-1FC14B6A056A}" srcOrd="3" destOrd="0" parTransId="{E47705CF-F501-41BB-910C-2790024C42AC}" sibTransId="{1DFB4827-AD8F-4B52-80E0-ABA985B8D05A}"/>
    <dgm:cxn modelId="{1A146819-0EA7-4F89-808C-BB40AB02B50A}" type="presParOf" srcId="{087F7E55-7B8E-485B-A9C1-C977382AB5ED}" destId="{F16CBF02-DC86-4508-8542-3E44130721BF}" srcOrd="0" destOrd="0" presId="urn:microsoft.com/office/officeart/2005/8/layout/hChevron3"/>
    <dgm:cxn modelId="{A3B720FF-E146-493F-B7EB-D951EBFD005A}" type="presParOf" srcId="{087F7E55-7B8E-485B-A9C1-C977382AB5ED}" destId="{25BF2BB6-41E4-48DF-853C-7FDD7CEDFA8E}" srcOrd="1" destOrd="0" presId="urn:microsoft.com/office/officeart/2005/8/layout/hChevron3"/>
    <dgm:cxn modelId="{C91BD7FA-94CF-4F3A-9E97-FCB615EFCAB4}" type="presParOf" srcId="{087F7E55-7B8E-485B-A9C1-C977382AB5ED}" destId="{DB5DB179-7DB3-4B3B-9A28-41AD303FED69}" srcOrd="2" destOrd="0" presId="urn:microsoft.com/office/officeart/2005/8/layout/hChevron3"/>
    <dgm:cxn modelId="{9DE19951-CDCB-4E1E-B109-E1B023E6BC70}" type="presParOf" srcId="{087F7E55-7B8E-485B-A9C1-C977382AB5ED}" destId="{4560009A-690C-4316-882E-E5A0E947B8FF}" srcOrd="3" destOrd="0" presId="urn:microsoft.com/office/officeart/2005/8/layout/hChevron3"/>
    <dgm:cxn modelId="{865D97A9-AB9E-4E36-B245-FFC815D9AA94}" type="presParOf" srcId="{087F7E55-7B8E-485B-A9C1-C977382AB5ED}" destId="{48FE7061-F792-42CA-A499-01297EB8A9B3}" srcOrd="4" destOrd="0" presId="urn:microsoft.com/office/officeart/2005/8/layout/hChevron3"/>
    <dgm:cxn modelId="{1ABDD575-E6CC-48F9-99F6-FBF6ACD48966}" type="presParOf" srcId="{087F7E55-7B8E-485B-A9C1-C977382AB5ED}" destId="{EE42A55D-E97B-4933-9B9D-75A8A1F61152}" srcOrd="5" destOrd="0" presId="urn:microsoft.com/office/officeart/2005/8/layout/hChevron3"/>
    <dgm:cxn modelId="{B7920D54-3AC0-4AC9-8332-97214AC6EEF4}" type="presParOf" srcId="{087F7E55-7B8E-485B-A9C1-C977382AB5ED}" destId="{B6E68E44-6B6F-428A-907A-C68399948EE5}" srcOrd="6" destOrd="0" presId="urn:microsoft.com/office/officeart/2005/8/layout/hChevron3"/>
    <dgm:cxn modelId="{A57CA7FC-1DF0-4D31-99DA-FC487219159A}" type="presParOf" srcId="{087F7E55-7B8E-485B-A9C1-C977382AB5ED}" destId="{DEF7012E-FE02-46EC-91D5-82B8E2016648}" srcOrd="7" destOrd="0" presId="urn:microsoft.com/office/officeart/2005/8/layout/hChevron3"/>
    <dgm:cxn modelId="{FF9698FC-BE76-413F-9E89-8F93502E966E}" type="presParOf" srcId="{087F7E55-7B8E-485B-A9C1-C977382AB5ED}" destId="{ADA31E01-8E59-4903-B1EE-8EC7F298AEAD}" srcOrd="8" destOrd="0" presId="urn:microsoft.com/office/officeart/2005/8/layout/hChevron3"/>
  </dgm:cxnLst>
  <dgm:bg>
    <a:noFill/>
  </dgm:bg>
  <dgm:whole>
    <a:ln>
      <a:noFill/>
    </a:ln>
  </dgm:whole>
  <dgm:extLst>
    <a:ext uri="http://schemas.microsoft.com/office/drawing/2008/diagram">
      <dsp:dataModelExt xmlns:dsp="http://schemas.microsoft.com/office/drawing/2008/diagram" relId="rId15"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E501FADE-E374-4B11-9AE0-A5C4D088C1FC}" type="doc">
      <dgm:prSet loTypeId="urn:microsoft.com/office/officeart/2005/8/layout/hChevron3" loCatId="process" qsTypeId="urn:microsoft.com/office/officeart/2005/8/quickstyle/simple3" qsCatId="simple" csTypeId="urn:microsoft.com/office/officeart/2005/8/colors/accent6_3" csCatId="accent6" phldr="1"/>
      <dgm:spPr/>
    </dgm:pt>
    <dgm:pt modelId="{C3B02EFC-C2DF-445E-9AAB-84E179B52FD0}">
      <dgm:prSet phldrT="[Text]" custT="1"/>
      <dgm:spPr/>
      <dgm:t>
        <a:bodyPr/>
        <a:lstStyle/>
        <a:p>
          <a:r>
            <a:rPr lang="en-US" sz="2600" b="1"/>
            <a:t>Production - 2 </a:t>
          </a:r>
        </a:p>
      </dgm:t>
    </dgm:pt>
    <dgm:pt modelId="{F3377ADE-8933-4323-BB36-B693CF569278}" type="parTrans" cxnId="{F3A38EBC-D324-4275-8DE3-3A89A534C2B3}">
      <dgm:prSet/>
      <dgm:spPr/>
      <dgm:t>
        <a:bodyPr/>
        <a:lstStyle/>
        <a:p>
          <a:endParaRPr lang="en-US"/>
        </a:p>
      </dgm:t>
    </dgm:pt>
    <dgm:pt modelId="{5218C0E5-6EC6-41BD-90AC-A8BFE0AB7C51}" type="sibTrans" cxnId="{F3A38EBC-D324-4275-8DE3-3A89A534C2B3}">
      <dgm:prSet/>
      <dgm:spPr/>
      <dgm:t>
        <a:bodyPr/>
        <a:lstStyle/>
        <a:p>
          <a:endParaRPr lang="en-US"/>
        </a:p>
      </dgm:t>
    </dgm:pt>
    <dgm:pt modelId="{6620F620-092B-42BA-BED4-02E5F8329CEC}">
      <dgm:prSet phldrT="[Text]" custT="1"/>
      <dgm:spPr/>
      <dgm:t>
        <a:bodyPr/>
        <a:lstStyle/>
        <a:p>
          <a:r>
            <a:rPr lang="en-US" sz="2600" b="1"/>
            <a:t>Production - 3</a:t>
          </a:r>
        </a:p>
      </dgm:t>
    </dgm:pt>
    <dgm:pt modelId="{82868AF8-12AD-4058-BA83-11695ED24A75}" type="parTrans" cxnId="{9EF21046-D77E-41BE-B2C4-6BD216633A05}">
      <dgm:prSet/>
      <dgm:spPr/>
      <dgm:t>
        <a:bodyPr/>
        <a:lstStyle/>
        <a:p>
          <a:endParaRPr lang="en-US"/>
        </a:p>
      </dgm:t>
    </dgm:pt>
    <dgm:pt modelId="{29ACFEE6-D6BD-4589-98FF-2D133C26B201}" type="sibTrans" cxnId="{9EF21046-D77E-41BE-B2C4-6BD216633A05}">
      <dgm:prSet/>
      <dgm:spPr/>
      <dgm:t>
        <a:bodyPr/>
        <a:lstStyle/>
        <a:p>
          <a:endParaRPr lang="en-US"/>
        </a:p>
      </dgm:t>
    </dgm:pt>
    <dgm:pt modelId="{0D02EA9E-D6B7-4E07-A95F-9811C1D0F3BB}">
      <dgm:prSet phldrT="[Text]" custT="1"/>
      <dgm:spPr/>
      <dgm:t>
        <a:bodyPr/>
        <a:lstStyle/>
        <a:p>
          <a:r>
            <a:rPr lang="en-US" sz="2600" b="1"/>
            <a:t>Production - 4</a:t>
          </a:r>
        </a:p>
      </dgm:t>
    </dgm:pt>
    <dgm:pt modelId="{AD459FC0-F29E-49CF-BC9E-DB4095EB474C}" type="parTrans" cxnId="{D0971756-B896-4AAF-BE3E-735BA09AFBB9}">
      <dgm:prSet/>
      <dgm:spPr/>
      <dgm:t>
        <a:bodyPr/>
        <a:lstStyle/>
        <a:p>
          <a:endParaRPr lang="en-US"/>
        </a:p>
      </dgm:t>
    </dgm:pt>
    <dgm:pt modelId="{629C36BD-4E55-4CC2-8A08-003D2ECBA2B0}" type="sibTrans" cxnId="{D0971756-B896-4AAF-BE3E-735BA09AFBB9}">
      <dgm:prSet/>
      <dgm:spPr/>
      <dgm:t>
        <a:bodyPr/>
        <a:lstStyle/>
        <a:p>
          <a:endParaRPr lang="en-US"/>
        </a:p>
      </dgm:t>
    </dgm:pt>
    <dgm:pt modelId="{44CA11B0-06C1-4282-B223-1FC14B6A056A}">
      <dgm:prSet phldrT="[Text]" custT="1"/>
      <dgm:spPr/>
      <dgm:t>
        <a:bodyPr/>
        <a:lstStyle/>
        <a:p>
          <a:r>
            <a:rPr lang="en-US" sz="2600" b="1"/>
            <a:t>Production - 5</a:t>
          </a:r>
        </a:p>
      </dgm:t>
    </dgm:pt>
    <dgm:pt modelId="{E47705CF-F501-41BB-910C-2790024C42AC}" type="parTrans" cxnId="{982E0E44-A3BE-4477-820A-F79DBD49D287}">
      <dgm:prSet/>
      <dgm:spPr/>
      <dgm:t>
        <a:bodyPr/>
        <a:lstStyle/>
        <a:p>
          <a:endParaRPr lang="en-US"/>
        </a:p>
      </dgm:t>
    </dgm:pt>
    <dgm:pt modelId="{1DFB4827-AD8F-4B52-80E0-ABA985B8D05A}" type="sibTrans" cxnId="{982E0E44-A3BE-4477-820A-F79DBD49D287}">
      <dgm:prSet/>
      <dgm:spPr/>
      <dgm:t>
        <a:bodyPr/>
        <a:lstStyle/>
        <a:p>
          <a:endParaRPr lang="en-US"/>
        </a:p>
      </dgm:t>
    </dgm:pt>
    <dgm:pt modelId="{6D8B27CC-ECEA-4115-BFF4-4C0874C19BA4}">
      <dgm:prSet phldrT="[Text]" custT="1"/>
      <dgm:spPr/>
      <dgm:t>
        <a:bodyPr/>
        <a:lstStyle/>
        <a:p>
          <a:r>
            <a:rPr lang="en-US" sz="2600" b="1"/>
            <a:t>Production - 1</a:t>
          </a:r>
        </a:p>
      </dgm:t>
    </dgm:pt>
    <dgm:pt modelId="{AB5C9C8C-AE6D-4734-B3A6-CBAA889385FB}" type="parTrans" cxnId="{E411F7A2-06CF-4EBE-89A9-9F3A0788BDA5}">
      <dgm:prSet/>
      <dgm:spPr/>
      <dgm:t>
        <a:bodyPr/>
        <a:lstStyle/>
        <a:p>
          <a:endParaRPr lang="en-US"/>
        </a:p>
      </dgm:t>
    </dgm:pt>
    <dgm:pt modelId="{6A8F7729-300C-4497-A5D6-E05D0D693074}" type="sibTrans" cxnId="{E411F7A2-06CF-4EBE-89A9-9F3A0788BDA5}">
      <dgm:prSet/>
      <dgm:spPr/>
      <dgm:t>
        <a:bodyPr/>
        <a:lstStyle/>
        <a:p>
          <a:endParaRPr lang="en-US"/>
        </a:p>
      </dgm:t>
    </dgm:pt>
    <dgm:pt modelId="{087F7E55-7B8E-485B-A9C1-C977382AB5ED}" type="pres">
      <dgm:prSet presAssocID="{E501FADE-E374-4B11-9AE0-A5C4D088C1FC}" presName="Name0" presStyleCnt="0">
        <dgm:presLayoutVars>
          <dgm:dir/>
          <dgm:resizeHandles val="exact"/>
        </dgm:presLayoutVars>
      </dgm:prSet>
      <dgm:spPr/>
    </dgm:pt>
    <dgm:pt modelId="{B1BD8BD4-2B87-48E7-8E98-8395C85C96B5}" type="pres">
      <dgm:prSet presAssocID="{6D8B27CC-ECEA-4115-BFF4-4C0874C19BA4}" presName="parTxOnly" presStyleLbl="node1" presStyleIdx="0" presStyleCnt="5" custLinFactNeighborX="-57320" custLinFactNeighborY="5208">
        <dgm:presLayoutVars>
          <dgm:bulletEnabled val="1"/>
        </dgm:presLayoutVars>
      </dgm:prSet>
      <dgm:spPr/>
      <dgm:t>
        <a:bodyPr/>
        <a:lstStyle/>
        <a:p>
          <a:endParaRPr lang="en-US"/>
        </a:p>
      </dgm:t>
    </dgm:pt>
    <dgm:pt modelId="{72B46C13-F829-473B-A86A-33DE9704243A}" type="pres">
      <dgm:prSet presAssocID="{6A8F7729-300C-4497-A5D6-E05D0D693074}" presName="parSpace" presStyleCnt="0"/>
      <dgm:spPr/>
    </dgm:pt>
    <dgm:pt modelId="{DB5DB179-7DB3-4B3B-9A28-41AD303FED69}" type="pres">
      <dgm:prSet presAssocID="{C3B02EFC-C2DF-445E-9AAB-84E179B52FD0}" presName="parTxOnly" presStyleLbl="node1" presStyleIdx="1" presStyleCnt="5">
        <dgm:presLayoutVars>
          <dgm:bulletEnabled val="1"/>
        </dgm:presLayoutVars>
      </dgm:prSet>
      <dgm:spPr/>
      <dgm:t>
        <a:bodyPr/>
        <a:lstStyle/>
        <a:p>
          <a:endParaRPr lang="en-US"/>
        </a:p>
      </dgm:t>
    </dgm:pt>
    <dgm:pt modelId="{4560009A-690C-4316-882E-E5A0E947B8FF}" type="pres">
      <dgm:prSet presAssocID="{5218C0E5-6EC6-41BD-90AC-A8BFE0AB7C51}" presName="parSpace" presStyleCnt="0"/>
      <dgm:spPr/>
    </dgm:pt>
    <dgm:pt modelId="{48FE7061-F792-42CA-A499-01297EB8A9B3}" type="pres">
      <dgm:prSet presAssocID="{6620F620-092B-42BA-BED4-02E5F8329CEC}" presName="parTxOnly" presStyleLbl="node1" presStyleIdx="2" presStyleCnt="5">
        <dgm:presLayoutVars>
          <dgm:bulletEnabled val="1"/>
        </dgm:presLayoutVars>
      </dgm:prSet>
      <dgm:spPr/>
      <dgm:t>
        <a:bodyPr/>
        <a:lstStyle/>
        <a:p>
          <a:endParaRPr lang="en-US"/>
        </a:p>
      </dgm:t>
    </dgm:pt>
    <dgm:pt modelId="{EE42A55D-E97B-4933-9B9D-75A8A1F61152}" type="pres">
      <dgm:prSet presAssocID="{29ACFEE6-D6BD-4589-98FF-2D133C26B201}" presName="parSpace" presStyleCnt="0"/>
      <dgm:spPr/>
    </dgm:pt>
    <dgm:pt modelId="{C13F899C-91E6-4636-AD29-2522F0E6CC4C}" type="pres">
      <dgm:prSet presAssocID="{0D02EA9E-D6B7-4E07-A95F-9811C1D0F3BB}" presName="parTxOnly" presStyleLbl="node1" presStyleIdx="3" presStyleCnt="5">
        <dgm:presLayoutVars>
          <dgm:bulletEnabled val="1"/>
        </dgm:presLayoutVars>
      </dgm:prSet>
      <dgm:spPr/>
      <dgm:t>
        <a:bodyPr/>
        <a:lstStyle/>
        <a:p>
          <a:endParaRPr lang="en-US"/>
        </a:p>
      </dgm:t>
    </dgm:pt>
    <dgm:pt modelId="{95E75938-344D-4C80-8EF1-738ED60346C2}" type="pres">
      <dgm:prSet presAssocID="{629C36BD-4E55-4CC2-8A08-003D2ECBA2B0}" presName="parSpace" presStyleCnt="0"/>
      <dgm:spPr/>
    </dgm:pt>
    <dgm:pt modelId="{B6E68E44-6B6F-428A-907A-C68399948EE5}" type="pres">
      <dgm:prSet presAssocID="{44CA11B0-06C1-4282-B223-1FC14B6A056A}" presName="parTxOnly" presStyleLbl="node1" presStyleIdx="4" presStyleCnt="5">
        <dgm:presLayoutVars>
          <dgm:bulletEnabled val="1"/>
        </dgm:presLayoutVars>
      </dgm:prSet>
      <dgm:spPr/>
      <dgm:t>
        <a:bodyPr/>
        <a:lstStyle/>
        <a:p>
          <a:endParaRPr lang="en-US"/>
        </a:p>
      </dgm:t>
    </dgm:pt>
  </dgm:ptLst>
  <dgm:cxnLst>
    <dgm:cxn modelId="{9EF21046-D77E-41BE-B2C4-6BD216633A05}" srcId="{E501FADE-E374-4B11-9AE0-A5C4D088C1FC}" destId="{6620F620-092B-42BA-BED4-02E5F8329CEC}" srcOrd="2" destOrd="0" parTransId="{82868AF8-12AD-4058-BA83-11695ED24A75}" sibTransId="{29ACFEE6-D6BD-4589-98FF-2D133C26B201}"/>
    <dgm:cxn modelId="{E10C9CDB-8B3A-41AC-97A4-2BCDD5F9E769}" type="presOf" srcId="{6D8B27CC-ECEA-4115-BFF4-4C0874C19BA4}" destId="{B1BD8BD4-2B87-48E7-8E98-8395C85C96B5}" srcOrd="0" destOrd="0" presId="urn:microsoft.com/office/officeart/2005/8/layout/hChevron3"/>
    <dgm:cxn modelId="{79AB0DE9-C157-4345-A934-6C2B57A74F96}" type="presOf" srcId="{C3B02EFC-C2DF-445E-9AAB-84E179B52FD0}" destId="{DB5DB179-7DB3-4B3B-9A28-41AD303FED69}" srcOrd="0" destOrd="0" presId="urn:microsoft.com/office/officeart/2005/8/layout/hChevron3"/>
    <dgm:cxn modelId="{D0971756-B896-4AAF-BE3E-735BA09AFBB9}" srcId="{E501FADE-E374-4B11-9AE0-A5C4D088C1FC}" destId="{0D02EA9E-D6B7-4E07-A95F-9811C1D0F3BB}" srcOrd="3" destOrd="0" parTransId="{AD459FC0-F29E-49CF-BC9E-DB4095EB474C}" sibTransId="{629C36BD-4E55-4CC2-8A08-003D2ECBA2B0}"/>
    <dgm:cxn modelId="{7774C7D9-5495-4CCA-BFA9-37733B69D35E}" type="presOf" srcId="{44CA11B0-06C1-4282-B223-1FC14B6A056A}" destId="{B6E68E44-6B6F-428A-907A-C68399948EE5}" srcOrd="0" destOrd="0" presId="urn:microsoft.com/office/officeart/2005/8/layout/hChevron3"/>
    <dgm:cxn modelId="{E411F7A2-06CF-4EBE-89A9-9F3A0788BDA5}" srcId="{E501FADE-E374-4B11-9AE0-A5C4D088C1FC}" destId="{6D8B27CC-ECEA-4115-BFF4-4C0874C19BA4}" srcOrd="0" destOrd="0" parTransId="{AB5C9C8C-AE6D-4734-B3A6-CBAA889385FB}" sibTransId="{6A8F7729-300C-4497-A5D6-E05D0D693074}"/>
    <dgm:cxn modelId="{6F71536C-EB8C-4D22-BB42-BAAD65837C63}" type="presOf" srcId="{0D02EA9E-D6B7-4E07-A95F-9811C1D0F3BB}" destId="{C13F899C-91E6-4636-AD29-2522F0E6CC4C}" srcOrd="0" destOrd="0" presId="urn:microsoft.com/office/officeart/2005/8/layout/hChevron3"/>
    <dgm:cxn modelId="{F3A38EBC-D324-4275-8DE3-3A89A534C2B3}" srcId="{E501FADE-E374-4B11-9AE0-A5C4D088C1FC}" destId="{C3B02EFC-C2DF-445E-9AAB-84E179B52FD0}" srcOrd="1" destOrd="0" parTransId="{F3377ADE-8933-4323-BB36-B693CF569278}" sibTransId="{5218C0E5-6EC6-41BD-90AC-A8BFE0AB7C51}"/>
    <dgm:cxn modelId="{9CD03856-E070-43CD-8A3C-09E5F567DEE3}" type="presOf" srcId="{6620F620-092B-42BA-BED4-02E5F8329CEC}" destId="{48FE7061-F792-42CA-A499-01297EB8A9B3}" srcOrd="0" destOrd="0" presId="urn:microsoft.com/office/officeart/2005/8/layout/hChevron3"/>
    <dgm:cxn modelId="{4A850B4B-8E50-4D40-935A-908C72527B87}" type="presOf" srcId="{E501FADE-E374-4B11-9AE0-A5C4D088C1FC}" destId="{087F7E55-7B8E-485B-A9C1-C977382AB5ED}" srcOrd="0" destOrd="0" presId="urn:microsoft.com/office/officeart/2005/8/layout/hChevron3"/>
    <dgm:cxn modelId="{982E0E44-A3BE-4477-820A-F79DBD49D287}" srcId="{E501FADE-E374-4B11-9AE0-A5C4D088C1FC}" destId="{44CA11B0-06C1-4282-B223-1FC14B6A056A}" srcOrd="4" destOrd="0" parTransId="{E47705CF-F501-41BB-910C-2790024C42AC}" sibTransId="{1DFB4827-AD8F-4B52-80E0-ABA985B8D05A}"/>
    <dgm:cxn modelId="{A776F35C-B461-4F71-8EB4-5DFD5CBF25A9}" type="presParOf" srcId="{087F7E55-7B8E-485B-A9C1-C977382AB5ED}" destId="{B1BD8BD4-2B87-48E7-8E98-8395C85C96B5}" srcOrd="0" destOrd="0" presId="urn:microsoft.com/office/officeart/2005/8/layout/hChevron3"/>
    <dgm:cxn modelId="{6060DF81-F6F0-4DCF-89BF-ED9B4793FAD9}" type="presParOf" srcId="{087F7E55-7B8E-485B-A9C1-C977382AB5ED}" destId="{72B46C13-F829-473B-A86A-33DE9704243A}" srcOrd="1" destOrd="0" presId="urn:microsoft.com/office/officeart/2005/8/layout/hChevron3"/>
    <dgm:cxn modelId="{4C58C5F1-2E96-4EEE-B2CE-1B45533043E4}" type="presParOf" srcId="{087F7E55-7B8E-485B-A9C1-C977382AB5ED}" destId="{DB5DB179-7DB3-4B3B-9A28-41AD303FED69}" srcOrd="2" destOrd="0" presId="urn:microsoft.com/office/officeart/2005/8/layout/hChevron3"/>
    <dgm:cxn modelId="{D98C092B-A2A2-4B6F-828C-BDB65243324C}" type="presParOf" srcId="{087F7E55-7B8E-485B-A9C1-C977382AB5ED}" destId="{4560009A-690C-4316-882E-E5A0E947B8FF}" srcOrd="3" destOrd="0" presId="urn:microsoft.com/office/officeart/2005/8/layout/hChevron3"/>
    <dgm:cxn modelId="{D6008584-0004-4A3C-AC12-5D4BA0B31262}" type="presParOf" srcId="{087F7E55-7B8E-485B-A9C1-C977382AB5ED}" destId="{48FE7061-F792-42CA-A499-01297EB8A9B3}" srcOrd="4" destOrd="0" presId="urn:microsoft.com/office/officeart/2005/8/layout/hChevron3"/>
    <dgm:cxn modelId="{2AE1C783-4D39-4CE1-B644-6A2798F900CF}" type="presParOf" srcId="{087F7E55-7B8E-485B-A9C1-C977382AB5ED}" destId="{EE42A55D-E97B-4933-9B9D-75A8A1F61152}" srcOrd="5" destOrd="0" presId="urn:microsoft.com/office/officeart/2005/8/layout/hChevron3"/>
    <dgm:cxn modelId="{EE6566B7-FB73-4775-96C6-0E25FA2EB84E}" type="presParOf" srcId="{087F7E55-7B8E-485B-A9C1-C977382AB5ED}" destId="{C13F899C-91E6-4636-AD29-2522F0E6CC4C}" srcOrd="6" destOrd="0" presId="urn:microsoft.com/office/officeart/2005/8/layout/hChevron3"/>
    <dgm:cxn modelId="{AF403B2C-7FE5-40A4-AACA-2914DE0DD4EF}" type="presParOf" srcId="{087F7E55-7B8E-485B-A9C1-C977382AB5ED}" destId="{95E75938-344D-4C80-8EF1-738ED60346C2}" srcOrd="7" destOrd="0" presId="urn:microsoft.com/office/officeart/2005/8/layout/hChevron3"/>
    <dgm:cxn modelId="{BDD217DB-FA0D-4C1F-B182-8174913BDA5B}" type="presParOf" srcId="{087F7E55-7B8E-485B-A9C1-C977382AB5ED}" destId="{B6E68E44-6B6F-428A-907A-C68399948EE5}" srcOrd="8" destOrd="0" presId="urn:microsoft.com/office/officeart/2005/8/layout/hChevron3"/>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E501FADE-E374-4B11-9AE0-A5C4D088C1FC}" type="doc">
      <dgm:prSet loTypeId="urn:microsoft.com/office/officeart/2005/8/layout/hChevron3" loCatId="process" qsTypeId="urn:microsoft.com/office/officeart/2005/8/quickstyle/simple3" qsCatId="simple" csTypeId="urn:microsoft.com/office/officeart/2005/8/colors/accent6_3" csCatId="accent6" phldr="1"/>
      <dgm:spPr/>
    </dgm:pt>
    <dgm:pt modelId="{C3B02EFC-C2DF-445E-9AAB-84E179B52FD0}">
      <dgm:prSet phldrT="[Text]" custT="1"/>
      <dgm:spPr/>
      <dgm:t>
        <a:bodyPr/>
        <a:lstStyle/>
        <a:p>
          <a:r>
            <a:rPr lang="en-US" sz="2600" b="1"/>
            <a:t>Labor - 2 </a:t>
          </a:r>
        </a:p>
      </dgm:t>
    </dgm:pt>
    <dgm:pt modelId="{F3377ADE-8933-4323-BB36-B693CF569278}" type="parTrans" cxnId="{F3A38EBC-D324-4275-8DE3-3A89A534C2B3}">
      <dgm:prSet/>
      <dgm:spPr/>
      <dgm:t>
        <a:bodyPr/>
        <a:lstStyle/>
        <a:p>
          <a:endParaRPr lang="en-US"/>
        </a:p>
      </dgm:t>
    </dgm:pt>
    <dgm:pt modelId="{5218C0E5-6EC6-41BD-90AC-A8BFE0AB7C51}" type="sibTrans" cxnId="{F3A38EBC-D324-4275-8DE3-3A89A534C2B3}">
      <dgm:prSet/>
      <dgm:spPr/>
      <dgm:t>
        <a:bodyPr/>
        <a:lstStyle/>
        <a:p>
          <a:endParaRPr lang="en-US"/>
        </a:p>
      </dgm:t>
    </dgm:pt>
    <dgm:pt modelId="{6620F620-092B-42BA-BED4-02E5F8329CEC}">
      <dgm:prSet phldrT="[Text]" custT="1"/>
      <dgm:spPr/>
      <dgm:t>
        <a:bodyPr/>
        <a:lstStyle/>
        <a:p>
          <a:r>
            <a:rPr lang="en-US" sz="2600" b="1"/>
            <a:t>Labor - 3</a:t>
          </a:r>
        </a:p>
      </dgm:t>
    </dgm:pt>
    <dgm:pt modelId="{82868AF8-12AD-4058-BA83-11695ED24A75}" type="parTrans" cxnId="{9EF21046-D77E-41BE-B2C4-6BD216633A05}">
      <dgm:prSet/>
      <dgm:spPr/>
      <dgm:t>
        <a:bodyPr/>
        <a:lstStyle/>
        <a:p>
          <a:endParaRPr lang="en-US"/>
        </a:p>
      </dgm:t>
    </dgm:pt>
    <dgm:pt modelId="{29ACFEE6-D6BD-4589-98FF-2D133C26B201}" type="sibTrans" cxnId="{9EF21046-D77E-41BE-B2C4-6BD216633A05}">
      <dgm:prSet/>
      <dgm:spPr/>
      <dgm:t>
        <a:bodyPr/>
        <a:lstStyle/>
        <a:p>
          <a:endParaRPr lang="en-US"/>
        </a:p>
      </dgm:t>
    </dgm:pt>
    <dgm:pt modelId="{0D02EA9E-D6B7-4E07-A95F-9811C1D0F3BB}">
      <dgm:prSet phldrT="[Text]" custT="1"/>
      <dgm:spPr/>
      <dgm:t>
        <a:bodyPr/>
        <a:lstStyle/>
        <a:p>
          <a:r>
            <a:rPr lang="en-US" sz="2600" b="1"/>
            <a:t>Labor - 4</a:t>
          </a:r>
        </a:p>
      </dgm:t>
    </dgm:pt>
    <dgm:pt modelId="{AD459FC0-F29E-49CF-BC9E-DB4095EB474C}" type="parTrans" cxnId="{D0971756-B896-4AAF-BE3E-735BA09AFBB9}">
      <dgm:prSet/>
      <dgm:spPr/>
      <dgm:t>
        <a:bodyPr/>
        <a:lstStyle/>
        <a:p>
          <a:endParaRPr lang="en-US"/>
        </a:p>
      </dgm:t>
    </dgm:pt>
    <dgm:pt modelId="{629C36BD-4E55-4CC2-8A08-003D2ECBA2B0}" type="sibTrans" cxnId="{D0971756-B896-4AAF-BE3E-735BA09AFBB9}">
      <dgm:prSet/>
      <dgm:spPr/>
      <dgm:t>
        <a:bodyPr/>
        <a:lstStyle/>
        <a:p>
          <a:endParaRPr lang="en-US"/>
        </a:p>
      </dgm:t>
    </dgm:pt>
    <dgm:pt modelId="{44CA11B0-06C1-4282-B223-1FC14B6A056A}">
      <dgm:prSet phldrT="[Text]" custT="1"/>
      <dgm:spPr/>
      <dgm:t>
        <a:bodyPr/>
        <a:lstStyle/>
        <a:p>
          <a:r>
            <a:rPr lang="en-US" sz="2600" b="1"/>
            <a:t>Labor - 5</a:t>
          </a:r>
        </a:p>
      </dgm:t>
    </dgm:pt>
    <dgm:pt modelId="{E47705CF-F501-41BB-910C-2790024C42AC}" type="parTrans" cxnId="{982E0E44-A3BE-4477-820A-F79DBD49D287}">
      <dgm:prSet/>
      <dgm:spPr/>
      <dgm:t>
        <a:bodyPr/>
        <a:lstStyle/>
        <a:p>
          <a:endParaRPr lang="en-US"/>
        </a:p>
      </dgm:t>
    </dgm:pt>
    <dgm:pt modelId="{1DFB4827-AD8F-4B52-80E0-ABA985B8D05A}" type="sibTrans" cxnId="{982E0E44-A3BE-4477-820A-F79DBD49D287}">
      <dgm:prSet/>
      <dgm:spPr/>
      <dgm:t>
        <a:bodyPr/>
        <a:lstStyle/>
        <a:p>
          <a:endParaRPr lang="en-US"/>
        </a:p>
      </dgm:t>
    </dgm:pt>
    <dgm:pt modelId="{6D8B27CC-ECEA-4115-BFF4-4C0874C19BA4}">
      <dgm:prSet phldrT="[Text]" custT="1"/>
      <dgm:spPr/>
      <dgm:t>
        <a:bodyPr/>
        <a:lstStyle/>
        <a:p>
          <a:r>
            <a:rPr lang="en-US" sz="2600" b="1"/>
            <a:t>Labor - 1</a:t>
          </a:r>
        </a:p>
      </dgm:t>
    </dgm:pt>
    <dgm:pt modelId="{AB5C9C8C-AE6D-4734-B3A6-CBAA889385FB}" type="parTrans" cxnId="{E411F7A2-06CF-4EBE-89A9-9F3A0788BDA5}">
      <dgm:prSet/>
      <dgm:spPr/>
      <dgm:t>
        <a:bodyPr/>
        <a:lstStyle/>
        <a:p>
          <a:endParaRPr lang="en-US"/>
        </a:p>
      </dgm:t>
    </dgm:pt>
    <dgm:pt modelId="{6A8F7729-300C-4497-A5D6-E05D0D693074}" type="sibTrans" cxnId="{E411F7A2-06CF-4EBE-89A9-9F3A0788BDA5}">
      <dgm:prSet/>
      <dgm:spPr/>
      <dgm:t>
        <a:bodyPr/>
        <a:lstStyle/>
        <a:p>
          <a:endParaRPr lang="en-US"/>
        </a:p>
      </dgm:t>
    </dgm:pt>
    <dgm:pt modelId="{087F7E55-7B8E-485B-A9C1-C977382AB5ED}" type="pres">
      <dgm:prSet presAssocID="{E501FADE-E374-4B11-9AE0-A5C4D088C1FC}" presName="Name0" presStyleCnt="0">
        <dgm:presLayoutVars>
          <dgm:dir/>
          <dgm:resizeHandles val="exact"/>
        </dgm:presLayoutVars>
      </dgm:prSet>
      <dgm:spPr/>
    </dgm:pt>
    <dgm:pt modelId="{B1BD8BD4-2B87-48E7-8E98-8395C85C96B5}" type="pres">
      <dgm:prSet presAssocID="{6D8B27CC-ECEA-4115-BFF4-4C0874C19BA4}" presName="parTxOnly" presStyleLbl="node1" presStyleIdx="0" presStyleCnt="5" custLinFactNeighborX="-57320" custLinFactNeighborY="5208">
        <dgm:presLayoutVars>
          <dgm:bulletEnabled val="1"/>
        </dgm:presLayoutVars>
      </dgm:prSet>
      <dgm:spPr/>
      <dgm:t>
        <a:bodyPr/>
        <a:lstStyle/>
        <a:p>
          <a:endParaRPr lang="en-US"/>
        </a:p>
      </dgm:t>
    </dgm:pt>
    <dgm:pt modelId="{72B46C13-F829-473B-A86A-33DE9704243A}" type="pres">
      <dgm:prSet presAssocID="{6A8F7729-300C-4497-A5D6-E05D0D693074}" presName="parSpace" presStyleCnt="0"/>
      <dgm:spPr/>
    </dgm:pt>
    <dgm:pt modelId="{DB5DB179-7DB3-4B3B-9A28-41AD303FED69}" type="pres">
      <dgm:prSet presAssocID="{C3B02EFC-C2DF-445E-9AAB-84E179B52FD0}" presName="parTxOnly" presStyleLbl="node1" presStyleIdx="1" presStyleCnt="5">
        <dgm:presLayoutVars>
          <dgm:bulletEnabled val="1"/>
        </dgm:presLayoutVars>
      </dgm:prSet>
      <dgm:spPr/>
      <dgm:t>
        <a:bodyPr/>
        <a:lstStyle/>
        <a:p>
          <a:endParaRPr lang="en-US"/>
        </a:p>
      </dgm:t>
    </dgm:pt>
    <dgm:pt modelId="{4560009A-690C-4316-882E-E5A0E947B8FF}" type="pres">
      <dgm:prSet presAssocID="{5218C0E5-6EC6-41BD-90AC-A8BFE0AB7C51}" presName="parSpace" presStyleCnt="0"/>
      <dgm:spPr/>
    </dgm:pt>
    <dgm:pt modelId="{48FE7061-F792-42CA-A499-01297EB8A9B3}" type="pres">
      <dgm:prSet presAssocID="{6620F620-092B-42BA-BED4-02E5F8329CEC}" presName="parTxOnly" presStyleLbl="node1" presStyleIdx="2" presStyleCnt="5" custLinFactNeighborX="34646">
        <dgm:presLayoutVars>
          <dgm:bulletEnabled val="1"/>
        </dgm:presLayoutVars>
      </dgm:prSet>
      <dgm:spPr/>
      <dgm:t>
        <a:bodyPr/>
        <a:lstStyle/>
        <a:p>
          <a:endParaRPr lang="en-US"/>
        </a:p>
      </dgm:t>
    </dgm:pt>
    <dgm:pt modelId="{EE42A55D-E97B-4933-9B9D-75A8A1F61152}" type="pres">
      <dgm:prSet presAssocID="{29ACFEE6-D6BD-4589-98FF-2D133C26B201}" presName="parSpace" presStyleCnt="0"/>
      <dgm:spPr/>
    </dgm:pt>
    <dgm:pt modelId="{C13F899C-91E6-4636-AD29-2522F0E6CC4C}" type="pres">
      <dgm:prSet presAssocID="{0D02EA9E-D6B7-4E07-A95F-9811C1D0F3BB}" presName="parTxOnly" presStyleLbl="node1" presStyleIdx="3" presStyleCnt="5" custLinFactNeighborX="38722">
        <dgm:presLayoutVars>
          <dgm:bulletEnabled val="1"/>
        </dgm:presLayoutVars>
      </dgm:prSet>
      <dgm:spPr/>
      <dgm:t>
        <a:bodyPr/>
        <a:lstStyle/>
        <a:p>
          <a:endParaRPr lang="en-US"/>
        </a:p>
      </dgm:t>
    </dgm:pt>
    <dgm:pt modelId="{95E75938-344D-4C80-8EF1-738ED60346C2}" type="pres">
      <dgm:prSet presAssocID="{629C36BD-4E55-4CC2-8A08-003D2ECBA2B0}" presName="parSpace" presStyleCnt="0"/>
      <dgm:spPr/>
    </dgm:pt>
    <dgm:pt modelId="{B6E68E44-6B6F-428A-907A-C68399948EE5}" type="pres">
      <dgm:prSet presAssocID="{44CA11B0-06C1-4282-B223-1FC14B6A056A}" presName="parTxOnly" presStyleLbl="node1" presStyleIdx="4" presStyleCnt="5">
        <dgm:presLayoutVars>
          <dgm:bulletEnabled val="1"/>
        </dgm:presLayoutVars>
      </dgm:prSet>
      <dgm:spPr/>
      <dgm:t>
        <a:bodyPr/>
        <a:lstStyle/>
        <a:p>
          <a:endParaRPr lang="en-US"/>
        </a:p>
      </dgm:t>
    </dgm:pt>
  </dgm:ptLst>
  <dgm:cxnLst>
    <dgm:cxn modelId="{9EF21046-D77E-41BE-B2C4-6BD216633A05}" srcId="{E501FADE-E374-4B11-9AE0-A5C4D088C1FC}" destId="{6620F620-092B-42BA-BED4-02E5F8329CEC}" srcOrd="2" destOrd="0" parTransId="{82868AF8-12AD-4058-BA83-11695ED24A75}" sibTransId="{29ACFEE6-D6BD-4589-98FF-2D133C26B201}"/>
    <dgm:cxn modelId="{137C0739-3A67-4ED7-B3F8-10241A3F097D}" type="presOf" srcId="{0D02EA9E-D6B7-4E07-A95F-9811C1D0F3BB}" destId="{C13F899C-91E6-4636-AD29-2522F0E6CC4C}" srcOrd="0" destOrd="0" presId="urn:microsoft.com/office/officeart/2005/8/layout/hChevron3"/>
    <dgm:cxn modelId="{28A1CE5A-7F59-4B52-964A-34940A09B0BC}" type="presOf" srcId="{6D8B27CC-ECEA-4115-BFF4-4C0874C19BA4}" destId="{B1BD8BD4-2B87-48E7-8E98-8395C85C96B5}" srcOrd="0" destOrd="0" presId="urn:microsoft.com/office/officeart/2005/8/layout/hChevron3"/>
    <dgm:cxn modelId="{D0971756-B896-4AAF-BE3E-735BA09AFBB9}" srcId="{E501FADE-E374-4B11-9AE0-A5C4D088C1FC}" destId="{0D02EA9E-D6B7-4E07-A95F-9811C1D0F3BB}" srcOrd="3" destOrd="0" parTransId="{AD459FC0-F29E-49CF-BC9E-DB4095EB474C}" sibTransId="{629C36BD-4E55-4CC2-8A08-003D2ECBA2B0}"/>
    <dgm:cxn modelId="{3721DAF1-4189-4D3F-B9B3-02AC2DF4CDCC}" type="presOf" srcId="{E501FADE-E374-4B11-9AE0-A5C4D088C1FC}" destId="{087F7E55-7B8E-485B-A9C1-C977382AB5ED}" srcOrd="0" destOrd="0" presId="urn:microsoft.com/office/officeart/2005/8/layout/hChevron3"/>
    <dgm:cxn modelId="{00AA0EDF-6239-4DFD-8D52-561C49D1CB27}" type="presOf" srcId="{44CA11B0-06C1-4282-B223-1FC14B6A056A}" destId="{B6E68E44-6B6F-428A-907A-C68399948EE5}" srcOrd="0" destOrd="0" presId="urn:microsoft.com/office/officeart/2005/8/layout/hChevron3"/>
    <dgm:cxn modelId="{E411F7A2-06CF-4EBE-89A9-9F3A0788BDA5}" srcId="{E501FADE-E374-4B11-9AE0-A5C4D088C1FC}" destId="{6D8B27CC-ECEA-4115-BFF4-4C0874C19BA4}" srcOrd="0" destOrd="0" parTransId="{AB5C9C8C-AE6D-4734-B3A6-CBAA889385FB}" sibTransId="{6A8F7729-300C-4497-A5D6-E05D0D693074}"/>
    <dgm:cxn modelId="{084ACA98-5F8C-4D29-A434-1C70ACB73EBA}" type="presOf" srcId="{6620F620-092B-42BA-BED4-02E5F8329CEC}" destId="{48FE7061-F792-42CA-A499-01297EB8A9B3}" srcOrd="0" destOrd="0" presId="urn:microsoft.com/office/officeart/2005/8/layout/hChevron3"/>
    <dgm:cxn modelId="{7299EBC1-66E7-43A4-B8CF-196E29820FC8}" type="presOf" srcId="{C3B02EFC-C2DF-445E-9AAB-84E179B52FD0}" destId="{DB5DB179-7DB3-4B3B-9A28-41AD303FED69}" srcOrd="0" destOrd="0" presId="urn:microsoft.com/office/officeart/2005/8/layout/hChevron3"/>
    <dgm:cxn modelId="{F3A38EBC-D324-4275-8DE3-3A89A534C2B3}" srcId="{E501FADE-E374-4B11-9AE0-A5C4D088C1FC}" destId="{C3B02EFC-C2DF-445E-9AAB-84E179B52FD0}" srcOrd="1" destOrd="0" parTransId="{F3377ADE-8933-4323-BB36-B693CF569278}" sibTransId="{5218C0E5-6EC6-41BD-90AC-A8BFE0AB7C51}"/>
    <dgm:cxn modelId="{982E0E44-A3BE-4477-820A-F79DBD49D287}" srcId="{E501FADE-E374-4B11-9AE0-A5C4D088C1FC}" destId="{44CA11B0-06C1-4282-B223-1FC14B6A056A}" srcOrd="4" destOrd="0" parTransId="{E47705CF-F501-41BB-910C-2790024C42AC}" sibTransId="{1DFB4827-AD8F-4B52-80E0-ABA985B8D05A}"/>
    <dgm:cxn modelId="{45EC76FB-8A33-4982-9E47-B2A2973F575A}" type="presParOf" srcId="{087F7E55-7B8E-485B-A9C1-C977382AB5ED}" destId="{B1BD8BD4-2B87-48E7-8E98-8395C85C96B5}" srcOrd="0" destOrd="0" presId="urn:microsoft.com/office/officeart/2005/8/layout/hChevron3"/>
    <dgm:cxn modelId="{9E206D4A-4F3F-485E-A5F0-DCDEBCCD0795}" type="presParOf" srcId="{087F7E55-7B8E-485B-A9C1-C977382AB5ED}" destId="{72B46C13-F829-473B-A86A-33DE9704243A}" srcOrd="1" destOrd="0" presId="urn:microsoft.com/office/officeart/2005/8/layout/hChevron3"/>
    <dgm:cxn modelId="{EBE12F34-C252-4B3B-9043-527C6B0C1885}" type="presParOf" srcId="{087F7E55-7B8E-485B-A9C1-C977382AB5ED}" destId="{DB5DB179-7DB3-4B3B-9A28-41AD303FED69}" srcOrd="2" destOrd="0" presId="urn:microsoft.com/office/officeart/2005/8/layout/hChevron3"/>
    <dgm:cxn modelId="{9891EDFD-26DF-4523-B34E-9FE6A914DD0E}" type="presParOf" srcId="{087F7E55-7B8E-485B-A9C1-C977382AB5ED}" destId="{4560009A-690C-4316-882E-E5A0E947B8FF}" srcOrd="3" destOrd="0" presId="urn:microsoft.com/office/officeart/2005/8/layout/hChevron3"/>
    <dgm:cxn modelId="{140DD03B-712B-4DE4-938A-ACD3FD294066}" type="presParOf" srcId="{087F7E55-7B8E-485B-A9C1-C977382AB5ED}" destId="{48FE7061-F792-42CA-A499-01297EB8A9B3}" srcOrd="4" destOrd="0" presId="urn:microsoft.com/office/officeart/2005/8/layout/hChevron3"/>
    <dgm:cxn modelId="{BB780152-7FB7-4728-96FC-EBDCBC84D4E5}" type="presParOf" srcId="{087F7E55-7B8E-485B-A9C1-C977382AB5ED}" destId="{EE42A55D-E97B-4933-9B9D-75A8A1F61152}" srcOrd="5" destOrd="0" presId="urn:microsoft.com/office/officeart/2005/8/layout/hChevron3"/>
    <dgm:cxn modelId="{6E40AEFF-9773-4AED-AB91-8BD340EADD18}" type="presParOf" srcId="{087F7E55-7B8E-485B-A9C1-C977382AB5ED}" destId="{C13F899C-91E6-4636-AD29-2522F0E6CC4C}" srcOrd="6" destOrd="0" presId="urn:microsoft.com/office/officeart/2005/8/layout/hChevron3"/>
    <dgm:cxn modelId="{AB82FB37-C9DC-4796-AC38-ED6E8C213F40}" type="presParOf" srcId="{087F7E55-7B8E-485B-A9C1-C977382AB5ED}" destId="{95E75938-344D-4C80-8EF1-738ED60346C2}" srcOrd="7" destOrd="0" presId="urn:microsoft.com/office/officeart/2005/8/layout/hChevron3"/>
    <dgm:cxn modelId="{D7712D70-B334-4B32-A477-43606BA21416}" type="presParOf" srcId="{087F7E55-7B8E-485B-A9C1-C977382AB5ED}" destId="{B6E68E44-6B6F-428A-907A-C68399948EE5}" srcOrd="8" destOrd="0" presId="urn:microsoft.com/office/officeart/2005/8/layout/hChevron3"/>
  </dgm:cxnLst>
  <dgm:bg/>
  <dgm:whole/>
  <dgm:extLst>
    <a:ext uri="http://schemas.microsoft.com/office/drawing/2008/diagram">
      <dsp:dataModelExt xmlns:dsp="http://schemas.microsoft.com/office/drawing/2008/diagram" relId="rId2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99561AF-1EF9-4FAC-870F-086293CA0665}">
      <dsp:nvSpPr>
        <dsp:cNvPr id="0" name=""/>
        <dsp:cNvSpPr/>
      </dsp:nvSpPr>
      <dsp:spPr>
        <a:xfrm>
          <a:off x="5124883" y="16713"/>
          <a:ext cx="1457609" cy="14576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0480" tIns="30480" rIns="30480" bIns="30480" numCol="1" spcCol="1270" anchor="ctr" anchorCtr="0">
          <a:noAutofit/>
        </a:bodyPr>
        <a:lstStyle/>
        <a:p>
          <a:pPr lvl="0" algn="ctr" defTabSz="1066800">
            <a:lnSpc>
              <a:spcPct val="90000"/>
            </a:lnSpc>
            <a:spcBef>
              <a:spcPct val="0"/>
            </a:spcBef>
            <a:spcAft>
              <a:spcPct val="35000"/>
            </a:spcAft>
          </a:pPr>
          <a:r>
            <a:rPr lang="en-CA" sz="2400" kern="1200"/>
            <a:t>Quotes</a:t>
          </a:r>
        </a:p>
      </dsp:txBody>
      <dsp:txXfrm>
        <a:off x="5124883" y="16713"/>
        <a:ext cx="1457609" cy="1457609"/>
      </dsp:txXfrm>
    </dsp:sp>
    <dsp:sp modelId="{9673BDDC-3143-44E4-9146-CC2343298043}">
      <dsp:nvSpPr>
        <dsp:cNvPr id="0" name=""/>
        <dsp:cNvSpPr/>
      </dsp:nvSpPr>
      <dsp:spPr>
        <a:xfrm>
          <a:off x="669619" y="2077"/>
          <a:ext cx="7117371" cy="7117371"/>
        </a:xfrm>
        <a:prstGeom prst="circularArrow">
          <a:avLst>
            <a:gd name="adj1" fmla="val 3994"/>
            <a:gd name="adj2" fmla="val 250541"/>
            <a:gd name="adj3" fmla="val 20572127"/>
            <a:gd name="adj4" fmla="val 18984114"/>
            <a:gd name="adj5" fmla="val 4659"/>
          </a:avLst>
        </a:prstGeom>
        <a:solidFill>
          <a:schemeClr val="accent2">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4E81EA1-A69A-49A0-854F-BF3AAB726D82}">
      <dsp:nvSpPr>
        <dsp:cNvPr id="0" name=""/>
        <dsp:cNvSpPr/>
      </dsp:nvSpPr>
      <dsp:spPr>
        <a:xfrm>
          <a:off x="6750266" y="2831958"/>
          <a:ext cx="1457609" cy="14576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0480" tIns="30480" rIns="30480" bIns="30480" numCol="1" spcCol="1270" anchor="ctr" anchorCtr="0">
          <a:noAutofit/>
        </a:bodyPr>
        <a:lstStyle/>
        <a:p>
          <a:pPr lvl="0" algn="ctr" defTabSz="1066800">
            <a:lnSpc>
              <a:spcPct val="90000"/>
            </a:lnSpc>
            <a:spcBef>
              <a:spcPct val="0"/>
            </a:spcBef>
            <a:spcAft>
              <a:spcPct val="35000"/>
            </a:spcAft>
          </a:pPr>
          <a:r>
            <a:rPr lang="en-CA" sz="2400" kern="1200"/>
            <a:t>Inventory</a:t>
          </a:r>
        </a:p>
      </dsp:txBody>
      <dsp:txXfrm>
        <a:off x="6750266" y="2831958"/>
        <a:ext cx="1457609" cy="1457609"/>
      </dsp:txXfrm>
    </dsp:sp>
    <dsp:sp modelId="{BD5E26FF-2EAD-4EFB-8A8D-0D7509DD6904}">
      <dsp:nvSpPr>
        <dsp:cNvPr id="0" name=""/>
        <dsp:cNvSpPr/>
      </dsp:nvSpPr>
      <dsp:spPr>
        <a:xfrm>
          <a:off x="669619" y="2077"/>
          <a:ext cx="7117371" cy="7117371"/>
        </a:xfrm>
        <a:prstGeom prst="circularArrow">
          <a:avLst>
            <a:gd name="adj1" fmla="val 3994"/>
            <a:gd name="adj2" fmla="val 250541"/>
            <a:gd name="adj3" fmla="val 2365345"/>
            <a:gd name="adj4" fmla="val 777332"/>
            <a:gd name="adj5" fmla="val 4659"/>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514FC0E-4C44-47AF-81F2-99123C4151B6}">
      <dsp:nvSpPr>
        <dsp:cNvPr id="0" name=""/>
        <dsp:cNvSpPr/>
      </dsp:nvSpPr>
      <dsp:spPr>
        <a:xfrm>
          <a:off x="5124883" y="5647204"/>
          <a:ext cx="1457609" cy="14576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0480" tIns="30480" rIns="30480" bIns="30480" numCol="1" spcCol="1270" anchor="ctr" anchorCtr="0">
          <a:noAutofit/>
        </a:bodyPr>
        <a:lstStyle/>
        <a:p>
          <a:pPr lvl="0" algn="ctr" defTabSz="1066800">
            <a:lnSpc>
              <a:spcPct val="90000"/>
            </a:lnSpc>
            <a:spcBef>
              <a:spcPct val="0"/>
            </a:spcBef>
            <a:spcAft>
              <a:spcPct val="35000"/>
            </a:spcAft>
          </a:pPr>
          <a:r>
            <a:rPr lang="en-CA" sz="2400" kern="1200"/>
            <a:t>Production</a:t>
          </a:r>
        </a:p>
      </dsp:txBody>
      <dsp:txXfrm>
        <a:off x="5124883" y="5647204"/>
        <a:ext cx="1457609" cy="1457609"/>
      </dsp:txXfrm>
    </dsp:sp>
    <dsp:sp modelId="{F351F9F3-C24A-4383-B576-FB0B7EE7596C}">
      <dsp:nvSpPr>
        <dsp:cNvPr id="0" name=""/>
        <dsp:cNvSpPr/>
      </dsp:nvSpPr>
      <dsp:spPr>
        <a:xfrm>
          <a:off x="669619" y="2077"/>
          <a:ext cx="7117371" cy="7117371"/>
        </a:xfrm>
        <a:prstGeom prst="circularArrow">
          <a:avLst>
            <a:gd name="adj1" fmla="val 3994"/>
            <a:gd name="adj2" fmla="val 250541"/>
            <a:gd name="adj3" fmla="val 6110059"/>
            <a:gd name="adj4" fmla="val 4439400"/>
            <a:gd name="adj5" fmla="val 4659"/>
          </a:avLst>
        </a:prstGeom>
        <a:solidFill>
          <a:schemeClr val="accent4">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D3533BA-CC58-4A4C-B2D9-B5F82EB36320}">
      <dsp:nvSpPr>
        <dsp:cNvPr id="0" name=""/>
        <dsp:cNvSpPr/>
      </dsp:nvSpPr>
      <dsp:spPr>
        <a:xfrm>
          <a:off x="1874117" y="5647204"/>
          <a:ext cx="1457609" cy="14576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0480" tIns="30480" rIns="30480" bIns="30480" numCol="1" spcCol="1270" anchor="ctr" anchorCtr="0">
          <a:noAutofit/>
        </a:bodyPr>
        <a:lstStyle/>
        <a:p>
          <a:pPr lvl="0" algn="ctr" defTabSz="1066800">
            <a:lnSpc>
              <a:spcPct val="90000"/>
            </a:lnSpc>
            <a:spcBef>
              <a:spcPct val="0"/>
            </a:spcBef>
            <a:spcAft>
              <a:spcPct val="35000"/>
            </a:spcAft>
          </a:pPr>
          <a:r>
            <a:rPr lang="en-CA" sz="2400" kern="1200"/>
            <a:t>Labour</a:t>
          </a:r>
        </a:p>
      </dsp:txBody>
      <dsp:txXfrm>
        <a:off x="1874117" y="5647204"/>
        <a:ext cx="1457609" cy="1457609"/>
      </dsp:txXfrm>
    </dsp:sp>
    <dsp:sp modelId="{58DB411E-E856-4319-82E0-4B2D0A8B5A12}">
      <dsp:nvSpPr>
        <dsp:cNvPr id="0" name=""/>
        <dsp:cNvSpPr/>
      </dsp:nvSpPr>
      <dsp:spPr>
        <a:xfrm>
          <a:off x="669619" y="2077"/>
          <a:ext cx="7117371" cy="7117371"/>
        </a:xfrm>
        <a:prstGeom prst="circularArrow">
          <a:avLst>
            <a:gd name="adj1" fmla="val 3994"/>
            <a:gd name="adj2" fmla="val 250541"/>
            <a:gd name="adj3" fmla="val 9772127"/>
            <a:gd name="adj4" fmla="val 8184114"/>
            <a:gd name="adj5" fmla="val 4659"/>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A683EA3B-D7EC-4B45-B38B-0298BC50CA6F}">
      <dsp:nvSpPr>
        <dsp:cNvPr id="0" name=""/>
        <dsp:cNvSpPr/>
      </dsp:nvSpPr>
      <dsp:spPr>
        <a:xfrm>
          <a:off x="248735" y="2831958"/>
          <a:ext cx="1457609" cy="14576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0480" tIns="30480" rIns="30480" bIns="30480" numCol="1" spcCol="1270" anchor="ctr" anchorCtr="0">
          <a:noAutofit/>
        </a:bodyPr>
        <a:lstStyle/>
        <a:p>
          <a:pPr lvl="0" algn="ctr" defTabSz="1066800">
            <a:lnSpc>
              <a:spcPct val="90000"/>
            </a:lnSpc>
            <a:spcBef>
              <a:spcPct val="0"/>
            </a:spcBef>
            <a:spcAft>
              <a:spcPct val="35000"/>
            </a:spcAft>
          </a:pPr>
          <a:r>
            <a:rPr lang="en-CA" sz="2400" kern="1200"/>
            <a:t>Quality</a:t>
          </a:r>
        </a:p>
      </dsp:txBody>
      <dsp:txXfrm>
        <a:off x="248735" y="2831958"/>
        <a:ext cx="1457609" cy="1457609"/>
      </dsp:txXfrm>
    </dsp:sp>
    <dsp:sp modelId="{1CD00CC9-DA20-4FB8-92A2-BB8F7240FB78}">
      <dsp:nvSpPr>
        <dsp:cNvPr id="0" name=""/>
        <dsp:cNvSpPr/>
      </dsp:nvSpPr>
      <dsp:spPr>
        <a:xfrm>
          <a:off x="669619" y="2077"/>
          <a:ext cx="7117371" cy="7117371"/>
        </a:xfrm>
        <a:prstGeom prst="circularArrow">
          <a:avLst>
            <a:gd name="adj1" fmla="val 3994"/>
            <a:gd name="adj2" fmla="val 250541"/>
            <a:gd name="adj3" fmla="val 13165345"/>
            <a:gd name="adj4" fmla="val 11577332"/>
            <a:gd name="adj5" fmla="val 4659"/>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5A5A79E7-04B9-44C4-97F5-6A6D88E73474}">
      <dsp:nvSpPr>
        <dsp:cNvPr id="0" name=""/>
        <dsp:cNvSpPr/>
      </dsp:nvSpPr>
      <dsp:spPr>
        <a:xfrm>
          <a:off x="1874117" y="16713"/>
          <a:ext cx="1457609" cy="14576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0480" tIns="30480" rIns="30480" bIns="30480" numCol="1" spcCol="1270" anchor="ctr" anchorCtr="0">
          <a:noAutofit/>
        </a:bodyPr>
        <a:lstStyle/>
        <a:p>
          <a:pPr lvl="0" algn="ctr" defTabSz="1066800">
            <a:lnSpc>
              <a:spcPct val="90000"/>
            </a:lnSpc>
            <a:spcBef>
              <a:spcPct val="0"/>
            </a:spcBef>
            <a:spcAft>
              <a:spcPct val="35000"/>
            </a:spcAft>
          </a:pPr>
          <a:r>
            <a:rPr lang="en-CA" sz="2400" kern="1200"/>
            <a:t>Sales</a:t>
          </a:r>
        </a:p>
      </dsp:txBody>
      <dsp:txXfrm>
        <a:off x="1874117" y="16713"/>
        <a:ext cx="1457609" cy="1457609"/>
      </dsp:txXfrm>
    </dsp:sp>
    <dsp:sp modelId="{448DFC1C-4530-45CB-A59B-7A9C99EE56E6}">
      <dsp:nvSpPr>
        <dsp:cNvPr id="0" name=""/>
        <dsp:cNvSpPr/>
      </dsp:nvSpPr>
      <dsp:spPr>
        <a:xfrm>
          <a:off x="669619" y="2077"/>
          <a:ext cx="7117371" cy="7117371"/>
        </a:xfrm>
        <a:prstGeom prst="circularArrow">
          <a:avLst>
            <a:gd name="adj1" fmla="val 3994"/>
            <a:gd name="adj2" fmla="val 250541"/>
            <a:gd name="adj3" fmla="val 16910059"/>
            <a:gd name="adj4" fmla="val 15239400"/>
            <a:gd name="adj5" fmla="val 4659"/>
          </a:avLst>
        </a:prstGeom>
        <a:solidFill>
          <a:schemeClr val="accent2">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D622782-14D1-42AE-B4F0-F2824D4CEE42}">
      <dsp:nvSpPr>
        <dsp:cNvPr id="0" name=""/>
        <dsp:cNvSpPr/>
      </dsp:nvSpPr>
      <dsp:spPr>
        <a:xfrm>
          <a:off x="0" y="0"/>
          <a:ext cx="4664081" cy="508635"/>
        </a:xfrm>
        <a:prstGeom prst="homePlate">
          <a:avLst/>
        </a:prstGeom>
        <a:gradFill rotWithShape="0">
          <a:gsLst>
            <a:gs pos="0">
              <a:schemeClr val="accent5">
                <a:shade val="50000"/>
                <a:hueOff val="0"/>
                <a:satOff val="0"/>
                <a:lumOff val="0"/>
                <a:alphaOff val="0"/>
                <a:lumMod val="110000"/>
                <a:satMod val="105000"/>
                <a:tint val="67000"/>
              </a:schemeClr>
            </a:gs>
            <a:gs pos="50000">
              <a:schemeClr val="accent5">
                <a:shade val="50000"/>
                <a:hueOff val="0"/>
                <a:satOff val="0"/>
                <a:lumOff val="0"/>
                <a:alphaOff val="0"/>
                <a:lumMod val="105000"/>
                <a:satMod val="103000"/>
                <a:tint val="73000"/>
              </a:schemeClr>
            </a:gs>
            <a:gs pos="100000">
              <a:schemeClr val="accent5">
                <a:shade val="50000"/>
                <a:hueOff val="0"/>
                <a:satOff val="0"/>
                <a:lumOff val="0"/>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38684" tIns="69342" rIns="34671" bIns="69342" numCol="1" spcCol="1270" anchor="ctr" anchorCtr="0">
          <a:noAutofit/>
        </a:bodyPr>
        <a:lstStyle/>
        <a:p>
          <a:pPr lvl="0" algn="ctr" defTabSz="1155700">
            <a:lnSpc>
              <a:spcPct val="90000"/>
            </a:lnSpc>
            <a:spcBef>
              <a:spcPct val="0"/>
            </a:spcBef>
            <a:spcAft>
              <a:spcPct val="35000"/>
            </a:spcAft>
          </a:pPr>
          <a:r>
            <a:rPr lang="en-US" sz="2600" b="1" kern="1200"/>
            <a:t>Sales - 1</a:t>
          </a:r>
        </a:p>
      </dsp:txBody>
      <dsp:txXfrm>
        <a:off x="0" y="0"/>
        <a:ext cx="4536922" cy="508635"/>
      </dsp:txXfrm>
    </dsp:sp>
    <dsp:sp modelId="{32062F60-3F57-4051-BB20-A72F896FED62}">
      <dsp:nvSpPr>
        <dsp:cNvPr id="0" name=""/>
        <dsp:cNvSpPr/>
      </dsp:nvSpPr>
      <dsp:spPr>
        <a:xfrm>
          <a:off x="3733657" y="0"/>
          <a:ext cx="4664081" cy="508635"/>
        </a:xfrm>
        <a:prstGeom prst="chevron">
          <a:avLst/>
        </a:prstGeom>
        <a:gradFill rotWithShape="0">
          <a:gsLst>
            <a:gs pos="0">
              <a:schemeClr val="accent5">
                <a:shade val="50000"/>
                <a:hueOff val="160997"/>
                <a:satOff val="-3921"/>
                <a:lumOff val="17158"/>
                <a:alphaOff val="0"/>
                <a:lumMod val="110000"/>
                <a:satMod val="105000"/>
                <a:tint val="67000"/>
              </a:schemeClr>
            </a:gs>
            <a:gs pos="50000">
              <a:schemeClr val="accent5">
                <a:shade val="50000"/>
                <a:hueOff val="160997"/>
                <a:satOff val="-3921"/>
                <a:lumOff val="17158"/>
                <a:alphaOff val="0"/>
                <a:lumMod val="105000"/>
                <a:satMod val="103000"/>
                <a:tint val="73000"/>
              </a:schemeClr>
            </a:gs>
            <a:gs pos="100000">
              <a:schemeClr val="accent5">
                <a:shade val="50000"/>
                <a:hueOff val="160997"/>
                <a:satOff val="-3921"/>
                <a:lumOff val="1715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Sales - 2</a:t>
          </a:r>
        </a:p>
      </dsp:txBody>
      <dsp:txXfrm>
        <a:off x="3987975" y="0"/>
        <a:ext cx="4155446" cy="508635"/>
      </dsp:txXfrm>
    </dsp:sp>
    <dsp:sp modelId="{B7559382-2988-4DC6-B8B4-E448F51E2C3F}">
      <dsp:nvSpPr>
        <dsp:cNvPr id="0" name=""/>
        <dsp:cNvSpPr/>
      </dsp:nvSpPr>
      <dsp:spPr>
        <a:xfrm>
          <a:off x="7464923" y="0"/>
          <a:ext cx="4664081" cy="508635"/>
        </a:xfrm>
        <a:prstGeom prst="chevron">
          <a:avLst/>
        </a:prstGeom>
        <a:gradFill rotWithShape="0">
          <a:gsLst>
            <a:gs pos="0">
              <a:schemeClr val="accent5">
                <a:shade val="50000"/>
                <a:hueOff val="321995"/>
                <a:satOff val="-7842"/>
                <a:lumOff val="34317"/>
                <a:alphaOff val="0"/>
                <a:lumMod val="110000"/>
                <a:satMod val="105000"/>
                <a:tint val="67000"/>
              </a:schemeClr>
            </a:gs>
            <a:gs pos="50000">
              <a:schemeClr val="accent5">
                <a:shade val="50000"/>
                <a:hueOff val="321995"/>
                <a:satOff val="-7842"/>
                <a:lumOff val="34317"/>
                <a:alphaOff val="0"/>
                <a:lumMod val="105000"/>
                <a:satMod val="103000"/>
                <a:tint val="73000"/>
              </a:schemeClr>
            </a:gs>
            <a:gs pos="100000">
              <a:schemeClr val="accent5">
                <a:shade val="50000"/>
                <a:hueOff val="321995"/>
                <a:satOff val="-7842"/>
                <a:lumOff val="3431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Sales - 3</a:t>
          </a:r>
        </a:p>
      </dsp:txBody>
      <dsp:txXfrm>
        <a:off x="7719241" y="0"/>
        <a:ext cx="4155446" cy="508635"/>
      </dsp:txXfrm>
    </dsp:sp>
    <dsp:sp modelId="{3A852B8A-C7E4-4BA4-9E06-E037E13ACA03}">
      <dsp:nvSpPr>
        <dsp:cNvPr id="0" name=""/>
        <dsp:cNvSpPr/>
      </dsp:nvSpPr>
      <dsp:spPr>
        <a:xfrm>
          <a:off x="11196188" y="0"/>
          <a:ext cx="4664081" cy="508635"/>
        </a:xfrm>
        <a:prstGeom prst="chevron">
          <a:avLst/>
        </a:prstGeom>
        <a:gradFill rotWithShape="0">
          <a:gsLst>
            <a:gs pos="0">
              <a:schemeClr val="accent5">
                <a:shade val="50000"/>
                <a:hueOff val="321995"/>
                <a:satOff val="-7842"/>
                <a:lumOff val="34317"/>
                <a:alphaOff val="0"/>
                <a:lumMod val="110000"/>
                <a:satMod val="105000"/>
                <a:tint val="67000"/>
              </a:schemeClr>
            </a:gs>
            <a:gs pos="50000">
              <a:schemeClr val="accent5">
                <a:shade val="50000"/>
                <a:hueOff val="321995"/>
                <a:satOff val="-7842"/>
                <a:lumOff val="34317"/>
                <a:alphaOff val="0"/>
                <a:lumMod val="105000"/>
                <a:satMod val="103000"/>
                <a:tint val="73000"/>
              </a:schemeClr>
            </a:gs>
            <a:gs pos="100000">
              <a:schemeClr val="accent5">
                <a:shade val="50000"/>
                <a:hueOff val="321995"/>
                <a:satOff val="-7842"/>
                <a:lumOff val="3431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Sales - 4</a:t>
          </a:r>
        </a:p>
      </dsp:txBody>
      <dsp:txXfrm>
        <a:off x="11450506" y="0"/>
        <a:ext cx="4155446" cy="508635"/>
      </dsp:txXfrm>
    </dsp:sp>
    <dsp:sp modelId="{7A8DE90E-A005-4D41-B837-44DC78FB8B4D}">
      <dsp:nvSpPr>
        <dsp:cNvPr id="0" name=""/>
        <dsp:cNvSpPr/>
      </dsp:nvSpPr>
      <dsp:spPr>
        <a:xfrm>
          <a:off x="14927454" y="0"/>
          <a:ext cx="4664081" cy="508635"/>
        </a:xfrm>
        <a:prstGeom prst="chevron">
          <a:avLst/>
        </a:prstGeom>
        <a:gradFill rotWithShape="0">
          <a:gsLst>
            <a:gs pos="0">
              <a:schemeClr val="accent5">
                <a:shade val="50000"/>
                <a:hueOff val="160997"/>
                <a:satOff val="-3921"/>
                <a:lumOff val="17158"/>
                <a:alphaOff val="0"/>
                <a:lumMod val="110000"/>
                <a:satMod val="105000"/>
                <a:tint val="67000"/>
              </a:schemeClr>
            </a:gs>
            <a:gs pos="50000">
              <a:schemeClr val="accent5">
                <a:shade val="50000"/>
                <a:hueOff val="160997"/>
                <a:satOff val="-3921"/>
                <a:lumOff val="17158"/>
                <a:alphaOff val="0"/>
                <a:lumMod val="105000"/>
                <a:satMod val="103000"/>
                <a:tint val="73000"/>
              </a:schemeClr>
            </a:gs>
            <a:gs pos="100000">
              <a:schemeClr val="accent5">
                <a:shade val="50000"/>
                <a:hueOff val="160997"/>
                <a:satOff val="-3921"/>
                <a:lumOff val="1715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Sales - 5</a:t>
          </a:r>
        </a:p>
      </dsp:txBody>
      <dsp:txXfrm>
        <a:off x="15181772" y="0"/>
        <a:ext cx="4155446" cy="508635"/>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6CBF02-DC86-4508-8542-3E44130721BF}">
      <dsp:nvSpPr>
        <dsp:cNvPr id="0" name=""/>
        <dsp:cNvSpPr/>
      </dsp:nvSpPr>
      <dsp:spPr>
        <a:xfrm>
          <a:off x="2388" y="0"/>
          <a:ext cx="4657797" cy="441960"/>
        </a:xfrm>
        <a:prstGeom prst="homePlate">
          <a:avLst/>
        </a:prstGeom>
        <a:gradFill rotWithShape="0">
          <a:gsLst>
            <a:gs pos="0">
              <a:schemeClr val="accent6">
                <a:shade val="80000"/>
                <a:hueOff val="0"/>
                <a:satOff val="0"/>
                <a:lumOff val="0"/>
                <a:alphaOff val="0"/>
                <a:lumMod val="110000"/>
                <a:satMod val="105000"/>
                <a:tint val="67000"/>
              </a:schemeClr>
            </a:gs>
            <a:gs pos="50000">
              <a:schemeClr val="accent6">
                <a:shade val="80000"/>
                <a:hueOff val="0"/>
                <a:satOff val="0"/>
                <a:lumOff val="0"/>
                <a:alphaOff val="0"/>
                <a:lumMod val="105000"/>
                <a:satMod val="103000"/>
                <a:tint val="73000"/>
              </a:schemeClr>
            </a:gs>
            <a:gs pos="100000">
              <a:schemeClr val="accent6">
                <a:shade val="80000"/>
                <a:hueOff val="0"/>
                <a:satOff val="0"/>
                <a:lumOff val="0"/>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38684" tIns="69342" rIns="34671" bIns="69342" numCol="1" spcCol="1270" anchor="ctr" anchorCtr="0">
          <a:noAutofit/>
        </a:bodyPr>
        <a:lstStyle/>
        <a:p>
          <a:pPr lvl="0" algn="ctr" defTabSz="1155700">
            <a:lnSpc>
              <a:spcPct val="90000"/>
            </a:lnSpc>
            <a:spcBef>
              <a:spcPct val="0"/>
            </a:spcBef>
            <a:spcAft>
              <a:spcPct val="35000"/>
            </a:spcAft>
          </a:pPr>
          <a:r>
            <a:rPr lang="en-US" sz="2600" b="1" kern="1200"/>
            <a:t>Quotes - 1</a:t>
          </a:r>
        </a:p>
      </dsp:txBody>
      <dsp:txXfrm>
        <a:off x="2388" y="0"/>
        <a:ext cx="4547307" cy="441960"/>
      </dsp:txXfrm>
    </dsp:sp>
    <dsp:sp modelId="{DB5DB179-7DB3-4B3B-9A28-41AD303FED69}">
      <dsp:nvSpPr>
        <dsp:cNvPr id="0" name=""/>
        <dsp:cNvSpPr/>
      </dsp:nvSpPr>
      <dsp:spPr>
        <a:xfrm>
          <a:off x="3728626" y="0"/>
          <a:ext cx="4657797" cy="441960"/>
        </a:xfrm>
        <a:prstGeom prst="chevron">
          <a:avLst/>
        </a:prstGeom>
        <a:gradFill rotWithShape="0">
          <a:gsLst>
            <a:gs pos="0">
              <a:schemeClr val="accent6">
                <a:shade val="80000"/>
                <a:hueOff val="80320"/>
                <a:satOff val="-3227"/>
                <a:lumOff val="6907"/>
                <a:alphaOff val="0"/>
                <a:lumMod val="110000"/>
                <a:satMod val="105000"/>
                <a:tint val="67000"/>
              </a:schemeClr>
            </a:gs>
            <a:gs pos="50000">
              <a:schemeClr val="accent6">
                <a:shade val="80000"/>
                <a:hueOff val="80320"/>
                <a:satOff val="-3227"/>
                <a:lumOff val="6907"/>
                <a:alphaOff val="0"/>
                <a:lumMod val="105000"/>
                <a:satMod val="103000"/>
                <a:tint val="73000"/>
              </a:schemeClr>
            </a:gs>
            <a:gs pos="100000">
              <a:schemeClr val="accent6">
                <a:shade val="80000"/>
                <a:hueOff val="80320"/>
                <a:satOff val="-3227"/>
                <a:lumOff val="690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Quotes</a:t>
          </a:r>
          <a:r>
            <a:rPr lang="en-US" sz="2200" b="1" kern="1200"/>
            <a:t> - 2</a:t>
          </a:r>
        </a:p>
      </dsp:txBody>
      <dsp:txXfrm>
        <a:off x="3949606" y="0"/>
        <a:ext cx="4215837" cy="441960"/>
      </dsp:txXfrm>
    </dsp:sp>
    <dsp:sp modelId="{48FE7061-F792-42CA-A499-01297EB8A9B3}">
      <dsp:nvSpPr>
        <dsp:cNvPr id="0" name=""/>
        <dsp:cNvSpPr/>
      </dsp:nvSpPr>
      <dsp:spPr>
        <a:xfrm>
          <a:off x="7454864" y="0"/>
          <a:ext cx="4657797" cy="441960"/>
        </a:xfrm>
        <a:prstGeom prst="chevron">
          <a:avLst/>
        </a:prstGeom>
        <a:gradFill rotWithShape="0">
          <a:gsLst>
            <a:gs pos="0">
              <a:schemeClr val="accent6">
                <a:shade val="80000"/>
                <a:hueOff val="160640"/>
                <a:satOff val="-6455"/>
                <a:lumOff val="13814"/>
                <a:alphaOff val="0"/>
                <a:lumMod val="110000"/>
                <a:satMod val="105000"/>
                <a:tint val="67000"/>
              </a:schemeClr>
            </a:gs>
            <a:gs pos="50000">
              <a:schemeClr val="accent6">
                <a:shade val="80000"/>
                <a:hueOff val="160640"/>
                <a:satOff val="-6455"/>
                <a:lumOff val="13814"/>
                <a:alphaOff val="0"/>
                <a:lumMod val="105000"/>
                <a:satMod val="103000"/>
                <a:tint val="73000"/>
              </a:schemeClr>
            </a:gs>
            <a:gs pos="100000">
              <a:schemeClr val="accent6">
                <a:shade val="80000"/>
                <a:hueOff val="160640"/>
                <a:satOff val="-6455"/>
                <a:lumOff val="13814"/>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Quotes</a:t>
          </a:r>
          <a:r>
            <a:rPr lang="en-US" sz="2200" b="1" kern="1200"/>
            <a:t> - 3</a:t>
          </a:r>
        </a:p>
      </dsp:txBody>
      <dsp:txXfrm>
        <a:off x="7675844" y="0"/>
        <a:ext cx="4215837" cy="441960"/>
      </dsp:txXfrm>
    </dsp:sp>
    <dsp:sp modelId="{AF4CD630-08C7-4349-9B18-45B33E8184E5}">
      <dsp:nvSpPr>
        <dsp:cNvPr id="0" name=""/>
        <dsp:cNvSpPr/>
      </dsp:nvSpPr>
      <dsp:spPr>
        <a:xfrm>
          <a:off x="11181102" y="0"/>
          <a:ext cx="4657797" cy="441960"/>
        </a:xfrm>
        <a:prstGeom prst="chevron">
          <a:avLst/>
        </a:prstGeom>
        <a:gradFill rotWithShape="0">
          <a:gsLst>
            <a:gs pos="0">
              <a:schemeClr val="accent6">
                <a:shade val="80000"/>
                <a:hueOff val="240960"/>
                <a:satOff val="-9682"/>
                <a:lumOff val="20721"/>
                <a:alphaOff val="0"/>
                <a:lumMod val="110000"/>
                <a:satMod val="105000"/>
                <a:tint val="67000"/>
              </a:schemeClr>
            </a:gs>
            <a:gs pos="50000">
              <a:schemeClr val="accent6">
                <a:shade val="80000"/>
                <a:hueOff val="240960"/>
                <a:satOff val="-9682"/>
                <a:lumOff val="20721"/>
                <a:alphaOff val="0"/>
                <a:lumMod val="105000"/>
                <a:satMod val="103000"/>
                <a:tint val="73000"/>
              </a:schemeClr>
            </a:gs>
            <a:gs pos="100000">
              <a:schemeClr val="accent6">
                <a:shade val="80000"/>
                <a:hueOff val="240960"/>
                <a:satOff val="-9682"/>
                <a:lumOff val="20721"/>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Quotes - </a:t>
          </a:r>
          <a:r>
            <a:rPr lang="en-US" sz="2600" b="1" kern="1200">
              <a:latin typeface="Arial" panose="020B0604020202020204" pitchFamily="34" charset="0"/>
              <a:cs typeface="Arial" panose="020B0604020202020204" pitchFamily="34" charset="0"/>
            </a:rPr>
            <a:t>4</a:t>
          </a:r>
          <a:endParaRPr lang="en-US" sz="2200" b="1" kern="1200">
            <a:latin typeface="Arial" panose="020B0604020202020204" pitchFamily="34" charset="0"/>
            <a:cs typeface="Arial" panose="020B0604020202020204" pitchFamily="34" charset="0"/>
          </a:endParaRPr>
        </a:p>
      </dsp:txBody>
      <dsp:txXfrm>
        <a:off x="11402082" y="0"/>
        <a:ext cx="4215837" cy="441960"/>
      </dsp:txXfrm>
    </dsp:sp>
    <dsp:sp modelId="{7790C8DD-8E39-4C90-B34D-66C8AA90A200}">
      <dsp:nvSpPr>
        <dsp:cNvPr id="0" name=""/>
        <dsp:cNvSpPr/>
      </dsp:nvSpPr>
      <dsp:spPr>
        <a:xfrm>
          <a:off x="14907340" y="0"/>
          <a:ext cx="4657797" cy="441960"/>
        </a:xfrm>
        <a:prstGeom prst="chevron">
          <a:avLst/>
        </a:prstGeom>
        <a:gradFill rotWithShape="0">
          <a:gsLst>
            <a:gs pos="0">
              <a:schemeClr val="accent6">
                <a:shade val="80000"/>
                <a:hueOff val="321280"/>
                <a:satOff val="-12909"/>
                <a:lumOff val="27628"/>
                <a:alphaOff val="0"/>
                <a:lumMod val="110000"/>
                <a:satMod val="105000"/>
                <a:tint val="67000"/>
              </a:schemeClr>
            </a:gs>
            <a:gs pos="50000">
              <a:schemeClr val="accent6">
                <a:shade val="80000"/>
                <a:hueOff val="321280"/>
                <a:satOff val="-12909"/>
                <a:lumOff val="27628"/>
                <a:alphaOff val="0"/>
                <a:lumMod val="105000"/>
                <a:satMod val="103000"/>
                <a:tint val="73000"/>
              </a:schemeClr>
            </a:gs>
            <a:gs pos="100000">
              <a:schemeClr val="accent6">
                <a:shade val="80000"/>
                <a:hueOff val="321280"/>
                <a:satOff val="-12909"/>
                <a:lumOff val="2762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Inventory</a:t>
          </a:r>
          <a:r>
            <a:rPr lang="en-US" sz="2200" b="1" kern="1200"/>
            <a:t> - 1</a:t>
          </a:r>
        </a:p>
      </dsp:txBody>
      <dsp:txXfrm>
        <a:off x="15128320" y="0"/>
        <a:ext cx="4215837" cy="441960"/>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6CBF02-DC86-4508-8542-3E44130721BF}">
      <dsp:nvSpPr>
        <dsp:cNvPr id="0" name=""/>
        <dsp:cNvSpPr/>
      </dsp:nvSpPr>
      <dsp:spPr>
        <a:xfrm>
          <a:off x="2390" y="0"/>
          <a:ext cx="4661575" cy="365760"/>
        </a:xfrm>
        <a:prstGeom prst="homePlate">
          <a:avLst/>
        </a:prstGeom>
        <a:gradFill rotWithShape="0">
          <a:gsLst>
            <a:gs pos="0">
              <a:schemeClr val="accent5">
                <a:shade val="50000"/>
                <a:hueOff val="0"/>
                <a:satOff val="0"/>
                <a:lumOff val="0"/>
                <a:alphaOff val="0"/>
                <a:lumMod val="110000"/>
                <a:satMod val="105000"/>
                <a:tint val="67000"/>
              </a:schemeClr>
            </a:gs>
            <a:gs pos="50000">
              <a:schemeClr val="accent5">
                <a:shade val="50000"/>
                <a:hueOff val="0"/>
                <a:satOff val="0"/>
                <a:lumOff val="0"/>
                <a:alphaOff val="0"/>
                <a:lumMod val="105000"/>
                <a:satMod val="103000"/>
                <a:tint val="73000"/>
              </a:schemeClr>
            </a:gs>
            <a:gs pos="100000">
              <a:schemeClr val="accent5">
                <a:shade val="50000"/>
                <a:hueOff val="0"/>
                <a:satOff val="0"/>
                <a:lumOff val="0"/>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38684" tIns="69342" rIns="34671" bIns="69342" numCol="1" spcCol="1270" anchor="ctr" anchorCtr="0">
          <a:noAutofit/>
        </a:bodyPr>
        <a:lstStyle/>
        <a:p>
          <a:pPr lvl="0" algn="ctr" defTabSz="1155700">
            <a:lnSpc>
              <a:spcPct val="90000"/>
            </a:lnSpc>
            <a:spcBef>
              <a:spcPct val="0"/>
            </a:spcBef>
            <a:spcAft>
              <a:spcPct val="35000"/>
            </a:spcAft>
          </a:pPr>
          <a:r>
            <a:rPr lang="en-US" sz="2600" b="1" kern="1200"/>
            <a:t>Quality</a:t>
          </a:r>
          <a:r>
            <a:rPr lang="en-US" sz="1800" b="1" kern="1200"/>
            <a:t> -</a:t>
          </a:r>
          <a:r>
            <a:rPr lang="en-US" sz="2600" b="1" kern="1200"/>
            <a:t> 1</a:t>
          </a:r>
        </a:p>
      </dsp:txBody>
      <dsp:txXfrm>
        <a:off x="2390" y="0"/>
        <a:ext cx="4570135" cy="365760"/>
      </dsp:txXfrm>
    </dsp:sp>
    <dsp:sp modelId="{DB5DB179-7DB3-4B3B-9A28-41AD303FED69}">
      <dsp:nvSpPr>
        <dsp:cNvPr id="0" name=""/>
        <dsp:cNvSpPr/>
      </dsp:nvSpPr>
      <dsp:spPr>
        <a:xfrm>
          <a:off x="3731651" y="0"/>
          <a:ext cx="4661575" cy="365760"/>
        </a:xfrm>
        <a:prstGeom prst="chevron">
          <a:avLst/>
        </a:prstGeom>
        <a:gradFill rotWithShape="0">
          <a:gsLst>
            <a:gs pos="0">
              <a:schemeClr val="accent5">
                <a:shade val="50000"/>
                <a:hueOff val="160997"/>
                <a:satOff val="-3921"/>
                <a:lumOff val="17158"/>
                <a:alphaOff val="0"/>
                <a:lumMod val="110000"/>
                <a:satMod val="105000"/>
                <a:tint val="67000"/>
              </a:schemeClr>
            </a:gs>
            <a:gs pos="50000">
              <a:schemeClr val="accent5">
                <a:shade val="50000"/>
                <a:hueOff val="160997"/>
                <a:satOff val="-3921"/>
                <a:lumOff val="17158"/>
                <a:alphaOff val="0"/>
                <a:lumMod val="105000"/>
                <a:satMod val="103000"/>
                <a:tint val="73000"/>
              </a:schemeClr>
            </a:gs>
            <a:gs pos="100000">
              <a:schemeClr val="accent5">
                <a:shade val="50000"/>
                <a:hueOff val="160997"/>
                <a:satOff val="-3921"/>
                <a:lumOff val="1715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Quality</a:t>
          </a:r>
          <a:r>
            <a:rPr lang="en-US" sz="1800" b="1" kern="1200"/>
            <a:t> -</a:t>
          </a:r>
          <a:r>
            <a:rPr lang="en-US" sz="2600" b="1" kern="1200"/>
            <a:t> 2</a:t>
          </a:r>
        </a:p>
      </dsp:txBody>
      <dsp:txXfrm>
        <a:off x="3914531" y="0"/>
        <a:ext cx="4295815" cy="365760"/>
      </dsp:txXfrm>
    </dsp:sp>
    <dsp:sp modelId="{48FE7061-F792-42CA-A499-01297EB8A9B3}">
      <dsp:nvSpPr>
        <dsp:cNvPr id="0" name=""/>
        <dsp:cNvSpPr/>
      </dsp:nvSpPr>
      <dsp:spPr>
        <a:xfrm>
          <a:off x="7460912" y="0"/>
          <a:ext cx="4661575" cy="365760"/>
        </a:xfrm>
        <a:prstGeom prst="chevron">
          <a:avLst/>
        </a:prstGeom>
        <a:gradFill rotWithShape="0">
          <a:gsLst>
            <a:gs pos="0">
              <a:schemeClr val="accent5">
                <a:shade val="50000"/>
                <a:hueOff val="321995"/>
                <a:satOff val="-7842"/>
                <a:lumOff val="34317"/>
                <a:alphaOff val="0"/>
                <a:lumMod val="110000"/>
                <a:satMod val="105000"/>
                <a:tint val="67000"/>
              </a:schemeClr>
            </a:gs>
            <a:gs pos="50000">
              <a:schemeClr val="accent5">
                <a:shade val="50000"/>
                <a:hueOff val="321995"/>
                <a:satOff val="-7842"/>
                <a:lumOff val="34317"/>
                <a:alphaOff val="0"/>
                <a:lumMod val="105000"/>
                <a:satMod val="103000"/>
                <a:tint val="73000"/>
              </a:schemeClr>
            </a:gs>
            <a:gs pos="100000">
              <a:schemeClr val="accent5">
                <a:shade val="50000"/>
                <a:hueOff val="321995"/>
                <a:satOff val="-7842"/>
                <a:lumOff val="3431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Quality - 3</a:t>
          </a:r>
        </a:p>
      </dsp:txBody>
      <dsp:txXfrm>
        <a:off x="7643792" y="0"/>
        <a:ext cx="4295815" cy="365760"/>
      </dsp:txXfrm>
    </dsp:sp>
    <dsp:sp modelId="{B6E68E44-6B6F-428A-907A-C68399948EE5}">
      <dsp:nvSpPr>
        <dsp:cNvPr id="0" name=""/>
        <dsp:cNvSpPr/>
      </dsp:nvSpPr>
      <dsp:spPr>
        <a:xfrm>
          <a:off x="11190172" y="0"/>
          <a:ext cx="4661575" cy="365760"/>
        </a:xfrm>
        <a:prstGeom prst="chevron">
          <a:avLst/>
        </a:prstGeom>
        <a:gradFill rotWithShape="0">
          <a:gsLst>
            <a:gs pos="0">
              <a:schemeClr val="accent5">
                <a:shade val="50000"/>
                <a:hueOff val="321995"/>
                <a:satOff val="-7842"/>
                <a:lumOff val="34317"/>
                <a:alphaOff val="0"/>
                <a:lumMod val="110000"/>
                <a:satMod val="105000"/>
                <a:tint val="67000"/>
              </a:schemeClr>
            </a:gs>
            <a:gs pos="50000">
              <a:schemeClr val="accent5">
                <a:shade val="50000"/>
                <a:hueOff val="321995"/>
                <a:satOff val="-7842"/>
                <a:lumOff val="34317"/>
                <a:alphaOff val="0"/>
                <a:lumMod val="105000"/>
                <a:satMod val="103000"/>
                <a:tint val="73000"/>
              </a:schemeClr>
            </a:gs>
            <a:gs pos="100000">
              <a:schemeClr val="accent5">
                <a:shade val="50000"/>
                <a:hueOff val="321995"/>
                <a:satOff val="-7842"/>
                <a:lumOff val="3431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Quality - 4</a:t>
          </a:r>
        </a:p>
      </dsp:txBody>
      <dsp:txXfrm>
        <a:off x="11373052" y="0"/>
        <a:ext cx="4295815" cy="365760"/>
      </dsp:txXfrm>
    </dsp:sp>
    <dsp:sp modelId="{ADA31E01-8E59-4903-B1EE-8EC7F298AEAD}">
      <dsp:nvSpPr>
        <dsp:cNvPr id="0" name=""/>
        <dsp:cNvSpPr/>
      </dsp:nvSpPr>
      <dsp:spPr>
        <a:xfrm>
          <a:off x="14919433" y="0"/>
          <a:ext cx="4661575" cy="365760"/>
        </a:xfrm>
        <a:prstGeom prst="chevron">
          <a:avLst/>
        </a:prstGeom>
        <a:gradFill rotWithShape="0">
          <a:gsLst>
            <a:gs pos="0">
              <a:schemeClr val="accent5">
                <a:shade val="50000"/>
                <a:hueOff val="160997"/>
                <a:satOff val="-3921"/>
                <a:lumOff val="17158"/>
                <a:alphaOff val="0"/>
                <a:lumMod val="110000"/>
                <a:satMod val="105000"/>
                <a:tint val="67000"/>
              </a:schemeClr>
            </a:gs>
            <a:gs pos="50000">
              <a:schemeClr val="accent5">
                <a:shade val="50000"/>
                <a:hueOff val="160997"/>
                <a:satOff val="-3921"/>
                <a:lumOff val="17158"/>
                <a:alphaOff val="0"/>
                <a:lumMod val="105000"/>
                <a:satMod val="103000"/>
                <a:tint val="73000"/>
              </a:schemeClr>
            </a:gs>
            <a:gs pos="100000">
              <a:schemeClr val="accent5">
                <a:shade val="50000"/>
                <a:hueOff val="160997"/>
                <a:satOff val="-3921"/>
                <a:lumOff val="1715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Inventory - 2</a:t>
          </a:r>
        </a:p>
      </dsp:txBody>
      <dsp:txXfrm>
        <a:off x="15102313" y="0"/>
        <a:ext cx="4295815" cy="365760"/>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1BD8BD4-2B87-48E7-8E98-8395C85C96B5}">
      <dsp:nvSpPr>
        <dsp:cNvPr id="0" name=""/>
        <dsp:cNvSpPr/>
      </dsp:nvSpPr>
      <dsp:spPr>
        <a:xfrm>
          <a:off x="0" y="0"/>
          <a:ext cx="4664693" cy="365760"/>
        </a:xfrm>
        <a:prstGeom prst="homePlate">
          <a:avLst/>
        </a:prstGeom>
        <a:gradFill rotWithShape="0">
          <a:gsLst>
            <a:gs pos="0">
              <a:schemeClr val="accent6">
                <a:shade val="80000"/>
                <a:hueOff val="0"/>
                <a:satOff val="0"/>
                <a:lumOff val="0"/>
                <a:alphaOff val="0"/>
                <a:lumMod val="110000"/>
                <a:satMod val="105000"/>
                <a:tint val="67000"/>
              </a:schemeClr>
            </a:gs>
            <a:gs pos="50000">
              <a:schemeClr val="accent6">
                <a:shade val="80000"/>
                <a:hueOff val="0"/>
                <a:satOff val="0"/>
                <a:lumOff val="0"/>
                <a:alphaOff val="0"/>
                <a:lumMod val="105000"/>
                <a:satMod val="103000"/>
                <a:tint val="73000"/>
              </a:schemeClr>
            </a:gs>
            <a:gs pos="100000">
              <a:schemeClr val="accent6">
                <a:shade val="80000"/>
                <a:hueOff val="0"/>
                <a:satOff val="0"/>
                <a:lumOff val="0"/>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38684" tIns="69342" rIns="34671" bIns="69342" numCol="1" spcCol="1270" anchor="ctr" anchorCtr="0">
          <a:noAutofit/>
        </a:bodyPr>
        <a:lstStyle/>
        <a:p>
          <a:pPr lvl="0" algn="ctr" defTabSz="1155700">
            <a:lnSpc>
              <a:spcPct val="90000"/>
            </a:lnSpc>
            <a:spcBef>
              <a:spcPct val="0"/>
            </a:spcBef>
            <a:spcAft>
              <a:spcPct val="35000"/>
            </a:spcAft>
          </a:pPr>
          <a:r>
            <a:rPr lang="en-US" sz="2600" b="1" kern="1200"/>
            <a:t>Production - 1</a:t>
          </a:r>
        </a:p>
      </dsp:txBody>
      <dsp:txXfrm>
        <a:off x="0" y="0"/>
        <a:ext cx="4573253" cy="365760"/>
      </dsp:txXfrm>
    </dsp:sp>
    <dsp:sp modelId="{DB5DB179-7DB3-4B3B-9A28-41AD303FED69}">
      <dsp:nvSpPr>
        <dsp:cNvPr id="0" name=""/>
        <dsp:cNvSpPr/>
      </dsp:nvSpPr>
      <dsp:spPr>
        <a:xfrm>
          <a:off x="3734146" y="0"/>
          <a:ext cx="4664693" cy="365760"/>
        </a:xfrm>
        <a:prstGeom prst="chevron">
          <a:avLst/>
        </a:prstGeom>
        <a:gradFill rotWithShape="0">
          <a:gsLst>
            <a:gs pos="0">
              <a:schemeClr val="accent6">
                <a:shade val="80000"/>
                <a:hueOff val="80320"/>
                <a:satOff val="-3227"/>
                <a:lumOff val="6907"/>
                <a:alphaOff val="0"/>
                <a:lumMod val="110000"/>
                <a:satMod val="105000"/>
                <a:tint val="67000"/>
              </a:schemeClr>
            </a:gs>
            <a:gs pos="50000">
              <a:schemeClr val="accent6">
                <a:shade val="80000"/>
                <a:hueOff val="80320"/>
                <a:satOff val="-3227"/>
                <a:lumOff val="6907"/>
                <a:alphaOff val="0"/>
                <a:lumMod val="105000"/>
                <a:satMod val="103000"/>
                <a:tint val="73000"/>
              </a:schemeClr>
            </a:gs>
            <a:gs pos="100000">
              <a:schemeClr val="accent6">
                <a:shade val="80000"/>
                <a:hueOff val="80320"/>
                <a:satOff val="-3227"/>
                <a:lumOff val="690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Production - 2 </a:t>
          </a:r>
        </a:p>
      </dsp:txBody>
      <dsp:txXfrm>
        <a:off x="3917026" y="0"/>
        <a:ext cx="4298933" cy="365760"/>
      </dsp:txXfrm>
    </dsp:sp>
    <dsp:sp modelId="{48FE7061-F792-42CA-A499-01297EB8A9B3}">
      <dsp:nvSpPr>
        <dsp:cNvPr id="0" name=""/>
        <dsp:cNvSpPr/>
      </dsp:nvSpPr>
      <dsp:spPr>
        <a:xfrm>
          <a:off x="7465901" y="0"/>
          <a:ext cx="4664693" cy="365760"/>
        </a:xfrm>
        <a:prstGeom prst="chevron">
          <a:avLst/>
        </a:prstGeom>
        <a:gradFill rotWithShape="0">
          <a:gsLst>
            <a:gs pos="0">
              <a:schemeClr val="accent6">
                <a:shade val="80000"/>
                <a:hueOff val="160640"/>
                <a:satOff val="-6455"/>
                <a:lumOff val="13814"/>
                <a:alphaOff val="0"/>
                <a:lumMod val="110000"/>
                <a:satMod val="105000"/>
                <a:tint val="67000"/>
              </a:schemeClr>
            </a:gs>
            <a:gs pos="50000">
              <a:schemeClr val="accent6">
                <a:shade val="80000"/>
                <a:hueOff val="160640"/>
                <a:satOff val="-6455"/>
                <a:lumOff val="13814"/>
                <a:alphaOff val="0"/>
                <a:lumMod val="105000"/>
                <a:satMod val="103000"/>
                <a:tint val="73000"/>
              </a:schemeClr>
            </a:gs>
            <a:gs pos="100000">
              <a:schemeClr val="accent6">
                <a:shade val="80000"/>
                <a:hueOff val="160640"/>
                <a:satOff val="-6455"/>
                <a:lumOff val="13814"/>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Production - 3</a:t>
          </a:r>
        </a:p>
      </dsp:txBody>
      <dsp:txXfrm>
        <a:off x="7648781" y="0"/>
        <a:ext cx="4298933" cy="365760"/>
      </dsp:txXfrm>
    </dsp:sp>
    <dsp:sp modelId="{C13F899C-91E6-4636-AD29-2522F0E6CC4C}">
      <dsp:nvSpPr>
        <dsp:cNvPr id="0" name=""/>
        <dsp:cNvSpPr/>
      </dsp:nvSpPr>
      <dsp:spPr>
        <a:xfrm>
          <a:off x="11197656" y="0"/>
          <a:ext cx="4664693" cy="365760"/>
        </a:xfrm>
        <a:prstGeom prst="chevron">
          <a:avLst/>
        </a:prstGeom>
        <a:gradFill rotWithShape="0">
          <a:gsLst>
            <a:gs pos="0">
              <a:schemeClr val="accent6">
                <a:shade val="80000"/>
                <a:hueOff val="240960"/>
                <a:satOff val="-9682"/>
                <a:lumOff val="20721"/>
                <a:alphaOff val="0"/>
                <a:lumMod val="110000"/>
                <a:satMod val="105000"/>
                <a:tint val="67000"/>
              </a:schemeClr>
            </a:gs>
            <a:gs pos="50000">
              <a:schemeClr val="accent6">
                <a:shade val="80000"/>
                <a:hueOff val="240960"/>
                <a:satOff val="-9682"/>
                <a:lumOff val="20721"/>
                <a:alphaOff val="0"/>
                <a:lumMod val="105000"/>
                <a:satMod val="103000"/>
                <a:tint val="73000"/>
              </a:schemeClr>
            </a:gs>
            <a:gs pos="100000">
              <a:schemeClr val="accent6">
                <a:shade val="80000"/>
                <a:hueOff val="240960"/>
                <a:satOff val="-9682"/>
                <a:lumOff val="20721"/>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Production - 4</a:t>
          </a:r>
        </a:p>
      </dsp:txBody>
      <dsp:txXfrm>
        <a:off x="11380536" y="0"/>
        <a:ext cx="4298933" cy="365760"/>
      </dsp:txXfrm>
    </dsp:sp>
    <dsp:sp modelId="{B6E68E44-6B6F-428A-907A-C68399948EE5}">
      <dsp:nvSpPr>
        <dsp:cNvPr id="0" name=""/>
        <dsp:cNvSpPr/>
      </dsp:nvSpPr>
      <dsp:spPr>
        <a:xfrm>
          <a:off x="14929411" y="0"/>
          <a:ext cx="4664693" cy="365760"/>
        </a:xfrm>
        <a:prstGeom prst="chevron">
          <a:avLst/>
        </a:prstGeom>
        <a:gradFill rotWithShape="0">
          <a:gsLst>
            <a:gs pos="0">
              <a:schemeClr val="accent6">
                <a:shade val="80000"/>
                <a:hueOff val="321280"/>
                <a:satOff val="-12909"/>
                <a:lumOff val="27628"/>
                <a:alphaOff val="0"/>
                <a:lumMod val="110000"/>
                <a:satMod val="105000"/>
                <a:tint val="67000"/>
              </a:schemeClr>
            </a:gs>
            <a:gs pos="50000">
              <a:schemeClr val="accent6">
                <a:shade val="80000"/>
                <a:hueOff val="321280"/>
                <a:satOff val="-12909"/>
                <a:lumOff val="27628"/>
                <a:alphaOff val="0"/>
                <a:lumMod val="105000"/>
                <a:satMod val="103000"/>
                <a:tint val="73000"/>
              </a:schemeClr>
            </a:gs>
            <a:gs pos="100000">
              <a:schemeClr val="accent6">
                <a:shade val="80000"/>
                <a:hueOff val="321280"/>
                <a:satOff val="-12909"/>
                <a:lumOff val="2762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Production - 5</a:t>
          </a:r>
        </a:p>
      </dsp:txBody>
      <dsp:txXfrm>
        <a:off x="15112291" y="0"/>
        <a:ext cx="4298933" cy="365760"/>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1BD8BD4-2B87-48E7-8E98-8395C85C96B5}">
      <dsp:nvSpPr>
        <dsp:cNvPr id="0" name=""/>
        <dsp:cNvSpPr/>
      </dsp:nvSpPr>
      <dsp:spPr>
        <a:xfrm>
          <a:off x="0" y="0"/>
          <a:ext cx="4664693" cy="365760"/>
        </a:xfrm>
        <a:prstGeom prst="homePlate">
          <a:avLst/>
        </a:prstGeom>
        <a:gradFill rotWithShape="0">
          <a:gsLst>
            <a:gs pos="0">
              <a:schemeClr val="accent6">
                <a:shade val="80000"/>
                <a:hueOff val="0"/>
                <a:satOff val="0"/>
                <a:lumOff val="0"/>
                <a:alphaOff val="0"/>
                <a:lumMod val="110000"/>
                <a:satMod val="105000"/>
                <a:tint val="67000"/>
              </a:schemeClr>
            </a:gs>
            <a:gs pos="50000">
              <a:schemeClr val="accent6">
                <a:shade val="80000"/>
                <a:hueOff val="0"/>
                <a:satOff val="0"/>
                <a:lumOff val="0"/>
                <a:alphaOff val="0"/>
                <a:lumMod val="105000"/>
                <a:satMod val="103000"/>
                <a:tint val="73000"/>
              </a:schemeClr>
            </a:gs>
            <a:gs pos="100000">
              <a:schemeClr val="accent6">
                <a:shade val="80000"/>
                <a:hueOff val="0"/>
                <a:satOff val="0"/>
                <a:lumOff val="0"/>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38684" tIns="69342" rIns="34671" bIns="69342" numCol="1" spcCol="1270" anchor="ctr" anchorCtr="0">
          <a:noAutofit/>
        </a:bodyPr>
        <a:lstStyle/>
        <a:p>
          <a:pPr lvl="0" algn="ctr" defTabSz="1155700">
            <a:lnSpc>
              <a:spcPct val="90000"/>
            </a:lnSpc>
            <a:spcBef>
              <a:spcPct val="0"/>
            </a:spcBef>
            <a:spcAft>
              <a:spcPct val="35000"/>
            </a:spcAft>
          </a:pPr>
          <a:r>
            <a:rPr lang="en-US" sz="2600" b="1" kern="1200"/>
            <a:t>Labor - 1</a:t>
          </a:r>
        </a:p>
      </dsp:txBody>
      <dsp:txXfrm>
        <a:off x="0" y="0"/>
        <a:ext cx="4573253" cy="365760"/>
      </dsp:txXfrm>
    </dsp:sp>
    <dsp:sp modelId="{DB5DB179-7DB3-4B3B-9A28-41AD303FED69}">
      <dsp:nvSpPr>
        <dsp:cNvPr id="0" name=""/>
        <dsp:cNvSpPr/>
      </dsp:nvSpPr>
      <dsp:spPr>
        <a:xfrm>
          <a:off x="3734146" y="0"/>
          <a:ext cx="4664693" cy="365760"/>
        </a:xfrm>
        <a:prstGeom prst="chevron">
          <a:avLst/>
        </a:prstGeom>
        <a:gradFill rotWithShape="0">
          <a:gsLst>
            <a:gs pos="0">
              <a:schemeClr val="accent6">
                <a:shade val="80000"/>
                <a:hueOff val="80320"/>
                <a:satOff val="-3227"/>
                <a:lumOff val="6907"/>
                <a:alphaOff val="0"/>
                <a:lumMod val="110000"/>
                <a:satMod val="105000"/>
                <a:tint val="67000"/>
              </a:schemeClr>
            </a:gs>
            <a:gs pos="50000">
              <a:schemeClr val="accent6">
                <a:shade val="80000"/>
                <a:hueOff val="80320"/>
                <a:satOff val="-3227"/>
                <a:lumOff val="6907"/>
                <a:alphaOff val="0"/>
                <a:lumMod val="105000"/>
                <a:satMod val="103000"/>
                <a:tint val="73000"/>
              </a:schemeClr>
            </a:gs>
            <a:gs pos="100000">
              <a:schemeClr val="accent6">
                <a:shade val="80000"/>
                <a:hueOff val="80320"/>
                <a:satOff val="-3227"/>
                <a:lumOff val="6907"/>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Labor - 2 </a:t>
          </a:r>
        </a:p>
      </dsp:txBody>
      <dsp:txXfrm>
        <a:off x="3917026" y="0"/>
        <a:ext cx="4298933" cy="365760"/>
      </dsp:txXfrm>
    </dsp:sp>
    <dsp:sp modelId="{48FE7061-F792-42CA-A499-01297EB8A9B3}">
      <dsp:nvSpPr>
        <dsp:cNvPr id="0" name=""/>
        <dsp:cNvSpPr/>
      </dsp:nvSpPr>
      <dsp:spPr>
        <a:xfrm>
          <a:off x="7789127" y="0"/>
          <a:ext cx="4664693" cy="365760"/>
        </a:xfrm>
        <a:prstGeom prst="chevron">
          <a:avLst/>
        </a:prstGeom>
        <a:gradFill rotWithShape="0">
          <a:gsLst>
            <a:gs pos="0">
              <a:schemeClr val="accent6">
                <a:shade val="80000"/>
                <a:hueOff val="160640"/>
                <a:satOff val="-6455"/>
                <a:lumOff val="13814"/>
                <a:alphaOff val="0"/>
                <a:lumMod val="110000"/>
                <a:satMod val="105000"/>
                <a:tint val="67000"/>
              </a:schemeClr>
            </a:gs>
            <a:gs pos="50000">
              <a:schemeClr val="accent6">
                <a:shade val="80000"/>
                <a:hueOff val="160640"/>
                <a:satOff val="-6455"/>
                <a:lumOff val="13814"/>
                <a:alphaOff val="0"/>
                <a:lumMod val="105000"/>
                <a:satMod val="103000"/>
                <a:tint val="73000"/>
              </a:schemeClr>
            </a:gs>
            <a:gs pos="100000">
              <a:schemeClr val="accent6">
                <a:shade val="80000"/>
                <a:hueOff val="160640"/>
                <a:satOff val="-6455"/>
                <a:lumOff val="13814"/>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Labor - 3</a:t>
          </a:r>
        </a:p>
      </dsp:txBody>
      <dsp:txXfrm>
        <a:off x="7972007" y="0"/>
        <a:ext cx="4298933" cy="365760"/>
      </dsp:txXfrm>
    </dsp:sp>
    <dsp:sp modelId="{C13F899C-91E6-4636-AD29-2522F0E6CC4C}">
      <dsp:nvSpPr>
        <dsp:cNvPr id="0" name=""/>
        <dsp:cNvSpPr/>
      </dsp:nvSpPr>
      <dsp:spPr>
        <a:xfrm>
          <a:off x="11558909" y="0"/>
          <a:ext cx="4664693" cy="365760"/>
        </a:xfrm>
        <a:prstGeom prst="chevron">
          <a:avLst/>
        </a:prstGeom>
        <a:gradFill rotWithShape="0">
          <a:gsLst>
            <a:gs pos="0">
              <a:schemeClr val="accent6">
                <a:shade val="80000"/>
                <a:hueOff val="240960"/>
                <a:satOff val="-9682"/>
                <a:lumOff val="20721"/>
                <a:alphaOff val="0"/>
                <a:lumMod val="110000"/>
                <a:satMod val="105000"/>
                <a:tint val="67000"/>
              </a:schemeClr>
            </a:gs>
            <a:gs pos="50000">
              <a:schemeClr val="accent6">
                <a:shade val="80000"/>
                <a:hueOff val="240960"/>
                <a:satOff val="-9682"/>
                <a:lumOff val="20721"/>
                <a:alphaOff val="0"/>
                <a:lumMod val="105000"/>
                <a:satMod val="103000"/>
                <a:tint val="73000"/>
              </a:schemeClr>
            </a:gs>
            <a:gs pos="100000">
              <a:schemeClr val="accent6">
                <a:shade val="80000"/>
                <a:hueOff val="240960"/>
                <a:satOff val="-9682"/>
                <a:lumOff val="20721"/>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Labor - 4</a:t>
          </a:r>
        </a:p>
      </dsp:txBody>
      <dsp:txXfrm>
        <a:off x="11741789" y="0"/>
        <a:ext cx="4298933" cy="365760"/>
      </dsp:txXfrm>
    </dsp:sp>
    <dsp:sp modelId="{B6E68E44-6B6F-428A-907A-C68399948EE5}">
      <dsp:nvSpPr>
        <dsp:cNvPr id="0" name=""/>
        <dsp:cNvSpPr/>
      </dsp:nvSpPr>
      <dsp:spPr>
        <a:xfrm>
          <a:off x="14929411" y="0"/>
          <a:ext cx="4664693" cy="365760"/>
        </a:xfrm>
        <a:prstGeom prst="chevron">
          <a:avLst/>
        </a:prstGeom>
        <a:gradFill rotWithShape="0">
          <a:gsLst>
            <a:gs pos="0">
              <a:schemeClr val="accent6">
                <a:shade val="80000"/>
                <a:hueOff val="321280"/>
                <a:satOff val="-12909"/>
                <a:lumOff val="27628"/>
                <a:alphaOff val="0"/>
                <a:lumMod val="110000"/>
                <a:satMod val="105000"/>
                <a:tint val="67000"/>
              </a:schemeClr>
            </a:gs>
            <a:gs pos="50000">
              <a:schemeClr val="accent6">
                <a:shade val="80000"/>
                <a:hueOff val="321280"/>
                <a:satOff val="-12909"/>
                <a:lumOff val="27628"/>
                <a:alphaOff val="0"/>
                <a:lumMod val="105000"/>
                <a:satMod val="103000"/>
                <a:tint val="73000"/>
              </a:schemeClr>
            </a:gs>
            <a:gs pos="100000">
              <a:schemeClr val="accent6">
                <a:shade val="80000"/>
                <a:hueOff val="321280"/>
                <a:satOff val="-12909"/>
                <a:lumOff val="27628"/>
                <a:alphaOff val="0"/>
                <a:lumMod val="105000"/>
                <a:satMod val="109000"/>
                <a:tint val="81000"/>
              </a:schemeClr>
            </a:gs>
          </a:gsLst>
          <a:lin ang="5400000" scaled="0"/>
        </a:gradFill>
        <a:ln>
          <a:noFill/>
        </a:ln>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104013" tIns="69342" rIns="34671" bIns="69342" numCol="1" spcCol="1270" anchor="ctr" anchorCtr="0">
          <a:noAutofit/>
        </a:bodyPr>
        <a:lstStyle/>
        <a:p>
          <a:pPr lvl="0" algn="ctr" defTabSz="1155700">
            <a:lnSpc>
              <a:spcPct val="90000"/>
            </a:lnSpc>
            <a:spcBef>
              <a:spcPct val="0"/>
            </a:spcBef>
            <a:spcAft>
              <a:spcPct val="35000"/>
            </a:spcAft>
          </a:pPr>
          <a:r>
            <a:rPr lang="en-US" sz="2600" b="1" kern="1200"/>
            <a:t>Labor - 5</a:t>
          </a:r>
        </a:p>
      </dsp:txBody>
      <dsp:txXfrm>
        <a:off x="15112291" y="0"/>
        <a:ext cx="4298933" cy="365760"/>
      </dsp:txXfrm>
    </dsp:sp>
  </dsp:spTree>
</dsp:drawing>
</file>

<file path=xl/diagrams/layout1.xml><?xml version="1.0" encoding="utf-8"?>
<dgm:layoutDef xmlns:dgm="http://schemas.openxmlformats.org/drawingml/2006/diagram" xmlns:a="http://schemas.openxmlformats.org/drawingml/2006/main" uniqueId="urn:microsoft.com/office/officeart/2005/8/layout/cycle1">
  <dgm:title val=""/>
  <dgm:desc val=""/>
  <dgm:catLst>
    <dgm:cat type="cycle" pri="2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6" srcId="0" destId="1" srcOrd="0" destOrd="0"/>
        <dgm:cxn modelId="7" srcId="0" destId="2" srcOrd="1" destOrd="0"/>
        <dgm:cxn modelId="8" srcId="0" destId="3" srcOrd="2" destOrd="0"/>
        <dgm:cxn modelId="9" srcId="0" destId="4" srcOrd="3" destOrd="0"/>
        <dgm:cxn modelId="10" srcId="0" destId="5" srcOrd="4" destOrd="0"/>
      </dgm:cxnLst>
      <dgm:bg/>
      <dgm:whole/>
    </dgm:dataModel>
  </dgm:sampData>
  <dgm:styleData>
    <dgm:dataModel>
      <dgm:ptLst>
        <dgm:pt modelId="0" type="doc"/>
        <dgm:pt modelId="1"/>
        <dgm:pt modelId="2"/>
        <dgm:pt modelId="3"/>
      </dgm:ptLst>
      <dgm:cxnLst>
        <dgm:cxn modelId="4" srcId="0" destId="1" srcOrd="0" destOrd="0"/>
        <dgm:cxn modelId="5" srcId="0" destId="2" srcOrd="1" destOrd="0"/>
        <dgm:cxn modelId="6" srcId="0" destId="3" srcOrd="2" destOrd="0"/>
      </dgm:cxnLst>
      <dgm:bg/>
      <dgm:whole/>
    </dgm:dataModel>
  </dgm:styleData>
  <dgm:clrData>
    <dgm:dataModel>
      <dgm:ptLst>
        <dgm:pt modelId="0" type="doc"/>
        <dgm:pt modelId="1"/>
        <dgm:pt modelId="2"/>
        <dgm:pt modelId="3"/>
        <dgm:pt modelId="4"/>
        <dgm:pt modelId="5"/>
        <dgm:pt modelId="6"/>
      </dgm:ptLst>
      <dgm:cxnLst>
        <dgm:cxn modelId="7" srcId="0" destId="1" srcOrd="0" destOrd="0"/>
        <dgm:cxn modelId="8" srcId="0" destId="2" srcOrd="1" destOrd="0"/>
        <dgm:cxn modelId="9" srcId="0" destId="3" srcOrd="2" destOrd="0"/>
        <dgm:cxn modelId="10" srcId="0" destId="4" srcOrd="3" destOrd="0"/>
        <dgm:cxn modelId="11" srcId="0" destId="5" srcOrd="4" destOrd="0"/>
        <dgm:cxn modelId="12" srcId="0" destId="6" srcOrd="5" destOrd="0"/>
      </dgm:cxnLst>
      <dgm:bg/>
      <dgm:whole/>
    </dgm:dataModel>
  </dgm:clrData>
  <dgm:layoutNode name="cycle">
    <dgm:varLst>
      <dgm:dir/>
      <dgm:resizeHandles val="exact"/>
    </dgm:varLst>
    <dgm:choose name="Name0">
      <dgm:if name="Name1" func="var" arg="dir" op="equ" val="norm">
        <dgm:alg type="cycle">
          <dgm:param type="stAng" val="0"/>
          <dgm:param type="spanAng" val="360"/>
        </dgm:alg>
      </dgm:if>
      <dgm:else name="Name2">
        <dgm:alg type="cycle">
          <dgm:param type="stAng" val="0"/>
          <dgm:param type="spanAng" val="-360"/>
        </dgm:alg>
      </dgm:else>
    </dgm:choose>
    <dgm:shape xmlns:r="http://schemas.openxmlformats.org/officeDocument/2006/relationships" r:blip="">
      <dgm:adjLst/>
    </dgm:shape>
    <dgm:presOf/>
    <dgm:choose name="Name3">
      <dgm:if name="Name4" func="var" arg="dir" op="equ" val="norm">
        <dgm:constrLst>
          <dgm:constr type="diam" val="1"/>
          <dgm:constr type="w" for="ch" forName="node" refType="w"/>
          <dgm:constr type="w" for="ch" ptType="sibTrans" refType="w" refFor="ch" refForName="node" fact="0.5"/>
          <dgm:constr type="h" for="ch" ptType="sibTrans" op="equ"/>
          <dgm:constr type="diam" for="ch" ptType="sibTrans" refType="diam" op="equ"/>
          <dgm:constr type="sibSp" refType="w" refFor="ch" refForName="node" fact="0.15"/>
          <dgm:constr type="w" for="ch" forName="dummy" refType="sibSp" fact="2.8"/>
          <dgm:constr type="primFontSz" for="ch" forName="node" op="equ" val="65"/>
        </dgm:constrLst>
      </dgm:if>
      <dgm:else name="Name5">
        <dgm:constrLst>
          <dgm:constr type="diam" val="1"/>
          <dgm:constr type="w" for="ch" forName="node" refType="w"/>
          <dgm:constr type="w" for="ch" ptType="sibTrans" refType="w" refFor="ch" refForName="node" fact="0.5"/>
          <dgm:constr type="h" for="ch" ptType="sibTrans" op="equ"/>
          <dgm:constr type="diam" for="ch" ptType="sibTrans" refType="diam" op="equ" fact="-1"/>
          <dgm:constr type="sibSp" refType="w" refFor="ch" refForName="node" fact="0.15"/>
          <dgm:constr type="w" for="ch" forName="dummy" refType="sibSp" fact="2.8"/>
          <dgm:constr type="primFontSz" for="ch" forName="node" op="equ" val="65"/>
        </dgm:constrLst>
      </dgm:else>
    </dgm:choose>
    <dgm:ruleLst>
      <dgm:rule type="diam" val="INF" fact="NaN" max="NaN"/>
    </dgm:ruleLst>
    <dgm:forEach name="nodesForEach" axis="ch" ptType="node">
      <dgm:choose name="Name6">
        <dgm:if name="Name7" axis="par ch" ptType="doc node" func="cnt" op="gt" val="1">
          <dgm:layoutNode name="dummy">
            <dgm:alg type="sp"/>
            <dgm:shape xmlns:r="http://schemas.openxmlformats.org/officeDocument/2006/relationships" r:blip="">
              <dgm:adjLst/>
            </dgm:shape>
            <dgm:presOf/>
            <dgm:constrLst>
              <dgm:constr type="h" refType="w"/>
            </dgm:constrLst>
            <dgm:ruleLst/>
          </dgm:layoutNode>
        </dgm:if>
        <dgm:else name="Name8"/>
      </dgm:choose>
      <dgm:layoutNode name="node" styleLbl="revTx">
        <dgm:varLst>
          <dgm:bulletEnabled val="1"/>
        </dgm:varLst>
        <dgm:alg type="tx">
          <dgm:param type="txAnchorVertCh" val="mid"/>
        </dgm:alg>
        <dgm:shape xmlns:r="http://schemas.openxmlformats.org/officeDocument/2006/relationships" type="rect" r:blip="">
          <dgm:adjLst/>
        </dgm:shape>
        <dgm:presOf axis="desOrSelf" ptType="node"/>
        <dgm:constrLst>
          <dgm:constr type="h" refType="w"/>
          <dgm:constr type="lMarg" refType="primFontSz" fact="0.1"/>
          <dgm:constr type="rMarg" refType="primFontSz" fact="0.1"/>
          <dgm:constr type="tMarg" refType="primFontSz" fact="0.1"/>
          <dgm:constr type="bMarg" refType="primFontSz" fact="0.1"/>
        </dgm:constrLst>
        <dgm:ruleLst>
          <dgm:rule type="primFontSz" val="5" fact="NaN" max="NaN"/>
        </dgm:ruleLst>
      </dgm:layoutNode>
      <dgm:choose name="Name9">
        <dgm:if name="Name10" axis="par ch" ptType="doc node" func="cnt" op="gt" val="1">
          <dgm:forEach name="Name11" axis="followSib" ptType="sibTrans" hideLastTrans="0" cnt="1">
            <dgm:layoutNode name="sibTrans" styleLbl="node1">
              <dgm:alg type="conn">
                <dgm:param type="connRout" val="curve"/>
                <dgm:param type="begPts" val="radial"/>
                <dgm:param type="endPts" val="radial"/>
              </dgm:alg>
              <dgm:shape xmlns:r="http://schemas.openxmlformats.org/officeDocument/2006/relationships" type="conn" r:blip="">
                <dgm:adjLst/>
              </dgm:shape>
              <dgm:presOf axis="self"/>
              <dgm:constrLst>
                <dgm:constr type="h" refType="w" fact="0.65"/>
                <dgm:constr type="begPad"/>
                <dgm:constr type="endPad"/>
              </dgm:constrLst>
              <dgm:ruleLst/>
            </dgm:layoutNode>
          </dgm:forEach>
        </dgm:if>
        <dgm:else name="Name12"/>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3.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4.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5.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6.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hyperlink" Target="#'KPI Mapping'!A1"/><Relationship Id="rId13" Type="http://schemas.openxmlformats.org/officeDocument/2006/relationships/chart" Target="../charts/chart1.xml"/><Relationship Id="rId18" Type="http://schemas.openxmlformats.org/officeDocument/2006/relationships/chart" Target="../charts/chart5.xml"/><Relationship Id="rId3" Type="http://schemas.openxmlformats.org/officeDocument/2006/relationships/hyperlink" Target="#'Quotes &amp; Inventory'!A1"/><Relationship Id="rId21" Type="http://schemas.openxmlformats.org/officeDocument/2006/relationships/chart" Target="../charts/chart8.xml"/><Relationship Id="rId7" Type="http://schemas.openxmlformats.org/officeDocument/2006/relationships/hyperlink" Target="#'DuPont Model'!A1"/><Relationship Id="rId12" Type="http://schemas.openxmlformats.org/officeDocument/2006/relationships/hyperlink" Target="#Glossary!A1"/><Relationship Id="rId17" Type="http://schemas.openxmlformats.org/officeDocument/2006/relationships/chart" Target="../charts/chart4.xml"/><Relationship Id="rId2" Type="http://schemas.openxmlformats.org/officeDocument/2006/relationships/hyperlink" Target="#'SIC Codes'!A1"/><Relationship Id="rId16" Type="http://schemas.openxmlformats.org/officeDocument/2006/relationships/hyperlink" Target="#'Ratio Data'!A1"/><Relationship Id="rId20" Type="http://schemas.openxmlformats.org/officeDocument/2006/relationships/chart" Target="../charts/chart7.xml"/><Relationship Id="rId1" Type="http://schemas.openxmlformats.org/officeDocument/2006/relationships/hyperlink" Target="#'CY - Executive Summary'!A1"/><Relationship Id="rId6" Type="http://schemas.openxmlformats.org/officeDocument/2006/relationships/hyperlink" Target="#Sales!A1"/><Relationship Id="rId11" Type="http://schemas.openxmlformats.org/officeDocument/2006/relationships/hyperlink" Target="#Production!A1"/><Relationship Id="rId24" Type="http://schemas.openxmlformats.org/officeDocument/2006/relationships/chart" Target="../charts/chart11.xml"/><Relationship Id="rId5" Type="http://schemas.openxmlformats.org/officeDocument/2006/relationships/hyperlink" Target="#Ratios!A1"/><Relationship Id="rId15" Type="http://schemas.openxmlformats.org/officeDocument/2006/relationships/chart" Target="../charts/chart3.xml"/><Relationship Id="rId23" Type="http://schemas.openxmlformats.org/officeDocument/2006/relationships/chart" Target="../charts/chart10.xml"/><Relationship Id="rId10" Type="http://schemas.openxmlformats.org/officeDocument/2006/relationships/hyperlink" Target="#Labor!A1"/><Relationship Id="rId19" Type="http://schemas.openxmlformats.org/officeDocument/2006/relationships/chart" Target="../charts/chart6.xml"/><Relationship Id="rId4" Type="http://schemas.openxmlformats.org/officeDocument/2006/relationships/hyperlink" Target="#'Quality '!A1"/><Relationship Id="rId9" Type="http://schemas.openxmlformats.org/officeDocument/2006/relationships/hyperlink" Target="#'KPI Summary'!A1"/><Relationship Id="rId14" Type="http://schemas.openxmlformats.org/officeDocument/2006/relationships/chart" Target="../charts/chart2.xml"/><Relationship Id="rId22"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hyperlink" Target="#'KPI Summary'!A1"/><Relationship Id="rId13" Type="http://schemas.openxmlformats.org/officeDocument/2006/relationships/chart" Target="../charts/chart13.xml"/><Relationship Id="rId18" Type="http://schemas.openxmlformats.org/officeDocument/2006/relationships/chart" Target="../charts/chart17.xml"/><Relationship Id="rId26" Type="http://schemas.openxmlformats.org/officeDocument/2006/relationships/chart" Target="../charts/chart25.xml"/><Relationship Id="rId3" Type="http://schemas.openxmlformats.org/officeDocument/2006/relationships/hyperlink" Target="#'Quality '!A1"/><Relationship Id="rId21" Type="http://schemas.openxmlformats.org/officeDocument/2006/relationships/chart" Target="../charts/chart20.xml"/><Relationship Id="rId34" Type="http://schemas.openxmlformats.org/officeDocument/2006/relationships/chart" Target="../charts/chart33.xml"/><Relationship Id="rId7" Type="http://schemas.openxmlformats.org/officeDocument/2006/relationships/hyperlink" Target="#'KPI Mapping'!A1"/><Relationship Id="rId12" Type="http://schemas.openxmlformats.org/officeDocument/2006/relationships/chart" Target="../charts/chart12.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2" Type="http://schemas.openxmlformats.org/officeDocument/2006/relationships/hyperlink" Target="#'Quotes &amp; Inventory'!A1"/><Relationship Id="rId16" Type="http://schemas.openxmlformats.org/officeDocument/2006/relationships/chart" Target="../charts/chart15.xml"/><Relationship Id="rId20" Type="http://schemas.openxmlformats.org/officeDocument/2006/relationships/chart" Target="../charts/chart19.xml"/><Relationship Id="rId29" Type="http://schemas.openxmlformats.org/officeDocument/2006/relationships/chart" Target="../charts/chart28.xml"/><Relationship Id="rId1" Type="http://schemas.openxmlformats.org/officeDocument/2006/relationships/hyperlink" Target="#'SIC Codes'!A1"/><Relationship Id="rId6" Type="http://schemas.openxmlformats.org/officeDocument/2006/relationships/hyperlink" Target="#'DuPont Model'!A1"/><Relationship Id="rId11" Type="http://schemas.openxmlformats.org/officeDocument/2006/relationships/hyperlink" Target="#Glossary!A1"/><Relationship Id="rId24" Type="http://schemas.openxmlformats.org/officeDocument/2006/relationships/chart" Target="../charts/chart23.xml"/><Relationship Id="rId32" Type="http://schemas.openxmlformats.org/officeDocument/2006/relationships/chart" Target="../charts/chart31.xml"/><Relationship Id="rId5" Type="http://schemas.openxmlformats.org/officeDocument/2006/relationships/hyperlink" Target="#Sales!A1"/><Relationship Id="rId15" Type="http://schemas.openxmlformats.org/officeDocument/2006/relationships/hyperlink" Target="#'Ratio Data'!A1"/><Relationship Id="rId23" Type="http://schemas.openxmlformats.org/officeDocument/2006/relationships/chart" Target="../charts/chart22.xml"/><Relationship Id="rId28" Type="http://schemas.openxmlformats.org/officeDocument/2006/relationships/chart" Target="../charts/chart27.xml"/><Relationship Id="rId10" Type="http://schemas.openxmlformats.org/officeDocument/2006/relationships/hyperlink" Target="#Production!A1"/><Relationship Id="rId19" Type="http://schemas.openxmlformats.org/officeDocument/2006/relationships/chart" Target="../charts/chart18.xml"/><Relationship Id="rId31" Type="http://schemas.openxmlformats.org/officeDocument/2006/relationships/chart" Target="../charts/chart30.xml"/><Relationship Id="rId4" Type="http://schemas.openxmlformats.org/officeDocument/2006/relationships/hyperlink" Target="#Ratios!A1"/><Relationship Id="rId9" Type="http://schemas.openxmlformats.org/officeDocument/2006/relationships/hyperlink" Target="#Labor!A1"/><Relationship Id="rId14" Type="http://schemas.openxmlformats.org/officeDocument/2006/relationships/chart" Target="../charts/chart14.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s>
</file>

<file path=xl/drawings/_rels/drawing3.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hyperlink" Target="#'CY - Executive Summary'!A1"/><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8" Type="http://schemas.openxmlformats.org/officeDocument/2006/relationships/diagramQuickStyle" Target="../diagrams/quickStyle3.xml"/><Relationship Id="rId13" Type="http://schemas.openxmlformats.org/officeDocument/2006/relationships/diagramQuickStyle" Target="../diagrams/quickStyle4.xml"/><Relationship Id="rId18" Type="http://schemas.openxmlformats.org/officeDocument/2006/relationships/diagramQuickStyle" Target="../diagrams/quickStyle5.xml"/><Relationship Id="rId26" Type="http://schemas.microsoft.com/office/2007/relationships/diagramDrawing" Target="../diagrams/drawing6.xml"/><Relationship Id="rId3" Type="http://schemas.openxmlformats.org/officeDocument/2006/relationships/diagramQuickStyle" Target="../diagrams/quickStyle2.xml"/><Relationship Id="rId21" Type="http://schemas.openxmlformats.org/officeDocument/2006/relationships/hyperlink" Target="#'CY - Executive Summary'!A1"/><Relationship Id="rId7" Type="http://schemas.openxmlformats.org/officeDocument/2006/relationships/diagramLayout" Target="../diagrams/layout3.xml"/><Relationship Id="rId12" Type="http://schemas.openxmlformats.org/officeDocument/2006/relationships/diagramLayout" Target="../diagrams/layout4.xml"/><Relationship Id="rId17" Type="http://schemas.openxmlformats.org/officeDocument/2006/relationships/diagramLayout" Target="../diagrams/layout5.xml"/><Relationship Id="rId25" Type="http://schemas.openxmlformats.org/officeDocument/2006/relationships/diagramColors" Target="../diagrams/colors6.xml"/><Relationship Id="rId2" Type="http://schemas.openxmlformats.org/officeDocument/2006/relationships/diagramLayout" Target="../diagrams/layout2.xml"/><Relationship Id="rId16" Type="http://schemas.openxmlformats.org/officeDocument/2006/relationships/diagramData" Target="../diagrams/data5.xml"/><Relationship Id="rId20" Type="http://schemas.microsoft.com/office/2007/relationships/diagramDrawing" Target="../diagrams/drawing5.xml"/><Relationship Id="rId1" Type="http://schemas.openxmlformats.org/officeDocument/2006/relationships/diagramData" Target="../diagrams/data2.xml"/><Relationship Id="rId6" Type="http://schemas.openxmlformats.org/officeDocument/2006/relationships/diagramData" Target="../diagrams/data3.xml"/><Relationship Id="rId11" Type="http://schemas.openxmlformats.org/officeDocument/2006/relationships/diagramData" Target="../diagrams/data4.xml"/><Relationship Id="rId24" Type="http://schemas.openxmlformats.org/officeDocument/2006/relationships/diagramQuickStyle" Target="../diagrams/quickStyle6.xml"/><Relationship Id="rId5" Type="http://schemas.microsoft.com/office/2007/relationships/diagramDrawing" Target="../diagrams/drawing2.xml"/><Relationship Id="rId15" Type="http://schemas.microsoft.com/office/2007/relationships/diagramDrawing" Target="../diagrams/drawing4.xml"/><Relationship Id="rId23" Type="http://schemas.openxmlformats.org/officeDocument/2006/relationships/diagramLayout" Target="../diagrams/layout6.xml"/><Relationship Id="rId10" Type="http://schemas.microsoft.com/office/2007/relationships/diagramDrawing" Target="../diagrams/drawing3.xml"/><Relationship Id="rId19" Type="http://schemas.openxmlformats.org/officeDocument/2006/relationships/diagramColors" Target="../diagrams/colors5.xml"/><Relationship Id="rId4" Type="http://schemas.openxmlformats.org/officeDocument/2006/relationships/diagramColors" Target="../diagrams/colors2.xml"/><Relationship Id="rId9" Type="http://schemas.openxmlformats.org/officeDocument/2006/relationships/diagramColors" Target="../diagrams/colors3.xml"/><Relationship Id="rId14" Type="http://schemas.openxmlformats.org/officeDocument/2006/relationships/diagramColors" Target="../diagrams/colors4.xml"/><Relationship Id="rId22" Type="http://schemas.openxmlformats.org/officeDocument/2006/relationships/diagramData" Target="../diagrams/data6.xml"/></Relationships>
</file>

<file path=xl/drawings/_rels/drawing5.xml.rels><?xml version="1.0" encoding="UTF-8" standalone="yes"?>
<Relationships xmlns="http://schemas.openxmlformats.org/package/2006/relationships"><Relationship Id="rId2" Type="http://schemas.openxmlformats.org/officeDocument/2006/relationships/hyperlink" Target="#'Ratio Data'!A1"/><Relationship Id="rId1" Type="http://schemas.openxmlformats.org/officeDocument/2006/relationships/hyperlink" Target="#'CY - Executive Summary'!A1"/></Relationships>
</file>

<file path=xl/drawings/_rels/drawing6.xml.rels><?xml version="1.0" encoding="UTF-8" standalone="yes"?>
<Relationships xmlns="http://schemas.openxmlformats.org/package/2006/relationships"><Relationship Id="rId1" Type="http://schemas.openxmlformats.org/officeDocument/2006/relationships/hyperlink" Target="#'Executive Summary'!A1"/></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Ratio Data'!A1"/><Relationship Id="rId1" Type="http://schemas.openxmlformats.org/officeDocument/2006/relationships/hyperlink" Target="#'CY - Executive Summary'!A1"/></Relationships>
</file>

<file path=xl/drawings/_rels/drawing8.xml.rels><?xml version="1.0" encoding="UTF-8" standalone="yes"?>
<Relationships xmlns="http://schemas.openxmlformats.org/package/2006/relationships"><Relationship Id="rId2" Type="http://schemas.openxmlformats.org/officeDocument/2006/relationships/hyperlink" Target="#Sales!A1"/><Relationship Id="rId1" Type="http://schemas.openxmlformats.org/officeDocument/2006/relationships/hyperlink" Target="#'CY - Executive Summary'!A1"/></Relationships>
</file>

<file path=xl/drawings/_rels/drawing9.xml.rels><?xml version="1.0" encoding="UTF-8" standalone="yes"?>
<Relationships xmlns="http://schemas.openxmlformats.org/package/2006/relationships"><Relationship Id="rId2" Type="http://schemas.openxmlformats.org/officeDocument/2006/relationships/hyperlink" Target="#'CY - Executive Summary'!A1"/><Relationship Id="rId1" Type="http://schemas.openxmlformats.org/officeDocument/2006/relationships/hyperlink" Target="#'Executive Summary'!A1"/></Relationships>
</file>

<file path=xl/drawings/_rels/drawing10.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hyperlink" Target="#'Sales PVT'!A1"/><Relationship Id="rId7" Type="http://schemas.openxmlformats.org/officeDocument/2006/relationships/chart" Target="../charts/chart37.xml"/><Relationship Id="rId2" Type="http://schemas.openxmlformats.org/officeDocument/2006/relationships/hyperlink" Target="#SALES_RU!A1"/><Relationship Id="rId1" Type="http://schemas.openxmlformats.org/officeDocument/2006/relationships/hyperlink" Target="#'CY - Executive Summary'!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hyperlink" Target="#'Ratio Data'!A1"/><Relationship Id="rId9" Type="http://schemas.openxmlformats.org/officeDocument/2006/relationships/chart" Target="../charts/chart3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43.xml"/><Relationship Id="rId13" Type="http://schemas.openxmlformats.org/officeDocument/2006/relationships/chart" Target="../charts/chart45.xml"/><Relationship Id="rId3" Type="http://schemas.openxmlformats.org/officeDocument/2006/relationships/hyperlink" Target="#QUOTE_RU3!A1"/><Relationship Id="rId7" Type="http://schemas.openxmlformats.org/officeDocument/2006/relationships/chart" Target="../charts/chart42.xml"/><Relationship Id="rId12" Type="http://schemas.openxmlformats.org/officeDocument/2006/relationships/hyperlink" Target="#'Ratio Data'!A1"/><Relationship Id="rId2" Type="http://schemas.openxmlformats.org/officeDocument/2006/relationships/hyperlink" Target="#'QUOTE_RU1&amp;RU2'!A1"/><Relationship Id="rId1" Type="http://schemas.openxmlformats.org/officeDocument/2006/relationships/hyperlink" Target="#'CY - Executive Summary'!A1"/><Relationship Id="rId6" Type="http://schemas.openxmlformats.org/officeDocument/2006/relationships/chart" Target="../charts/chart41.xml"/><Relationship Id="rId11" Type="http://schemas.openxmlformats.org/officeDocument/2006/relationships/hyperlink" Target="#'Quote PVT - E vs A'!A1"/><Relationship Id="rId5" Type="http://schemas.openxmlformats.org/officeDocument/2006/relationships/chart" Target="../charts/chart40.xml"/><Relationship Id="rId10" Type="http://schemas.openxmlformats.org/officeDocument/2006/relationships/hyperlink" Target="#'Quote PVT'!A1"/><Relationship Id="rId4" Type="http://schemas.openxmlformats.org/officeDocument/2006/relationships/hyperlink" Target="#P16_INV_HIST_RU!A1"/><Relationship Id="rId9" Type="http://schemas.openxmlformats.org/officeDocument/2006/relationships/chart" Target="../charts/chart44.xml"/></Relationships>
</file>

<file path=xl/drawings/_rels/drawing12.xml.rels><?xml version="1.0" encoding="UTF-8" standalone="yes"?>
<Relationships xmlns="http://schemas.openxmlformats.org/package/2006/relationships"><Relationship Id="rId8" Type="http://schemas.openxmlformats.org/officeDocument/2006/relationships/hyperlink" Target="#'Quality - PV'!A1"/><Relationship Id="rId3" Type="http://schemas.openxmlformats.org/officeDocument/2006/relationships/hyperlink" Target="#Quality_RU_RMA!A1"/><Relationship Id="rId7" Type="http://schemas.openxmlformats.org/officeDocument/2006/relationships/chart" Target="../charts/chart49.xml"/><Relationship Id="rId2" Type="http://schemas.openxmlformats.org/officeDocument/2006/relationships/hyperlink" Target="#Quality_RU!A1"/><Relationship Id="rId1" Type="http://schemas.openxmlformats.org/officeDocument/2006/relationships/hyperlink" Target="#'CY - Executive Summary'!A1"/><Relationship Id="rId6" Type="http://schemas.openxmlformats.org/officeDocument/2006/relationships/chart" Target="../charts/chart48.xml"/><Relationship Id="rId5" Type="http://schemas.openxmlformats.org/officeDocument/2006/relationships/chart" Target="../charts/chart47.xml"/><Relationship Id="rId4" Type="http://schemas.openxmlformats.org/officeDocument/2006/relationships/chart" Target="../charts/chart46.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52.xml"/><Relationship Id="rId3" Type="http://schemas.openxmlformats.org/officeDocument/2006/relationships/hyperlink" Target="#P4_LABOR_RU!A1"/><Relationship Id="rId7" Type="http://schemas.openxmlformats.org/officeDocument/2006/relationships/chart" Target="../charts/chart51.xml"/><Relationship Id="rId2" Type="http://schemas.openxmlformats.org/officeDocument/2006/relationships/hyperlink" Target="#'Labor Hours'!A1"/><Relationship Id="rId1" Type="http://schemas.openxmlformats.org/officeDocument/2006/relationships/hyperlink" Target="#'CY - Executive Summary'!A1"/><Relationship Id="rId6" Type="http://schemas.openxmlformats.org/officeDocument/2006/relationships/hyperlink" Target="#'L3- Rev $ per-labor hr '!A1"/><Relationship Id="rId5" Type="http://schemas.openxmlformats.org/officeDocument/2006/relationships/hyperlink" Target="#'L2-Ind Hrs'!A1"/><Relationship Id="rId4" Type="http://schemas.openxmlformats.org/officeDocument/2006/relationships/chart" Target="../charts/chart50.xml"/><Relationship Id="rId9" Type="http://schemas.openxmlformats.org/officeDocument/2006/relationships/chart" Target="../charts/chart53.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56.xml"/><Relationship Id="rId3" Type="http://schemas.openxmlformats.org/officeDocument/2006/relationships/hyperlink" Target="#'WC PV'!A1"/><Relationship Id="rId7" Type="http://schemas.openxmlformats.org/officeDocument/2006/relationships/chart" Target="../charts/chart55.xml"/><Relationship Id="rId2" Type="http://schemas.openxmlformats.org/officeDocument/2006/relationships/hyperlink" Target="#'P1-WC %'!A1"/><Relationship Id="rId1" Type="http://schemas.openxmlformats.org/officeDocument/2006/relationships/hyperlink" Target="#'CY - Executive Summary'!A1"/><Relationship Id="rId6" Type="http://schemas.openxmlformats.org/officeDocument/2006/relationships/chart" Target="../charts/chart54.xml"/><Relationship Id="rId5" Type="http://schemas.openxmlformats.org/officeDocument/2006/relationships/hyperlink" Target="#P3_PRODUCTION_RU!A1"/><Relationship Id="rId10" Type="http://schemas.openxmlformats.org/officeDocument/2006/relationships/chart" Target="../charts/chart57.xml"/><Relationship Id="rId4" Type="http://schemas.openxmlformats.org/officeDocument/2006/relationships/hyperlink" Target="#P2_ONTIME_RU!A1"/><Relationship Id="rId9" Type="http://schemas.openxmlformats.org/officeDocument/2006/relationships/hyperlink" Target="#P1_WC_RU!A1"/></Relationships>
</file>

<file path=xl/drawings/_rels/drawing15.xml.rels><?xml version="1.0" encoding="UTF-8" standalone="yes"?>
<Relationships xmlns="http://schemas.openxmlformats.org/package/2006/relationships"><Relationship Id="rId1" Type="http://schemas.openxmlformats.org/officeDocument/2006/relationships/hyperlink" Target="#Sales!A1"/></Relationships>
</file>

<file path=xl/drawings/_rels/drawing16.xml.rels><?xml version="1.0" encoding="UTF-8" standalone="yes"?>
<Relationships xmlns="http://schemas.openxmlformats.org/package/2006/relationships"><Relationship Id="rId1" Type="http://schemas.openxmlformats.org/officeDocument/2006/relationships/hyperlink" Target="#'CY - Executive Summary'!A1"/></Relationships>
</file>

<file path=xl/drawings/_rels/drawing17.xml.rels><?xml version="1.0" encoding="UTF-8" standalone="yes"?>
<Relationships xmlns="http://schemas.openxmlformats.org/package/2006/relationships"><Relationship Id="rId1" Type="http://schemas.openxmlformats.org/officeDocument/2006/relationships/hyperlink" Target="#Sales!A1"/></Relationships>
</file>

<file path=xl/drawings/_rels/drawing18.xml.rels><?xml version="1.0" encoding="UTF-8" standalone="yes"?>
<Relationships xmlns="http://schemas.openxmlformats.org/package/2006/relationships"><Relationship Id="rId1" Type="http://schemas.openxmlformats.org/officeDocument/2006/relationships/hyperlink" Target="#'Quotes &amp; Inventory'!A1"/></Relationships>
</file>

<file path=xl/drawings/_rels/drawing19.xml.rels><?xml version="1.0" encoding="UTF-8" standalone="yes"?>
<Relationships xmlns="http://schemas.openxmlformats.org/package/2006/relationships"><Relationship Id="rId1" Type="http://schemas.openxmlformats.org/officeDocument/2006/relationships/hyperlink" Target="#'Quotes &amp; Inventory'!A1"/></Relationships>
</file>

<file path=xl/drawings/_rels/drawing20.xml.rels><?xml version="1.0" encoding="UTF-8" standalone="yes"?>
<Relationships xmlns="http://schemas.openxmlformats.org/package/2006/relationships"><Relationship Id="rId1" Type="http://schemas.openxmlformats.org/officeDocument/2006/relationships/hyperlink" Target="#'Quotes &amp; Inventory'!A1"/></Relationships>
</file>

<file path=xl/drawings/_rels/drawing21.xml.rels><?xml version="1.0" encoding="UTF-8" standalone="yes"?>
<Relationships xmlns="http://schemas.openxmlformats.org/package/2006/relationships"><Relationship Id="rId1" Type="http://schemas.openxmlformats.org/officeDocument/2006/relationships/hyperlink" Target="#'Quotes &amp; Inventory'!A1"/></Relationships>
</file>

<file path=xl/drawings/_rels/drawing22.xml.rels><?xml version="1.0" encoding="UTF-8" standalone="yes"?>
<Relationships xmlns="http://schemas.openxmlformats.org/package/2006/relationships"><Relationship Id="rId1" Type="http://schemas.openxmlformats.org/officeDocument/2006/relationships/hyperlink" Target="#'Quality '!A1"/></Relationships>
</file>

<file path=xl/drawings/_rels/drawing23.xml.rels><?xml version="1.0" encoding="UTF-8" standalone="yes"?>
<Relationships xmlns="http://schemas.openxmlformats.org/package/2006/relationships"><Relationship Id="rId1" Type="http://schemas.openxmlformats.org/officeDocument/2006/relationships/hyperlink" Target="#'Quality '!A1"/></Relationships>
</file>

<file path=xl/drawings/_rels/drawing24.xml.rels><?xml version="1.0" encoding="UTF-8" standalone="yes"?>
<Relationships xmlns="http://schemas.openxmlformats.org/package/2006/relationships"><Relationship Id="rId1" Type="http://schemas.openxmlformats.org/officeDocument/2006/relationships/hyperlink" Target="#'Quality '!A1"/></Relationships>
</file>

<file path=xl/drawings/_rels/drawing25.xml.rels><?xml version="1.0" encoding="UTF-8" standalone="yes"?>
<Relationships xmlns="http://schemas.openxmlformats.org/package/2006/relationships"><Relationship Id="rId1" Type="http://schemas.openxmlformats.org/officeDocument/2006/relationships/hyperlink" Target="#Labor!A1"/></Relationships>
</file>

<file path=xl/drawings/_rels/drawing26.xml.rels><?xml version="1.0" encoding="UTF-8" standalone="yes"?>
<Relationships xmlns="http://schemas.openxmlformats.org/package/2006/relationships"><Relationship Id="rId1" Type="http://schemas.openxmlformats.org/officeDocument/2006/relationships/hyperlink" Target="#Labor!A1"/></Relationships>
</file>

<file path=xl/drawings/_rels/drawing27.xml.rels><?xml version="1.0" encoding="UTF-8" standalone="yes"?>
<Relationships xmlns="http://schemas.openxmlformats.org/package/2006/relationships"><Relationship Id="rId1" Type="http://schemas.openxmlformats.org/officeDocument/2006/relationships/hyperlink" Target="#Labor!A1"/></Relationships>
</file>

<file path=xl/drawings/_rels/drawing28.xml.rels><?xml version="1.0" encoding="UTF-8" standalone="yes"?>
<Relationships xmlns="http://schemas.openxmlformats.org/package/2006/relationships"><Relationship Id="rId1" Type="http://schemas.openxmlformats.org/officeDocument/2006/relationships/hyperlink" Target="#Production!A1"/></Relationships>
</file>

<file path=xl/drawings/_rels/drawing29.xml.rels><?xml version="1.0" encoding="UTF-8" standalone="yes"?>
<Relationships xmlns="http://schemas.openxmlformats.org/package/2006/relationships"><Relationship Id="rId1" Type="http://schemas.openxmlformats.org/officeDocument/2006/relationships/hyperlink" Target="#Production!A1"/></Relationships>
</file>

<file path=xl/drawings/_rels/drawing30.xml.rels><?xml version="1.0" encoding="UTF-8" standalone="yes"?>
<Relationships xmlns="http://schemas.openxmlformats.org/package/2006/relationships"><Relationship Id="rId1" Type="http://schemas.openxmlformats.org/officeDocument/2006/relationships/hyperlink" Target="#Production!A1"/></Relationships>
</file>

<file path=xl/drawings/_rels/drawing31.xml.rels><?xml version="1.0" encoding="UTF-8" standalone="yes"?>
<Relationships xmlns="http://schemas.openxmlformats.org/package/2006/relationships"><Relationship Id="rId1" Type="http://schemas.openxmlformats.org/officeDocument/2006/relationships/hyperlink" Target="#Labor!A1"/></Relationships>
</file>

<file path=xl/drawings/_rels/drawing32.xml.rels><?xml version="1.0" encoding="UTF-8" standalone="yes"?>
<Relationships xmlns="http://schemas.openxmlformats.org/package/2006/relationships"><Relationship Id="rId1" Type="http://schemas.openxmlformats.org/officeDocument/2006/relationships/hyperlink" Target="#'Quotes &amp; Inventory'!A1"/></Relationships>
</file>

<file path=xl/drawings/_rels/drawing33.xml.rels><?xml version="1.0" encoding="UTF-8" standalone="yes"?>
<Relationships xmlns="http://schemas.openxmlformats.org/package/2006/relationships"><Relationship Id="rId1" Type="http://schemas.openxmlformats.org/officeDocument/2006/relationships/hyperlink" Target="#Sales!A1"/></Relationships>
</file>

<file path=xl/drawings/_rels/drawing34.xml.rels><?xml version="1.0" encoding="UTF-8" standalone="yes"?>
<Relationships xmlns="http://schemas.openxmlformats.org/package/2006/relationships"><Relationship Id="rId2" Type="http://schemas.openxmlformats.org/officeDocument/2006/relationships/hyperlink" Target="#'CY - Executive Summary'!A1"/><Relationship Id="rId1" Type="http://schemas.openxmlformats.org/officeDocument/2006/relationships/hyperlink" Target="#'DuPont Model'!A1"/></Relationships>
</file>

<file path=xl/drawings/_rels/drawing35.xml.rels><?xml version="1.0" encoding="UTF-8" standalone="yes"?>
<Relationships xmlns="http://schemas.openxmlformats.org/package/2006/relationships"><Relationship Id="rId1" Type="http://schemas.openxmlformats.org/officeDocument/2006/relationships/hyperlink" Target="#'YOY - Executive Summary'!A1"/></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9524</xdr:rowOff>
    </xdr:from>
    <xdr:to>
      <xdr:col>28</xdr:col>
      <xdr:colOff>15875</xdr:colOff>
      <xdr:row>3</xdr:row>
      <xdr:rowOff>95249</xdr:rowOff>
    </xdr:to>
    <xdr:sp macro="" textlink="">
      <xdr:nvSpPr>
        <xdr:cNvPr id="2" name="Rounded Rectangle 1"/>
        <xdr:cNvSpPr/>
      </xdr:nvSpPr>
      <xdr:spPr>
        <a:xfrm>
          <a:off x="9524" y="9524"/>
          <a:ext cx="16897351" cy="704850"/>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9524</xdr:colOff>
      <xdr:row>2</xdr:row>
      <xdr:rowOff>111125</xdr:rowOff>
    </xdr:from>
    <xdr:to>
      <xdr:col>28</xdr:col>
      <xdr:colOff>15876</xdr:colOff>
      <xdr:row>3</xdr:row>
      <xdr:rowOff>127000</xdr:rowOff>
    </xdr:to>
    <xdr:sp macro="" textlink="">
      <xdr:nvSpPr>
        <xdr:cNvPr id="3" name="Round Same Side Corner Rectangle 2"/>
        <xdr:cNvSpPr/>
      </xdr:nvSpPr>
      <xdr:spPr>
        <a:xfrm>
          <a:off x="9524" y="539750"/>
          <a:ext cx="16897352" cy="20637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114300</xdr:colOff>
      <xdr:row>0</xdr:row>
      <xdr:rowOff>104775</xdr:rowOff>
    </xdr:from>
    <xdr:to>
      <xdr:col>18</xdr:col>
      <xdr:colOff>81643</xdr:colOff>
      <xdr:row>2</xdr:row>
      <xdr:rowOff>76200</xdr:rowOff>
    </xdr:to>
    <xdr:sp macro="" textlink="">
      <xdr:nvSpPr>
        <xdr:cNvPr id="4" name="TextBox 3"/>
        <xdr:cNvSpPr txBox="1"/>
      </xdr:nvSpPr>
      <xdr:spPr>
        <a:xfrm>
          <a:off x="5600700" y="104775"/>
          <a:ext cx="5453743"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Key</a:t>
          </a:r>
          <a:r>
            <a:rPr lang="en-CA" sz="2000" b="1" baseline="0"/>
            <a:t> Performance Indicators </a:t>
          </a:r>
          <a:r>
            <a:rPr lang="en-CA" sz="2000" b="1"/>
            <a:t>Executive Summary</a:t>
          </a:r>
        </a:p>
      </xdr:txBody>
    </xdr:sp>
    <xdr:clientData/>
  </xdr:twoCellAnchor>
  <xdr:twoCellAnchor>
    <xdr:from>
      <xdr:col>0</xdr:col>
      <xdr:colOff>9525</xdr:colOff>
      <xdr:row>3</xdr:row>
      <xdr:rowOff>152400</xdr:rowOff>
    </xdr:from>
    <xdr:to>
      <xdr:col>2</xdr:col>
      <xdr:colOff>238125</xdr:colOff>
      <xdr:row>6</xdr:row>
      <xdr:rowOff>0</xdr:rowOff>
    </xdr:to>
    <xdr:sp macro="" textlink="">
      <xdr:nvSpPr>
        <xdr:cNvPr id="5" name="Rounded Rectangle 4">
          <a:hlinkClick xmlns:r="http://schemas.openxmlformats.org/officeDocument/2006/relationships" r:id="rId1"/>
        </xdr:cNvPr>
        <xdr:cNvSpPr/>
      </xdr:nvSpPr>
      <xdr:spPr>
        <a:xfrm>
          <a:off x="9525" y="771525"/>
          <a:ext cx="1447800" cy="46672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25</xdr:col>
      <xdr:colOff>410757</xdr:colOff>
      <xdr:row>3</xdr:row>
      <xdr:rowOff>161924</xdr:rowOff>
    </xdr:from>
    <xdr:to>
      <xdr:col>27</xdr:col>
      <xdr:colOff>566332</xdr:colOff>
      <xdr:row>6</xdr:row>
      <xdr:rowOff>2214</xdr:rowOff>
    </xdr:to>
    <xdr:sp macro="" textlink="">
      <xdr:nvSpPr>
        <xdr:cNvPr id="6" name="Rounded Rectangle 5">
          <a:hlinkClick xmlns:r="http://schemas.openxmlformats.org/officeDocument/2006/relationships" r:id="rId2"/>
        </xdr:cNvPr>
        <xdr:cNvSpPr/>
      </xdr:nvSpPr>
      <xdr:spPr>
        <a:xfrm>
          <a:off x="15650757" y="781049"/>
          <a:ext cx="1374775" cy="45941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SIC</a:t>
          </a:r>
          <a:r>
            <a:rPr lang="en-CA" sz="1200" baseline="0">
              <a:solidFill>
                <a:sysClr val="windowText" lastClr="000000"/>
              </a:solidFill>
            </a:rPr>
            <a:t> </a:t>
          </a:r>
          <a:r>
            <a:rPr lang="en-CA" sz="1200">
              <a:solidFill>
                <a:sysClr val="windowText" lastClr="000000"/>
              </a:solidFill>
            </a:rPr>
            <a:t>Tables</a:t>
          </a:r>
        </a:p>
      </xdr:txBody>
    </xdr:sp>
    <xdr:clientData/>
  </xdr:twoCellAnchor>
  <xdr:twoCellAnchor>
    <xdr:from>
      <xdr:col>15</xdr:col>
      <xdr:colOff>160986</xdr:colOff>
      <xdr:row>3</xdr:row>
      <xdr:rowOff>161925</xdr:rowOff>
    </xdr:from>
    <xdr:to>
      <xdr:col>17</xdr:col>
      <xdr:colOff>438150</xdr:colOff>
      <xdr:row>5</xdr:row>
      <xdr:rowOff>180975</xdr:rowOff>
    </xdr:to>
    <xdr:sp macro="" textlink="">
      <xdr:nvSpPr>
        <xdr:cNvPr id="7" name="Rounded Rectangle 6">
          <a:hlinkClick xmlns:r="http://schemas.openxmlformats.org/officeDocument/2006/relationships" r:id="rId3"/>
        </xdr:cNvPr>
        <xdr:cNvSpPr/>
      </xdr:nvSpPr>
      <xdr:spPr>
        <a:xfrm>
          <a:off x="9304986" y="781050"/>
          <a:ext cx="1496364" cy="4476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Quote &amp; Inventory</a:t>
          </a:r>
        </a:p>
      </xdr:txBody>
    </xdr:sp>
    <xdr:clientData/>
  </xdr:twoCellAnchor>
  <xdr:twoCellAnchor>
    <xdr:from>
      <xdr:col>13</xdr:col>
      <xdr:colOff>110757</xdr:colOff>
      <xdr:row>3</xdr:row>
      <xdr:rowOff>161924</xdr:rowOff>
    </xdr:from>
    <xdr:to>
      <xdr:col>15</xdr:col>
      <xdr:colOff>120740</xdr:colOff>
      <xdr:row>6</xdr:row>
      <xdr:rowOff>0</xdr:rowOff>
    </xdr:to>
    <xdr:sp macro="" textlink="">
      <xdr:nvSpPr>
        <xdr:cNvPr id="8" name="Rounded Rectangle 7">
          <a:hlinkClick xmlns:r="http://schemas.openxmlformats.org/officeDocument/2006/relationships" r:id="rId4"/>
        </xdr:cNvPr>
        <xdr:cNvSpPr/>
      </xdr:nvSpPr>
      <xdr:spPr>
        <a:xfrm>
          <a:off x="8035557" y="781049"/>
          <a:ext cx="1229183" cy="457201"/>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Quality</a:t>
          </a:r>
          <a:r>
            <a:rPr lang="en-CA" sz="1200" baseline="0">
              <a:solidFill>
                <a:sysClr val="windowText" lastClr="000000"/>
              </a:solidFill>
            </a:rPr>
            <a:t> </a:t>
          </a:r>
          <a:endParaRPr lang="en-CA" sz="1200">
            <a:solidFill>
              <a:sysClr val="windowText" lastClr="000000"/>
            </a:solidFill>
          </a:endParaRPr>
        </a:p>
      </xdr:txBody>
    </xdr:sp>
    <xdr:clientData/>
  </xdr:twoCellAnchor>
  <xdr:twoCellAnchor>
    <xdr:from>
      <xdr:col>8</xdr:col>
      <xdr:colOff>495300</xdr:colOff>
      <xdr:row>3</xdr:row>
      <xdr:rowOff>161925</xdr:rowOff>
    </xdr:from>
    <xdr:to>
      <xdr:col>11</xdr:col>
      <xdr:colOff>0</xdr:colOff>
      <xdr:row>5</xdr:row>
      <xdr:rowOff>180975</xdr:rowOff>
    </xdr:to>
    <xdr:sp macro="" textlink="">
      <xdr:nvSpPr>
        <xdr:cNvPr id="9" name="Rounded Rectangle 8">
          <a:hlinkClick xmlns:r="http://schemas.openxmlformats.org/officeDocument/2006/relationships" r:id="rId5"/>
        </xdr:cNvPr>
        <xdr:cNvSpPr/>
      </xdr:nvSpPr>
      <xdr:spPr>
        <a:xfrm>
          <a:off x="5372100" y="781050"/>
          <a:ext cx="1333500" cy="4476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Ratios</a:t>
          </a:r>
        </a:p>
      </xdr:txBody>
    </xdr:sp>
    <xdr:clientData/>
  </xdr:twoCellAnchor>
  <xdr:twoCellAnchor>
    <xdr:from>
      <xdr:col>11</xdr:col>
      <xdr:colOff>9524</xdr:colOff>
      <xdr:row>3</xdr:row>
      <xdr:rowOff>161924</xdr:rowOff>
    </xdr:from>
    <xdr:to>
      <xdr:col>13</xdr:col>
      <xdr:colOff>114299</xdr:colOff>
      <xdr:row>5</xdr:row>
      <xdr:rowOff>190499</xdr:rowOff>
    </xdr:to>
    <xdr:sp macro="" textlink="">
      <xdr:nvSpPr>
        <xdr:cNvPr id="10" name="Rounded Rectangle 9">
          <a:hlinkClick xmlns:r="http://schemas.openxmlformats.org/officeDocument/2006/relationships" r:id="rId6"/>
        </xdr:cNvPr>
        <xdr:cNvSpPr/>
      </xdr:nvSpPr>
      <xdr:spPr>
        <a:xfrm>
          <a:off x="6715124" y="781049"/>
          <a:ext cx="1323975" cy="4572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Sales</a:t>
          </a:r>
        </a:p>
      </xdr:txBody>
    </xdr:sp>
    <xdr:clientData/>
  </xdr:twoCellAnchor>
  <xdr:twoCellAnchor>
    <xdr:from>
      <xdr:col>6</xdr:col>
      <xdr:colOff>419099</xdr:colOff>
      <xdr:row>3</xdr:row>
      <xdr:rowOff>161925</xdr:rowOff>
    </xdr:from>
    <xdr:to>
      <xdr:col>8</xdr:col>
      <xdr:colOff>485774</xdr:colOff>
      <xdr:row>5</xdr:row>
      <xdr:rowOff>166134</xdr:rowOff>
    </xdr:to>
    <xdr:sp macro="" textlink="">
      <xdr:nvSpPr>
        <xdr:cNvPr id="11" name="Rounded Rectangle 10">
          <a:hlinkClick xmlns:r="http://schemas.openxmlformats.org/officeDocument/2006/relationships" r:id="rId7"/>
        </xdr:cNvPr>
        <xdr:cNvSpPr/>
      </xdr:nvSpPr>
      <xdr:spPr>
        <a:xfrm>
          <a:off x="4076699" y="781050"/>
          <a:ext cx="1285875" cy="432834"/>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Dupont</a:t>
          </a:r>
          <a:r>
            <a:rPr lang="en-CA" sz="1200" baseline="0">
              <a:solidFill>
                <a:sysClr val="windowText" lastClr="000000"/>
              </a:solidFill>
            </a:rPr>
            <a:t> Model</a:t>
          </a:r>
          <a:endParaRPr lang="en-CA" sz="1200">
            <a:solidFill>
              <a:sysClr val="windowText" lastClr="000000"/>
            </a:solidFill>
          </a:endParaRPr>
        </a:p>
      </xdr:txBody>
    </xdr:sp>
    <xdr:clientData/>
  </xdr:twoCellAnchor>
  <xdr:twoCellAnchor>
    <xdr:from>
      <xdr:col>4</xdr:col>
      <xdr:colOff>352425</xdr:colOff>
      <xdr:row>3</xdr:row>
      <xdr:rowOff>161925</xdr:rowOff>
    </xdr:from>
    <xdr:to>
      <xdr:col>6</xdr:col>
      <xdr:colOff>409575</xdr:colOff>
      <xdr:row>5</xdr:row>
      <xdr:rowOff>180975</xdr:rowOff>
    </xdr:to>
    <xdr:sp macro="" textlink="">
      <xdr:nvSpPr>
        <xdr:cNvPr id="12" name="Rounded Rectangle 11">
          <a:hlinkClick xmlns:r="http://schemas.openxmlformats.org/officeDocument/2006/relationships" r:id="rId8"/>
        </xdr:cNvPr>
        <xdr:cNvSpPr/>
      </xdr:nvSpPr>
      <xdr:spPr>
        <a:xfrm>
          <a:off x="2790825" y="781050"/>
          <a:ext cx="1276350" cy="4476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baseline="0">
              <a:solidFill>
                <a:sysClr val="windowText" lastClr="000000"/>
              </a:solidFill>
            </a:rPr>
            <a:t>KPI </a:t>
          </a:r>
          <a:r>
            <a:rPr lang="en-CA" sz="1200">
              <a:solidFill>
                <a:sysClr val="windowText" lastClr="000000"/>
              </a:solidFill>
            </a:rPr>
            <a:t>Mapping</a:t>
          </a:r>
        </a:p>
      </xdr:txBody>
    </xdr:sp>
    <xdr:clientData/>
  </xdr:twoCellAnchor>
  <xdr:twoCellAnchor>
    <xdr:from>
      <xdr:col>2</xdr:col>
      <xdr:colOff>238124</xdr:colOff>
      <xdr:row>3</xdr:row>
      <xdr:rowOff>161924</xdr:rowOff>
    </xdr:from>
    <xdr:to>
      <xdr:col>4</xdr:col>
      <xdr:colOff>342899</xdr:colOff>
      <xdr:row>5</xdr:row>
      <xdr:rowOff>190499</xdr:rowOff>
    </xdr:to>
    <xdr:sp macro="" textlink="">
      <xdr:nvSpPr>
        <xdr:cNvPr id="13" name="Rounded Rectangle 12">
          <a:hlinkClick xmlns:r="http://schemas.openxmlformats.org/officeDocument/2006/relationships" r:id="rId9"/>
        </xdr:cNvPr>
        <xdr:cNvSpPr/>
      </xdr:nvSpPr>
      <xdr:spPr>
        <a:xfrm>
          <a:off x="1457324" y="781049"/>
          <a:ext cx="1323975" cy="4572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KPI Summary</a:t>
          </a:r>
        </a:p>
      </xdr:txBody>
    </xdr:sp>
    <xdr:clientData/>
  </xdr:twoCellAnchor>
  <xdr:twoCellAnchor>
    <xdr:from>
      <xdr:col>17</xdr:col>
      <xdr:colOff>460375</xdr:colOff>
      <xdr:row>3</xdr:row>
      <xdr:rowOff>158750</xdr:rowOff>
    </xdr:from>
    <xdr:to>
      <xdr:col>20</xdr:col>
      <xdr:colOff>85725</xdr:colOff>
      <xdr:row>6</xdr:row>
      <xdr:rowOff>6350</xdr:rowOff>
    </xdr:to>
    <xdr:sp macro="" textlink="">
      <xdr:nvSpPr>
        <xdr:cNvPr id="14" name="Rounded Rectangle 13">
          <a:hlinkClick xmlns:r="http://schemas.openxmlformats.org/officeDocument/2006/relationships" r:id="rId10"/>
        </xdr:cNvPr>
        <xdr:cNvSpPr/>
      </xdr:nvSpPr>
      <xdr:spPr>
        <a:xfrm>
          <a:off x="10823575" y="777875"/>
          <a:ext cx="1454150" cy="46672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Labour</a:t>
          </a:r>
        </a:p>
      </xdr:txBody>
    </xdr:sp>
    <xdr:clientData/>
  </xdr:twoCellAnchor>
  <xdr:twoCellAnchor>
    <xdr:from>
      <xdr:col>20</xdr:col>
      <xdr:colOff>100542</xdr:colOff>
      <xdr:row>3</xdr:row>
      <xdr:rowOff>153458</xdr:rowOff>
    </xdr:from>
    <xdr:to>
      <xdr:col>22</xdr:col>
      <xdr:colOff>205317</xdr:colOff>
      <xdr:row>5</xdr:row>
      <xdr:rowOff>182033</xdr:rowOff>
    </xdr:to>
    <xdr:sp macro="" textlink="">
      <xdr:nvSpPr>
        <xdr:cNvPr id="15" name="Rounded Rectangle 14">
          <a:hlinkClick xmlns:r="http://schemas.openxmlformats.org/officeDocument/2006/relationships" r:id="rId11"/>
        </xdr:cNvPr>
        <xdr:cNvSpPr/>
      </xdr:nvSpPr>
      <xdr:spPr>
        <a:xfrm>
          <a:off x="12292542" y="772583"/>
          <a:ext cx="1323975" cy="4572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Production</a:t>
          </a:r>
        </a:p>
      </xdr:txBody>
    </xdr:sp>
    <xdr:clientData/>
  </xdr:twoCellAnchor>
  <xdr:twoCellAnchor>
    <xdr:from>
      <xdr:col>24</xdr:col>
      <xdr:colOff>228599</xdr:colOff>
      <xdr:row>3</xdr:row>
      <xdr:rowOff>158750</xdr:rowOff>
    </xdr:from>
    <xdr:to>
      <xdr:col>25</xdr:col>
      <xdr:colOff>387644</xdr:colOff>
      <xdr:row>5</xdr:row>
      <xdr:rowOff>177800</xdr:rowOff>
    </xdr:to>
    <xdr:sp macro="" textlink="">
      <xdr:nvSpPr>
        <xdr:cNvPr id="16" name="Rounded Rectangle 15">
          <a:hlinkClick xmlns:r="http://schemas.openxmlformats.org/officeDocument/2006/relationships" r:id="rId12"/>
        </xdr:cNvPr>
        <xdr:cNvSpPr/>
      </xdr:nvSpPr>
      <xdr:spPr>
        <a:xfrm>
          <a:off x="14858999" y="777875"/>
          <a:ext cx="768645" cy="4476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Glossary</a:t>
          </a:r>
        </a:p>
      </xdr:txBody>
    </xdr:sp>
    <xdr:clientData/>
  </xdr:twoCellAnchor>
  <xdr:twoCellAnchor>
    <xdr:from>
      <xdr:col>0</xdr:col>
      <xdr:colOff>0</xdr:colOff>
      <xdr:row>71</xdr:row>
      <xdr:rowOff>58079</xdr:rowOff>
    </xdr:from>
    <xdr:to>
      <xdr:col>9</xdr:col>
      <xdr:colOff>143780</xdr:colOff>
      <xdr:row>87</xdr:row>
      <xdr:rowOff>420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250498</xdr:colOff>
      <xdr:row>71</xdr:row>
      <xdr:rowOff>69696</xdr:rowOff>
    </xdr:from>
    <xdr:to>
      <xdr:col>18</xdr:col>
      <xdr:colOff>394279</xdr:colOff>
      <xdr:row>86</xdr:row>
      <xdr:rowOff>161891</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560591</xdr:colOff>
      <xdr:row>71</xdr:row>
      <xdr:rowOff>58079</xdr:rowOff>
    </xdr:from>
    <xdr:to>
      <xdr:col>28</xdr:col>
      <xdr:colOff>96979</xdr:colOff>
      <xdr:row>86</xdr:row>
      <xdr:rowOff>150274</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203200</xdr:colOff>
      <xdr:row>3</xdr:row>
      <xdr:rowOff>152400</xdr:rowOff>
    </xdr:from>
    <xdr:to>
      <xdr:col>24</xdr:col>
      <xdr:colOff>208000</xdr:colOff>
      <xdr:row>5</xdr:row>
      <xdr:rowOff>188600</xdr:rowOff>
    </xdr:to>
    <xdr:sp macro="" textlink="">
      <xdr:nvSpPr>
        <xdr:cNvPr id="50" name="Rounded Rectangle 49">
          <a:hlinkClick xmlns:r="http://schemas.openxmlformats.org/officeDocument/2006/relationships" r:id="rId16"/>
        </xdr:cNvPr>
        <xdr:cNvSpPr/>
      </xdr:nvSpPr>
      <xdr:spPr>
        <a:xfrm>
          <a:off x="13614400" y="771525"/>
          <a:ext cx="1224000" cy="464825"/>
        </a:xfrm>
        <a:prstGeom prst="roundRect">
          <a:avLst/>
        </a:prstGeom>
        <a:solidFill>
          <a:schemeClr val="accent6">
            <a:lumMod val="40000"/>
            <a:lumOff val="60000"/>
          </a:schemeClr>
        </a:solidFill>
        <a:ln>
          <a:solidFill>
            <a:schemeClr val="accent6">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CA" sz="1200"/>
            <a:t>GL</a:t>
          </a:r>
          <a:r>
            <a:rPr lang="en-CA" sz="1200" baseline="0"/>
            <a:t> Data</a:t>
          </a:r>
          <a:endParaRPr lang="en-CA" sz="1200"/>
        </a:p>
      </xdr:txBody>
    </xdr:sp>
    <xdr:clientData/>
  </xdr:twoCellAnchor>
  <xdr:twoCellAnchor>
    <xdr:from>
      <xdr:col>14</xdr:col>
      <xdr:colOff>124239</xdr:colOff>
      <xdr:row>6</xdr:row>
      <xdr:rowOff>46479</xdr:rowOff>
    </xdr:from>
    <xdr:to>
      <xdr:col>28</xdr:col>
      <xdr:colOff>80760</xdr:colOff>
      <xdr:row>22</xdr:row>
      <xdr:rowOff>14305</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139925</xdr:colOff>
      <xdr:row>6</xdr:row>
      <xdr:rowOff>55219</xdr:rowOff>
    </xdr:from>
    <xdr:to>
      <xdr:col>14</xdr:col>
      <xdr:colOff>96447</xdr:colOff>
      <xdr:row>22</xdr:row>
      <xdr:rowOff>23045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121579</xdr:colOff>
      <xdr:row>22</xdr:row>
      <xdr:rowOff>80892</xdr:rowOff>
    </xdr:from>
    <xdr:to>
      <xdr:col>14</xdr:col>
      <xdr:colOff>69696</xdr:colOff>
      <xdr:row>38</xdr:row>
      <xdr:rowOff>59233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151007</xdr:colOff>
      <xdr:row>22</xdr:row>
      <xdr:rowOff>52686</xdr:rowOff>
    </xdr:from>
    <xdr:to>
      <xdr:col>28</xdr:col>
      <xdr:colOff>46463</xdr:colOff>
      <xdr:row>38</xdr:row>
      <xdr:rowOff>46463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143344</xdr:colOff>
      <xdr:row>38</xdr:row>
      <xdr:rowOff>88093</xdr:rowOff>
    </xdr:from>
    <xdr:to>
      <xdr:col>28</xdr:col>
      <xdr:colOff>58079</xdr:colOff>
      <xdr:row>53</xdr:row>
      <xdr:rowOff>162621</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34848</xdr:colOff>
      <xdr:row>38</xdr:row>
      <xdr:rowOff>90062</xdr:rowOff>
    </xdr:from>
    <xdr:to>
      <xdr:col>14</xdr:col>
      <xdr:colOff>46462</xdr:colOff>
      <xdr:row>53</xdr:row>
      <xdr:rowOff>174236</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39708</xdr:colOff>
      <xdr:row>54</xdr:row>
      <xdr:rowOff>16922</xdr:rowOff>
    </xdr:from>
    <xdr:to>
      <xdr:col>14</xdr:col>
      <xdr:colOff>7367</xdr:colOff>
      <xdr:row>69</xdr:row>
      <xdr:rowOff>109118</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111810</xdr:colOff>
      <xdr:row>54</xdr:row>
      <xdr:rowOff>20331</xdr:rowOff>
    </xdr:from>
    <xdr:to>
      <xdr:col>28</xdr:col>
      <xdr:colOff>11616</xdr:colOff>
      <xdr:row>69</xdr:row>
      <xdr:rowOff>112527</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28</xdr:col>
      <xdr:colOff>47626</xdr:colOff>
      <xdr:row>3</xdr:row>
      <xdr:rowOff>85725</xdr:rowOff>
    </xdr:to>
    <xdr:sp macro="" textlink="">
      <xdr:nvSpPr>
        <xdr:cNvPr id="2" name="Rounded Rectangle 1"/>
        <xdr:cNvSpPr/>
      </xdr:nvSpPr>
      <xdr:spPr>
        <a:xfrm>
          <a:off x="1" y="0"/>
          <a:ext cx="17049750" cy="704850"/>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9524</xdr:colOff>
      <xdr:row>2</xdr:row>
      <xdr:rowOff>148828</xdr:rowOff>
    </xdr:from>
    <xdr:to>
      <xdr:col>28</xdr:col>
      <xdr:colOff>11907</xdr:colOff>
      <xdr:row>3</xdr:row>
      <xdr:rowOff>71437</xdr:rowOff>
    </xdr:to>
    <xdr:sp macro="" textlink="">
      <xdr:nvSpPr>
        <xdr:cNvPr id="3" name="Round Same Side Corner Rectangle 2"/>
        <xdr:cNvSpPr/>
      </xdr:nvSpPr>
      <xdr:spPr>
        <a:xfrm>
          <a:off x="9524" y="577453"/>
          <a:ext cx="17004508" cy="113109"/>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114300</xdr:colOff>
      <xdr:row>0</xdr:row>
      <xdr:rowOff>104775</xdr:rowOff>
    </xdr:from>
    <xdr:to>
      <xdr:col>18</xdr:col>
      <xdr:colOff>81643</xdr:colOff>
      <xdr:row>2</xdr:row>
      <xdr:rowOff>76200</xdr:rowOff>
    </xdr:to>
    <xdr:sp macro="" textlink="">
      <xdr:nvSpPr>
        <xdr:cNvPr id="4" name="TextBox 3"/>
        <xdr:cNvSpPr txBox="1"/>
      </xdr:nvSpPr>
      <xdr:spPr>
        <a:xfrm>
          <a:off x="5625193" y="104775"/>
          <a:ext cx="547823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Key</a:t>
          </a:r>
          <a:r>
            <a:rPr lang="en-CA" sz="2000" b="1" baseline="0"/>
            <a:t> Performance Indicators </a:t>
          </a:r>
          <a:r>
            <a:rPr lang="en-CA" sz="2000" b="1"/>
            <a:t>Executive Summary</a:t>
          </a:r>
        </a:p>
      </xdr:txBody>
    </xdr:sp>
    <xdr:clientData/>
  </xdr:twoCellAnchor>
  <xdr:twoCellAnchor>
    <xdr:from>
      <xdr:col>0</xdr:col>
      <xdr:colOff>9525</xdr:colOff>
      <xdr:row>3</xdr:row>
      <xdr:rowOff>152400</xdr:rowOff>
    </xdr:from>
    <xdr:to>
      <xdr:col>2</xdr:col>
      <xdr:colOff>238125</xdr:colOff>
      <xdr:row>6</xdr:row>
      <xdr:rowOff>0</xdr:rowOff>
    </xdr:to>
    <xdr:sp macro="" textlink="">
      <xdr:nvSpPr>
        <xdr:cNvPr id="5" name="Rounded Rectangle 4"/>
        <xdr:cNvSpPr/>
      </xdr:nvSpPr>
      <xdr:spPr>
        <a:xfrm>
          <a:off x="9525" y="723900"/>
          <a:ext cx="1447800"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25</xdr:col>
      <xdr:colOff>410757</xdr:colOff>
      <xdr:row>3</xdr:row>
      <xdr:rowOff>161924</xdr:rowOff>
    </xdr:from>
    <xdr:to>
      <xdr:col>27</xdr:col>
      <xdr:colOff>566332</xdr:colOff>
      <xdr:row>6</xdr:row>
      <xdr:rowOff>2214</xdr:rowOff>
    </xdr:to>
    <xdr:sp macro="" textlink="">
      <xdr:nvSpPr>
        <xdr:cNvPr id="6" name="Rounded Rectangle 5">
          <a:hlinkClick xmlns:r="http://schemas.openxmlformats.org/officeDocument/2006/relationships" r:id="rId1"/>
        </xdr:cNvPr>
        <xdr:cNvSpPr/>
      </xdr:nvSpPr>
      <xdr:spPr>
        <a:xfrm>
          <a:off x="15639681" y="726779"/>
          <a:ext cx="1373889" cy="405144"/>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SIC</a:t>
          </a:r>
          <a:r>
            <a:rPr lang="en-CA" sz="1200" baseline="0">
              <a:solidFill>
                <a:sysClr val="windowText" lastClr="000000"/>
              </a:solidFill>
            </a:rPr>
            <a:t> </a:t>
          </a:r>
          <a:r>
            <a:rPr lang="en-CA" sz="1200">
              <a:solidFill>
                <a:sysClr val="windowText" lastClr="000000"/>
              </a:solidFill>
            </a:rPr>
            <a:t>Tables</a:t>
          </a:r>
        </a:p>
      </xdr:txBody>
    </xdr:sp>
    <xdr:clientData/>
  </xdr:twoCellAnchor>
  <xdr:twoCellAnchor>
    <xdr:from>
      <xdr:col>15</xdr:col>
      <xdr:colOff>160986</xdr:colOff>
      <xdr:row>3</xdr:row>
      <xdr:rowOff>161925</xdr:rowOff>
    </xdr:from>
    <xdr:to>
      <xdr:col>17</xdr:col>
      <xdr:colOff>438150</xdr:colOff>
      <xdr:row>5</xdr:row>
      <xdr:rowOff>180975</xdr:rowOff>
    </xdr:to>
    <xdr:sp macro="" textlink="">
      <xdr:nvSpPr>
        <xdr:cNvPr id="7" name="Rounded Rectangle 6">
          <a:hlinkClick xmlns:r="http://schemas.openxmlformats.org/officeDocument/2006/relationships" r:id="rId2"/>
        </xdr:cNvPr>
        <xdr:cNvSpPr/>
      </xdr:nvSpPr>
      <xdr:spPr>
        <a:xfrm>
          <a:off x="9216444" y="725376"/>
          <a:ext cx="1484558" cy="394684"/>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Quote &amp; Inventory</a:t>
          </a:r>
        </a:p>
      </xdr:txBody>
    </xdr:sp>
    <xdr:clientData/>
  </xdr:twoCellAnchor>
  <xdr:twoCellAnchor>
    <xdr:from>
      <xdr:col>13</xdr:col>
      <xdr:colOff>110757</xdr:colOff>
      <xdr:row>3</xdr:row>
      <xdr:rowOff>161924</xdr:rowOff>
    </xdr:from>
    <xdr:to>
      <xdr:col>15</xdr:col>
      <xdr:colOff>120740</xdr:colOff>
      <xdr:row>6</xdr:row>
      <xdr:rowOff>0</xdr:rowOff>
    </xdr:to>
    <xdr:sp macro="" textlink="">
      <xdr:nvSpPr>
        <xdr:cNvPr id="8" name="Rounded Rectangle 7">
          <a:hlinkClick xmlns:r="http://schemas.openxmlformats.org/officeDocument/2006/relationships" r:id="rId3"/>
        </xdr:cNvPr>
        <xdr:cNvSpPr/>
      </xdr:nvSpPr>
      <xdr:spPr>
        <a:xfrm>
          <a:off x="7958820" y="725375"/>
          <a:ext cx="1217378" cy="401526"/>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Quality</a:t>
          </a:r>
          <a:r>
            <a:rPr lang="en-CA" sz="1200" baseline="0">
              <a:solidFill>
                <a:sysClr val="windowText" lastClr="000000"/>
              </a:solidFill>
            </a:rPr>
            <a:t> </a:t>
          </a:r>
          <a:endParaRPr lang="en-CA" sz="1200">
            <a:solidFill>
              <a:sysClr val="windowText" lastClr="000000"/>
            </a:solidFill>
          </a:endParaRPr>
        </a:p>
      </xdr:txBody>
    </xdr:sp>
    <xdr:clientData/>
  </xdr:twoCellAnchor>
  <xdr:twoCellAnchor>
    <xdr:from>
      <xdr:col>8</xdr:col>
      <xdr:colOff>495300</xdr:colOff>
      <xdr:row>3</xdr:row>
      <xdr:rowOff>161925</xdr:rowOff>
    </xdr:from>
    <xdr:to>
      <xdr:col>11</xdr:col>
      <xdr:colOff>0</xdr:colOff>
      <xdr:row>5</xdr:row>
      <xdr:rowOff>180975</xdr:rowOff>
    </xdr:to>
    <xdr:sp macro="" textlink="">
      <xdr:nvSpPr>
        <xdr:cNvPr id="9" name="Rounded Rectangle 8">
          <a:hlinkClick xmlns:r="http://schemas.openxmlformats.org/officeDocument/2006/relationships" r:id="rId4"/>
        </xdr:cNvPr>
        <xdr:cNvSpPr/>
      </xdr:nvSpPr>
      <xdr:spPr>
        <a:xfrm>
          <a:off x="5372100" y="733425"/>
          <a:ext cx="1333500" cy="40005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Ratios</a:t>
          </a:r>
        </a:p>
      </xdr:txBody>
    </xdr:sp>
    <xdr:clientData/>
  </xdr:twoCellAnchor>
  <xdr:twoCellAnchor>
    <xdr:from>
      <xdr:col>11</xdr:col>
      <xdr:colOff>9524</xdr:colOff>
      <xdr:row>3</xdr:row>
      <xdr:rowOff>161924</xdr:rowOff>
    </xdr:from>
    <xdr:to>
      <xdr:col>13</xdr:col>
      <xdr:colOff>114299</xdr:colOff>
      <xdr:row>5</xdr:row>
      <xdr:rowOff>190499</xdr:rowOff>
    </xdr:to>
    <xdr:sp macro="" textlink="">
      <xdr:nvSpPr>
        <xdr:cNvPr id="10" name="Rounded Rectangle 9">
          <a:hlinkClick xmlns:r="http://schemas.openxmlformats.org/officeDocument/2006/relationships" r:id="rId5"/>
        </xdr:cNvPr>
        <xdr:cNvSpPr/>
      </xdr:nvSpPr>
      <xdr:spPr>
        <a:xfrm>
          <a:off x="6715124" y="733424"/>
          <a:ext cx="1323975" cy="4095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Sales</a:t>
          </a:r>
        </a:p>
      </xdr:txBody>
    </xdr:sp>
    <xdr:clientData/>
  </xdr:twoCellAnchor>
  <xdr:twoCellAnchor>
    <xdr:from>
      <xdr:col>6</xdr:col>
      <xdr:colOff>419099</xdr:colOff>
      <xdr:row>3</xdr:row>
      <xdr:rowOff>161925</xdr:rowOff>
    </xdr:from>
    <xdr:to>
      <xdr:col>8</xdr:col>
      <xdr:colOff>485774</xdr:colOff>
      <xdr:row>5</xdr:row>
      <xdr:rowOff>166134</xdr:rowOff>
    </xdr:to>
    <xdr:sp macro="" textlink="">
      <xdr:nvSpPr>
        <xdr:cNvPr id="11" name="Rounded Rectangle 10">
          <a:hlinkClick xmlns:r="http://schemas.openxmlformats.org/officeDocument/2006/relationships" r:id="rId6"/>
        </xdr:cNvPr>
        <xdr:cNvSpPr/>
      </xdr:nvSpPr>
      <xdr:spPr>
        <a:xfrm>
          <a:off x="4074041" y="726780"/>
          <a:ext cx="1284989" cy="380778"/>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Dupont</a:t>
          </a:r>
          <a:r>
            <a:rPr lang="en-CA" sz="1200" baseline="0">
              <a:solidFill>
                <a:sysClr val="windowText" lastClr="000000"/>
              </a:solidFill>
            </a:rPr>
            <a:t> Model</a:t>
          </a:r>
          <a:endParaRPr lang="en-CA" sz="1200">
            <a:solidFill>
              <a:sysClr val="windowText" lastClr="000000"/>
            </a:solidFill>
          </a:endParaRPr>
        </a:p>
      </xdr:txBody>
    </xdr:sp>
    <xdr:clientData/>
  </xdr:twoCellAnchor>
  <xdr:twoCellAnchor>
    <xdr:from>
      <xdr:col>4</xdr:col>
      <xdr:colOff>352425</xdr:colOff>
      <xdr:row>3</xdr:row>
      <xdr:rowOff>161925</xdr:rowOff>
    </xdr:from>
    <xdr:to>
      <xdr:col>6</xdr:col>
      <xdr:colOff>409575</xdr:colOff>
      <xdr:row>5</xdr:row>
      <xdr:rowOff>180975</xdr:rowOff>
    </xdr:to>
    <xdr:sp macro="" textlink="">
      <xdr:nvSpPr>
        <xdr:cNvPr id="12" name="Rounded Rectangle 11">
          <a:hlinkClick xmlns:r="http://schemas.openxmlformats.org/officeDocument/2006/relationships" r:id="rId7"/>
        </xdr:cNvPr>
        <xdr:cNvSpPr/>
      </xdr:nvSpPr>
      <xdr:spPr>
        <a:xfrm>
          <a:off x="2790825" y="733425"/>
          <a:ext cx="1276350" cy="40005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baseline="0">
              <a:solidFill>
                <a:sysClr val="windowText" lastClr="000000"/>
              </a:solidFill>
            </a:rPr>
            <a:t>KPI </a:t>
          </a:r>
          <a:r>
            <a:rPr lang="en-CA" sz="1200">
              <a:solidFill>
                <a:sysClr val="windowText" lastClr="000000"/>
              </a:solidFill>
            </a:rPr>
            <a:t>Mapping</a:t>
          </a:r>
        </a:p>
      </xdr:txBody>
    </xdr:sp>
    <xdr:clientData/>
  </xdr:twoCellAnchor>
  <xdr:twoCellAnchor>
    <xdr:from>
      <xdr:col>2</xdr:col>
      <xdr:colOff>238124</xdr:colOff>
      <xdr:row>3</xdr:row>
      <xdr:rowOff>161924</xdr:rowOff>
    </xdr:from>
    <xdr:to>
      <xdr:col>4</xdr:col>
      <xdr:colOff>342899</xdr:colOff>
      <xdr:row>5</xdr:row>
      <xdr:rowOff>190499</xdr:rowOff>
    </xdr:to>
    <xdr:sp macro="" textlink="">
      <xdr:nvSpPr>
        <xdr:cNvPr id="13" name="Rounded Rectangle 12">
          <a:hlinkClick xmlns:r="http://schemas.openxmlformats.org/officeDocument/2006/relationships" r:id="rId8"/>
        </xdr:cNvPr>
        <xdr:cNvSpPr/>
      </xdr:nvSpPr>
      <xdr:spPr>
        <a:xfrm>
          <a:off x="1457324" y="733424"/>
          <a:ext cx="1323975" cy="4095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KPI Summary</a:t>
          </a:r>
        </a:p>
      </xdr:txBody>
    </xdr:sp>
    <xdr:clientData/>
  </xdr:twoCellAnchor>
  <xdr:twoCellAnchor>
    <xdr:from>
      <xdr:col>17</xdr:col>
      <xdr:colOff>460375</xdr:colOff>
      <xdr:row>3</xdr:row>
      <xdr:rowOff>158750</xdr:rowOff>
    </xdr:from>
    <xdr:to>
      <xdr:col>20</xdr:col>
      <xdr:colOff>85725</xdr:colOff>
      <xdr:row>6</xdr:row>
      <xdr:rowOff>6350</xdr:rowOff>
    </xdr:to>
    <xdr:sp macro="" textlink="">
      <xdr:nvSpPr>
        <xdr:cNvPr id="19" name="Rounded Rectangle 18">
          <a:hlinkClick xmlns:r="http://schemas.openxmlformats.org/officeDocument/2006/relationships" r:id="rId9"/>
        </xdr:cNvPr>
        <xdr:cNvSpPr/>
      </xdr:nvSpPr>
      <xdr:spPr>
        <a:xfrm>
          <a:off x="10715625" y="730250"/>
          <a:ext cx="1435100"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Labour</a:t>
          </a:r>
        </a:p>
      </xdr:txBody>
    </xdr:sp>
    <xdr:clientData/>
  </xdr:twoCellAnchor>
  <xdr:twoCellAnchor>
    <xdr:from>
      <xdr:col>20</xdr:col>
      <xdr:colOff>100542</xdr:colOff>
      <xdr:row>3</xdr:row>
      <xdr:rowOff>153458</xdr:rowOff>
    </xdr:from>
    <xdr:to>
      <xdr:col>22</xdr:col>
      <xdr:colOff>205317</xdr:colOff>
      <xdr:row>5</xdr:row>
      <xdr:rowOff>182033</xdr:rowOff>
    </xdr:to>
    <xdr:sp macro="" textlink="">
      <xdr:nvSpPr>
        <xdr:cNvPr id="20" name="Rounded Rectangle 19">
          <a:hlinkClick xmlns:r="http://schemas.openxmlformats.org/officeDocument/2006/relationships" r:id="rId10"/>
        </xdr:cNvPr>
        <xdr:cNvSpPr/>
      </xdr:nvSpPr>
      <xdr:spPr>
        <a:xfrm>
          <a:off x="12165542" y="724958"/>
          <a:ext cx="1311275" cy="40957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Production</a:t>
          </a:r>
        </a:p>
      </xdr:txBody>
    </xdr:sp>
    <xdr:clientData/>
  </xdr:twoCellAnchor>
  <xdr:twoCellAnchor>
    <xdr:from>
      <xdr:col>24</xdr:col>
      <xdr:colOff>228599</xdr:colOff>
      <xdr:row>3</xdr:row>
      <xdr:rowOff>158750</xdr:rowOff>
    </xdr:from>
    <xdr:to>
      <xdr:col>25</xdr:col>
      <xdr:colOff>387644</xdr:colOff>
      <xdr:row>5</xdr:row>
      <xdr:rowOff>177800</xdr:rowOff>
    </xdr:to>
    <xdr:sp macro="" textlink="">
      <xdr:nvSpPr>
        <xdr:cNvPr id="21" name="Rounded Rectangle 20">
          <a:hlinkClick xmlns:r="http://schemas.openxmlformats.org/officeDocument/2006/relationships" r:id="rId11"/>
        </xdr:cNvPr>
        <xdr:cNvSpPr/>
      </xdr:nvSpPr>
      <xdr:spPr>
        <a:xfrm>
          <a:off x="14858999" y="781050"/>
          <a:ext cx="768645" cy="45085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Glossary</a:t>
          </a:r>
        </a:p>
      </xdr:txBody>
    </xdr:sp>
    <xdr:clientData/>
  </xdr:twoCellAnchor>
  <xdr:twoCellAnchor>
    <xdr:from>
      <xdr:col>0</xdr:col>
      <xdr:colOff>46464</xdr:colOff>
      <xdr:row>63</xdr:row>
      <xdr:rowOff>34847</xdr:rowOff>
    </xdr:from>
    <xdr:to>
      <xdr:col>10</xdr:col>
      <xdr:colOff>235032</xdr:colOff>
      <xdr:row>77</xdr:row>
      <xdr:rowOff>173120</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284513</xdr:colOff>
      <xdr:row>63</xdr:row>
      <xdr:rowOff>20967</xdr:rowOff>
    </xdr:from>
    <xdr:to>
      <xdr:col>19</xdr:col>
      <xdr:colOff>49480</xdr:colOff>
      <xdr:row>77</xdr:row>
      <xdr:rowOff>148442</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xdr:from>
          <xdr:col>32</xdr:col>
          <xdr:colOff>304800</xdr:colOff>
          <xdr:row>1</xdr:row>
          <xdr:rowOff>57150</xdr:rowOff>
        </xdr:from>
        <xdr:to>
          <xdr:col>33</xdr:col>
          <xdr:colOff>581025</xdr:colOff>
          <xdr:row>3</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Update</a:t>
              </a:r>
            </a:p>
          </xdr:txBody>
        </xdr:sp>
        <xdr:clientData fPrintsWithSheet="0"/>
      </xdr:twoCellAnchor>
    </mc:Choice>
    <mc:Fallback/>
  </mc:AlternateContent>
  <xdr:twoCellAnchor editAs="absolute">
    <xdr:from>
      <xdr:col>11</xdr:col>
      <xdr:colOff>84848</xdr:colOff>
      <xdr:row>6</xdr:row>
      <xdr:rowOff>40700</xdr:rowOff>
    </xdr:from>
    <xdr:to>
      <xdr:col>22</xdr:col>
      <xdr:colOff>255810</xdr:colOff>
      <xdr:row>25</xdr:row>
      <xdr:rowOff>113969</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203200</xdr:colOff>
      <xdr:row>3</xdr:row>
      <xdr:rowOff>152400</xdr:rowOff>
    </xdr:from>
    <xdr:to>
      <xdr:col>24</xdr:col>
      <xdr:colOff>208000</xdr:colOff>
      <xdr:row>5</xdr:row>
      <xdr:rowOff>188600</xdr:rowOff>
    </xdr:to>
    <xdr:sp macro="" textlink="">
      <xdr:nvSpPr>
        <xdr:cNvPr id="14" name="Rounded Rectangle 13">
          <a:hlinkClick xmlns:r="http://schemas.openxmlformats.org/officeDocument/2006/relationships" r:id="rId15"/>
        </xdr:cNvPr>
        <xdr:cNvSpPr/>
      </xdr:nvSpPr>
      <xdr:spPr>
        <a:xfrm>
          <a:off x="13614400" y="774700"/>
          <a:ext cx="1224000" cy="468000"/>
        </a:xfrm>
        <a:prstGeom prst="roundRect">
          <a:avLst/>
        </a:prstGeom>
        <a:solidFill>
          <a:schemeClr val="accent6">
            <a:lumMod val="40000"/>
            <a:lumOff val="60000"/>
          </a:schemeClr>
        </a:solidFill>
        <a:ln>
          <a:solidFill>
            <a:schemeClr val="accent6">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CA" sz="1200"/>
            <a:t>GL</a:t>
          </a:r>
          <a:r>
            <a:rPr lang="en-CA" sz="1200" baseline="0"/>
            <a:t> Data</a:t>
          </a:r>
          <a:endParaRPr lang="en-CA" sz="1200"/>
        </a:p>
      </xdr:txBody>
    </xdr:sp>
    <xdr:clientData/>
  </xdr:twoCellAnchor>
  <xdr:twoCellAnchor>
    <xdr:from>
      <xdr:col>0</xdr:col>
      <xdr:colOff>0</xdr:colOff>
      <xdr:row>41</xdr:row>
      <xdr:rowOff>190498</xdr:rowOff>
    </xdr:from>
    <xdr:to>
      <xdr:col>13</xdr:col>
      <xdr:colOff>566156</xdr:colOff>
      <xdr:row>62</xdr:row>
      <xdr:rowOff>185998</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607217</xdr:colOff>
      <xdr:row>41</xdr:row>
      <xdr:rowOff>190499</xdr:rowOff>
    </xdr:from>
    <xdr:to>
      <xdr:col>27</xdr:col>
      <xdr:colOff>566155</xdr:colOff>
      <xdr:row>62</xdr:row>
      <xdr:rowOff>149999</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6</xdr:row>
      <xdr:rowOff>59530</xdr:rowOff>
    </xdr:from>
    <xdr:to>
      <xdr:col>11</xdr:col>
      <xdr:colOff>35719</xdr:colOff>
      <xdr:row>25</xdr:row>
      <xdr:rowOff>107155</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23812</xdr:colOff>
      <xdr:row>93</xdr:row>
      <xdr:rowOff>154780</xdr:rowOff>
    </xdr:from>
    <xdr:to>
      <xdr:col>27</xdr:col>
      <xdr:colOff>589969</xdr:colOff>
      <xdr:row>110</xdr:row>
      <xdr:rowOff>119061</xdr:rowOff>
    </xdr:to>
    <xdr:graphicFrame macro="">
      <xdr:nvGraphicFramePr>
        <xdr:cNvPr id="75" name="Chart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11906</xdr:colOff>
      <xdr:row>93</xdr:row>
      <xdr:rowOff>154781</xdr:rowOff>
    </xdr:from>
    <xdr:to>
      <xdr:col>13</xdr:col>
      <xdr:colOff>578062</xdr:colOff>
      <xdr:row>110</xdr:row>
      <xdr:rowOff>120281</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189574</xdr:colOff>
      <xdr:row>110</xdr:row>
      <xdr:rowOff>167149</xdr:rowOff>
    </xdr:from>
    <xdr:to>
      <xdr:col>18</xdr:col>
      <xdr:colOff>332446</xdr:colOff>
      <xdr:row>126</xdr:row>
      <xdr:rowOff>179149</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0</xdr:col>
      <xdr:colOff>1</xdr:colOff>
      <xdr:row>110</xdr:row>
      <xdr:rowOff>154781</xdr:rowOff>
    </xdr:from>
    <xdr:to>
      <xdr:col>9</xdr:col>
      <xdr:colOff>142876</xdr:colOff>
      <xdr:row>127</xdr:row>
      <xdr:rowOff>0</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20</xdr:col>
      <xdr:colOff>154781</xdr:colOff>
      <xdr:row>77</xdr:row>
      <xdr:rowOff>166688</xdr:rowOff>
    </xdr:from>
    <xdr:to>
      <xdr:col>28</xdr:col>
      <xdr:colOff>2381</xdr:colOff>
      <xdr:row>93</xdr:row>
      <xdr:rowOff>119062</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35719</xdr:colOff>
      <xdr:row>77</xdr:row>
      <xdr:rowOff>166688</xdr:rowOff>
    </xdr:from>
    <xdr:to>
      <xdr:col>9</xdr:col>
      <xdr:colOff>95250</xdr:colOff>
      <xdr:row>93</xdr:row>
      <xdr:rowOff>95250</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154781</xdr:colOff>
      <xdr:row>77</xdr:row>
      <xdr:rowOff>178594</xdr:rowOff>
    </xdr:from>
    <xdr:to>
      <xdr:col>20</xdr:col>
      <xdr:colOff>47625</xdr:colOff>
      <xdr:row>93</xdr:row>
      <xdr:rowOff>83344</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25</xdr:row>
      <xdr:rowOff>142874</xdr:rowOff>
    </xdr:from>
    <xdr:to>
      <xdr:col>8</xdr:col>
      <xdr:colOff>0</xdr:colOff>
      <xdr:row>41</xdr:row>
      <xdr:rowOff>154781</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xdr:col>
      <xdr:colOff>0</xdr:colOff>
      <xdr:row>25</xdr:row>
      <xdr:rowOff>119063</xdr:rowOff>
    </xdr:from>
    <xdr:to>
      <xdr:col>15</xdr:col>
      <xdr:colOff>428625</xdr:colOff>
      <xdr:row>41</xdr:row>
      <xdr:rowOff>142875</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0</xdr:col>
      <xdr:colOff>0</xdr:colOff>
      <xdr:row>127</xdr:row>
      <xdr:rowOff>23812</xdr:rowOff>
    </xdr:from>
    <xdr:to>
      <xdr:col>28</xdr:col>
      <xdr:colOff>0</xdr:colOff>
      <xdr:row>145</xdr:row>
      <xdr:rowOff>178594</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146</xdr:row>
      <xdr:rowOff>0</xdr:rowOff>
    </xdr:from>
    <xdr:to>
      <xdr:col>27</xdr:col>
      <xdr:colOff>583406</xdr:colOff>
      <xdr:row>164</xdr:row>
      <xdr:rowOff>178594</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18</xdr:col>
      <xdr:colOff>404812</xdr:colOff>
      <xdr:row>110</xdr:row>
      <xdr:rowOff>190499</xdr:rowOff>
    </xdr:from>
    <xdr:to>
      <xdr:col>27</xdr:col>
      <xdr:colOff>571500</xdr:colOff>
      <xdr:row>126</xdr:row>
      <xdr:rowOff>142874</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22</xdr:col>
      <xdr:colOff>321468</xdr:colOff>
      <xdr:row>6</xdr:row>
      <xdr:rowOff>23811</xdr:rowOff>
    </xdr:from>
    <xdr:to>
      <xdr:col>27</xdr:col>
      <xdr:colOff>595313</xdr:colOff>
      <xdr:row>25</xdr:row>
      <xdr:rowOff>71436</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15</xdr:col>
      <xdr:colOff>476250</xdr:colOff>
      <xdr:row>25</xdr:row>
      <xdr:rowOff>130967</xdr:rowOff>
    </xdr:from>
    <xdr:to>
      <xdr:col>19</xdr:col>
      <xdr:colOff>495375</xdr:colOff>
      <xdr:row>41</xdr:row>
      <xdr:rowOff>142967</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19</xdr:col>
      <xdr:colOff>535781</xdr:colOff>
      <xdr:row>25</xdr:row>
      <xdr:rowOff>119061</xdr:rowOff>
    </xdr:from>
    <xdr:to>
      <xdr:col>23</xdr:col>
      <xdr:colOff>554906</xdr:colOff>
      <xdr:row>41</xdr:row>
      <xdr:rowOff>131061</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23</xdr:col>
      <xdr:colOff>559593</xdr:colOff>
      <xdr:row>25</xdr:row>
      <xdr:rowOff>119061</xdr:rowOff>
    </xdr:from>
    <xdr:to>
      <xdr:col>27</xdr:col>
      <xdr:colOff>578718</xdr:colOff>
      <xdr:row>41</xdr:row>
      <xdr:rowOff>142874</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19</xdr:col>
      <xdr:colOff>0</xdr:colOff>
      <xdr:row>63</xdr:row>
      <xdr:rowOff>0</xdr:rowOff>
    </xdr:from>
    <xdr:to>
      <xdr:col>27</xdr:col>
      <xdr:colOff>531915</xdr:colOff>
      <xdr:row>77</xdr:row>
      <xdr:rowOff>145473</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35582</xdr:colOff>
      <xdr:row>8</xdr:row>
      <xdr:rowOff>81644</xdr:rowOff>
    </xdr:from>
    <xdr:to>
      <xdr:col>0</xdr:col>
      <xdr:colOff>530682</xdr:colOff>
      <xdr:row>32</xdr:row>
      <xdr:rowOff>166688</xdr:rowOff>
    </xdr:to>
    <xdr:grpSp>
      <xdr:nvGrpSpPr>
        <xdr:cNvPr id="2" name="Group 7"/>
        <xdr:cNvGrpSpPr>
          <a:grpSpLocks/>
        </xdr:cNvGrpSpPr>
      </xdr:nvGrpSpPr>
      <xdr:grpSpPr bwMode="auto">
        <a:xfrm>
          <a:off x="35582" y="1710557"/>
          <a:ext cx="495100" cy="6959609"/>
          <a:chOff x="161904" y="842503"/>
          <a:chExt cx="389552" cy="3829920"/>
        </a:xfrm>
        <a:solidFill>
          <a:schemeClr val="accent6">
            <a:lumMod val="60000"/>
            <a:lumOff val="40000"/>
          </a:schemeClr>
        </a:solidFill>
      </xdr:grpSpPr>
      <xdr:sp macro="" textlink="">
        <xdr:nvSpPr>
          <xdr:cNvPr id="3" name="Chevron 2"/>
          <xdr:cNvSpPr/>
        </xdr:nvSpPr>
        <xdr:spPr bwMode="auto">
          <a:xfrm rot="16200000">
            <a:off x="-194535" y="1208441"/>
            <a:ext cx="1111928" cy="380051"/>
          </a:xfrm>
          <a:prstGeom prst="chevron">
            <a:avLst/>
          </a:prstGeom>
          <a:solidFill>
            <a:schemeClr val="accent1">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chemeClr val="tx1"/>
                </a:solidFill>
              </a:rPr>
              <a:t>Sales</a:t>
            </a:r>
          </a:p>
        </xdr:txBody>
      </xdr:sp>
      <xdr:sp macro="" textlink="">
        <xdr:nvSpPr>
          <xdr:cNvPr id="4" name="Chevron 3"/>
          <xdr:cNvSpPr/>
        </xdr:nvSpPr>
        <xdr:spPr bwMode="auto">
          <a:xfrm rot="16200000">
            <a:off x="-170064" y="2172073"/>
            <a:ext cx="1061789" cy="381251"/>
          </a:xfrm>
          <a:prstGeom prst="chevron">
            <a:avLst/>
          </a:prstGeom>
          <a:solidFill>
            <a:schemeClr val="accent5">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chemeClr val="tx1"/>
                </a:solidFill>
              </a:rPr>
              <a:t>Quotes</a:t>
            </a:r>
          </a:p>
        </xdr:txBody>
      </xdr:sp>
      <xdr:sp macro="" textlink="">
        <xdr:nvSpPr>
          <xdr:cNvPr id="5" name="Chevron 4"/>
          <xdr:cNvSpPr/>
        </xdr:nvSpPr>
        <xdr:spPr bwMode="auto">
          <a:xfrm rot="16200000">
            <a:off x="-158459" y="3089900"/>
            <a:ext cx="1030278" cy="389552"/>
          </a:xfrm>
          <a:prstGeom prst="chevron">
            <a:avLst/>
          </a:prstGeom>
          <a:solidFill>
            <a:srgbClr val="66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lnSpc>
                <a:spcPts val="1500"/>
              </a:lnSpc>
            </a:pPr>
            <a:r>
              <a:rPr lang="en-US" sz="1400" b="1">
                <a:solidFill>
                  <a:schemeClr val="tx1"/>
                </a:solidFill>
              </a:rPr>
              <a:t>Quality</a:t>
            </a:r>
          </a:p>
        </xdr:txBody>
      </xdr:sp>
      <xdr:sp macro="" textlink="">
        <xdr:nvSpPr>
          <xdr:cNvPr id="6" name="Chevron 5"/>
          <xdr:cNvSpPr/>
        </xdr:nvSpPr>
        <xdr:spPr bwMode="auto">
          <a:xfrm rot="16200000">
            <a:off x="-145641" y="3975327"/>
            <a:ext cx="1005845" cy="388348"/>
          </a:xfrm>
          <a:prstGeom prst="chevron">
            <a:avLst/>
          </a:prstGeom>
          <a:gr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lnSpc>
                <a:spcPts val="1000"/>
              </a:lnSpc>
            </a:pPr>
            <a:r>
              <a:rPr lang="en-US" sz="1400" b="1">
                <a:solidFill>
                  <a:schemeClr val="tx1"/>
                </a:solidFill>
              </a:rPr>
              <a:t>Labour</a:t>
            </a:r>
          </a:p>
        </xdr:txBody>
      </xdr:sp>
    </xdr:grpSp>
    <xdr:clientData/>
  </xdr:twoCellAnchor>
  <xdr:twoCellAnchor>
    <xdr:from>
      <xdr:col>0</xdr:col>
      <xdr:colOff>40822</xdr:colOff>
      <xdr:row>31</xdr:row>
      <xdr:rowOff>244930</xdr:rowOff>
    </xdr:from>
    <xdr:to>
      <xdr:col>0</xdr:col>
      <xdr:colOff>517072</xdr:colOff>
      <xdr:row>37</xdr:row>
      <xdr:rowOff>261939</xdr:rowOff>
    </xdr:to>
    <xdr:sp macro="" textlink="">
      <xdr:nvSpPr>
        <xdr:cNvPr id="7" name="Chevron 6"/>
        <xdr:cNvSpPr/>
      </xdr:nvSpPr>
      <xdr:spPr bwMode="auto">
        <a:xfrm rot="16200000">
          <a:off x="-586808" y="8409216"/>
          <a:ext cx="1731509" cy="476250"/>
        </a:xfrm>
        <a:prstGeom prst="chevron">
          <a:avLst/>
        </a:prstGeom>
        <a:solidFill>
          <a:srgbClr val="BAFE9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lnSpc>
              <a:spcPts val="1000"/>
            </a:lnSpc>
          </a:pPr>
          <a:r>
            <a:rPr lang="en-US" sz="1400" b="1">
              <a:solidFill>
                <a:schemeClr val="tx1"/>
              </a:solidFill>
            </a:rPr>
            <a:t>Production</a:t>
          </a:r>
        </a:p>
      </xdr:txBody>
    </xdr:sp>
    <xdr:clientData/>
  </xdr:twoCellAnchor>
  <xdr:twoCellAnchor>
    <xdr:from>
      <xdr:col>0</xdr:col>
      <xdr:colOff>29116</xdr:colOff>
      <xdr:row>37</xdr:row>
      <xdr:rowOff>65743</xdr:rowOff>
    </xdr:from>
    <xdr:to>
      <xdr:col>0</xdr:col>
      <xdr:colOff>505366</xdr:colOff>
      <xdr:row>41</xdr:row>
      <xdr:rowOff>110435</xdr:rowOff>
    </xdr:to>
    <xdr:sp macro="" textlink="">
      <xdr:nvSpPr>
        <xdr:cNvPr id="8" name="Chevron 7"/>
        <xdr:cNvSpPr/>
      </xdr:nvSpPr>
      <xdr:spPr bwMode="auto">
        <a:xfrm rot="16200000">
          <a:off x="-334888" y="9802899"/>
          <a:ext cx="1204257" cy="476250"/>
        </a:xfrm>
        <a:prstGeom prst="chevron">
          <a:avLst/>
        </a:prstGeom>
        <a:solidFill>
          <a:srgbClr val="66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lnSpc>
              <a:spcPts val="1000"/>
            </a:lnSpc>
          </a:pPr>
          <a:r>
            <a:rPr lang="en-US" sz="1400" b="1">
              <a:solidFill>
                <a:schemeClr val="tx1"/>
              </a:solidFill>
            </a:rPr>
            <a:t>Inventory</a:t>
          </a:r>
        </a:p>
      </xdr:txBody>
    </xdr:sp>
    <xdr:clientData/>
  </xdr:twoCellAnchor>
  <xdr:twoCellAnchor>
    <xdr:from>
      <xdr:col>0</xdr:col>
      <xdr:colOff>0</xdr:colOff>
      <xdr:row>0</xdr:row>
      <xdr:rowOff>0</xdr:rowOff>
    </xdr:from>
    <xdr:to>
      <xdr:col>21</xdr:col>
      <xdr:colOff>76200</xdr:colOff>
      <xdr:row>4</xdr:row>
      <xdr:rowOff>0</xdr:rowOff>
    </xdr:to>
    <xdr:sp macro="" textlink="">
      <xdr:nvSpPr>
        <xdr:cNvPr id="9" name="Rounded Rectangle 8"/>
        <xdr:cNvSpPr/>
      </xdr:nvSpPr>
      <xdr:spPr>
        <a:xfrm>
          <a:off x="0" y="0"/>
          <a:ext cx="18983325" cy="762000"/>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0</xdr:colOff>
      <xdr:row>3</xdr:row>
      <xdr:rowOff>50800</xdr:rowOff>
    </xdr:from>
    <xdr:to>
      <xdr:col>21</xdr:col>
      <xdr:colOff>50800</xdr:colOff>
      <xdr:row>4</xdr:row>
      <xdr:rowOff>12700</xdr:rowOff>
    </xdr:to>
    <xdr:sp macro="" textlink="">
      <xdr:nvSpPr>
        <xdr:cNvPr id="10" name="Round Same Side Corner Rectangle 9"/>
        <xdr:cNvSpPr/>
      </xdr:nvSpPr>
      <xdr:spPr>
        <a:xfrm>
          <a:off x="0" y="622300"/>
          <a:ext cx="18957925" cy="152400"/>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5270500</xdr:colOff>
      <xdr:row>0</xdr:row>
      <xdr:rowOff>76200</xdr:rowOff>
    </xdr:from>
    <xdr:to>
      <xdr:col>10</xdr:col>
      <xdr:colOff>403112</xdr:colOff>
      <xdr:row>2</xdr:row>
      <xdr:rowOff>47625</xdr:rowOff>
    </xdr:to>
    <xdr:sp macro="" textlink="">
      <xdr:nvSpPr>
        <xdr:cNvPr id="11" name="TextBox 10"/>
        <xdr:cNvSpPr txBox="1"/>
      </xdr:nvSpPr>
      <xdr:spPr>
        <a:xfrm>
          <a:off x="5880100" y="76200"/>
          <a:ext cx="6724537"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Key</a:t>
          </a:r>
          <a:r>
            <a:rPr lang="en-CA" sz="2000" b="1" baseline="0"/>
            <a:t> Performance Indicators </a:t>
          </a:r>
          <a:r>
            <a:rPr lang="en-CA" sz="2000" b="1"/>
            <a:t>Executive Summary</a:t>
          </a:r>
        </a:p>
      </xdr:txBody>
    </xdr:sp>
    <xdr:clientData/>
  </xdr:twoCellAnchor>
  <xdr:twoCellAnchor>
    <xdr:from>
      <xdr:col>6</xdr:col>
      <xdr:colOff>518319</xdr:colOff>
      <xdr:row>9</xdr:row>
      <xdr:rowOff>81755</xdr:rowOff>
    </xdr:from>
    <xdr:to>
      <xdr:col>20</xdr:col>
      <xdr:colOff>440530</xdr:colOff>
      <xdr:row>34</xdr:row>
      <xdr:rowOff>59532</xdr:rowOff>
    </xdr:to>
    <xdr:graphicFrame macro="">
      <xdr:nvGraphicFramePr>
        <xdr:cNvPr id="12" name="Diagram 1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14</xdr:col>
      <xdr:colOff>571500</xdr:colOff>
      <xdr:row>0</xdr:row>
      <xdr:rowOff>127000</xdr:rowOff>
    </xdr:from>
    <xdr:to>
      <xdr:col>17</xdr:col>
      <xdr:colOff>198967</xdr:colOff>
      <xdr:row>2</xdr:row>
      <xdr:rowOff>165100</xdr:rowOff>
    </xdr:to>
    <xdr:sp macro="" textlink="">
      <xdr:nvSpPr>
        <xdr:cNvPr id="13" name="Rounded Rectangle 12">
          <a:hlinkClick xmlns:r="http://schemas.openxmlformats.org/officeDocument/2006/relationships" r:id="rId6"/>
        </xdr:cNvPr>
        <xdr:cNvSpPr/>
      </xdr:nvSpPr>
      <xdr:spPr>
        <a:xfrm>
          <a:off x="15211425" y="127000"/>
          <a:ext cx="1456267"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0</xdr:col>
      <xdr:colOff>39519</xdr:colOff>
      <xdr:row>40</xdr:row>
      <xdr:rowOff>192921</xdr:rowOff>
    </xdr:from>
    <xdr:to>
      <xdr:col>0</xdr:col>
      <xdr:colOff>515769</xdr:colOff>
      <xdr:row>48</xdr:row>
      <xdr:rowOff>158582</xdr:rowOff>
    </xdr:to>
    <xdr:sp macro="" textlink="">
      <xdr:nvSpPr>
        <xdr:cNvPr id="14" name="Chevron 13"/>
        <xdr:cNvSpPr/>
      </xdr:nvSpPr>
      <xdr:spPr bwMode="auto">
        <a:xfrm rot="16200000">
          <a:off x="-540350" y="11015616"/>
          <a:ext cx="1635987" cy="476250"/>
        </a:xfrm>
        <a:prstGeom prst="chevron">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lnSpc>
              <a:spcPts val="1000"/>
            </a:lnSpc>
          </a:pPr>
          <a:r>
            <a:rPr lang="en-US" sz="1400" b="1">
              <a:solidFill>
                <a:schemeClr val="tx1"/>
              </a:solidFill>
            </a:rPr>
            <a:t>Financial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8522</xdr:colOff>
      <xdr:row>3</xdr:row>
      <xdr:rowOff>247650</xdr:rowOff>
    </xdr:from>
    <xdr:to>
      <xdr:col>8</xdr:col>
      <xdr:colOff>19050</xdr:colOff>
      <xdr:row>4</xdr:row>
      <xdr:rowOff>194310</xdr:rowOff>
    </xdr:to>
    <xdr:graphicFrame macro="">
      <xdr:nvGraphicFramePr>
        <xdr:cNvPr id="11" name="Diagram 10"/>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3</xdr:col>
      <xdr:colOff>15874</xdr:colOff>
      <xdr:row>16</xdr:row>
      <xdr:rowOff>212724</xdr:rowOff>
    </xdr:from>
    <xdr:to>
      <xdr:col>8</xdr:col>
      <xdr:colOff>0</xdr:colOff>
      <xdr:row>17</xdr:row>
      <xdr:rowOff>83184</xdr:rowOff>
    </xdr:to>
    <xdr:graphicFrame macro="">
      <xdr:nvGraphicFramePr>
        <xdr:cNvPr id="12" name="Diagram 1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3</xdr:col>
      <xdr:colOff>0</xdr:colOff>
      <xdr:row>29</xdr:row>
      <xdr:rowOff>187778</xdr:rowOff>
    </xdr:from>
    <xdr:to>
      <xdr:col>8</xdr:col>
      <xdr:colOff>0</xdr:colOff>
      <xdr:row>30</xdr:row>
      <xdr:rowOff>324938</xdr:rowOff>
    </xdr:to>
    <xdr:graphicFrame macro="">
      <xdr:nvGraphicFramePr>
        <xdr:cNvPr id="13" name="Diagram 1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3</xdr:col>
      <xdr:colOff>46434</xdr:colOff>
      <xdr:row>43</xdr:row>
      <xdr:rowOff>5442</xdr:rowOff>
    </xdr:from>
    <xdr:to>
      <xdr:col>8</xdr:col>
      <xdr:colOff>59531</xdr:colOff>
      <xdr:row>43</xdr:row>
      <xdr:rowOff>371202</xdr:rowOff>
    </xdr:to>
    <xdr:graphicFrame macro="">
      <xdr:nvGraphicFramePr>
        <xdr:cNvPr id="14" name="Diagram 1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5</xdr:col>
      <xdr:colOff>413881</xdr:colOff>
      <xdr:row>3</xdr:row>
      <xdr:rowOff>0</xdr:rowOff>
    </xdr:from>
    <xdr:to>
      <xdr:col>7</xdr:col>
      <xdr:colOff>990600</xdr:colOff>
      <xdr:row>3</xdr:row>
      <xdr:rowOff>38100</xdr:rowOff>
    </xdr:to>
    <xdr:sp macro="" textlink="">
      <xdr:nvSpPr>
        <xdr:cNvPr id="29" name="TextBox 28"/>
        <xdr:cNvSpPr txBox="1"/>
      </xdr:nvSpPr>
      <xdr:spPr>
        <a:xfrm>
          <a:off x="9729331" y="257175"/>
          <a:ext cx="6558419"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Key</a:t>
          </a:r>
          <a:r>
            <a:rPr lang="en-CA" sz="2000" b="1" baseline="0"/>
            <a:t> Performance Indicators </a:t>
          </a:r>
          <a:r>
            <a:rPr lang="en-CA" sz="2000" b="1"/>
            <a:t>Executive Summary - Sales</a:t>
          </a:r>
        </a:p>
      </xdr:txBody>
    </xdr:sp>
    <xdr:clientData/>
  </xdr:twoCellAnchor>
  <xdr:twoCellAnchor>
    <xdr:from>
      <xdr:col>0</xdr:col>
      <xdr:colOff>0</xdr:colOff>
      <xdr:row>0</xdr:row>
      <xdr:rowOff>0</xdr:rowOff>
    </xdr:from>
    <xdr:to>
      <xdr:col>8</xdr:col>
      <xdr:colOff>66842</xdr:colOff>
      <xdr:row>3</xdr:row>
      <xdr:rowOff>89297</xdr:rowOff>
    </xdr:to>
    <xdr:sp macro="" textlink="">
      <xdr:nvSpPr>
        <xdr:cNvPr id="31" name="Rounded Rectangle 30"/>
        <xdr:cNvSpPr/>
      </xdr:nvSpPr>
      <xdr:spPr>
        <a:xfrm>
          <a:off x="0" y="0"/>
          <a:ext cx="22392105" cy="640744"/>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0</xdr:colOff>
      <xdr:row>2</xdr:row>
      <xdr:rowOff>113390</xdr:rowOff>
    </xdr:from>
    <xdr:to>
      <xdr:col>8</xdr:col>
      <xdr:colOff>83553</xdr:colOff>
      <xdr:row>3</xdr:row>
      <xdr:rowOff>100264</xdr:rowOff>
    </xdr:to>
    <xdr:sp macro="" textlink="">
      <xdr:nvSpPr>
        <xdr:cNvPr id="32" name="Round Same Side Corner Rectangle 31"/>
        <xdr:cNvSpPr/>
      </xdr:nvSpPr>
      <xdr:spPr>
        <a:xfrm rot="10800000">
          <a:off x="0" y="481022"/>
          <a:ext cx="22408816" cy="170689"/>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2111375</xdr:colOff>
      <xdr:row>0</xdr:row>
      <xdr:rowOff>79375</xdr:rowOff>
    </xdr:from>
    <xdr:to>
      <xdr:col>6</xdr:col>
      <xdr:colOff>2254250</xdr:colOff>
      <xdr:row>2</xdr:row>
      <xdr:rowOff>31750</xdr:rowOff>
    </xdr:to>
    <xdr:sp macro="" textlink="">
      <xdr:nvSpPr>
        <xdr:cNvPr id="33" name="TextBox 32"/>
        <xdr:cNvSpPr txBox="1"/>
      </xdr:nvSpPr>
      <xdr:spPr>
        <a:xfrm>
          <a:off x="8366125" y="79375"/>
          <a:ext cx="61118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a:t>Key</a:t>
          </a:r>
          <a:r>
            <a:rPr lang="en-CA" sz="2000" baseline="0"/>
            <a:t> Performance Indicators </a:t>
          </a:r>
          <a:r>
            <a:rPr lang="en-CA" sz="2000"/>
            <a:t>Executive Summary - KPI</a:t>
          </a:r>
          <a:r>
            <a:rPr lang="en-CA" sz="2000" baseline="0"/>
            <a:t> Mapping</a:t>
          </a:r>
          <a:endParaRPr lang="en-CA" sz="2000"/>
        </a:p>
      </xdr:txBody>
    </xdr:sp>
    <xdr:clientData/>
  </xdr:twoCellAnchor>
  <xdr:twoCellAnchor>
    <xdr:from>
      <xdr:col>7</xdr:col>
      <xdr:colOff>1539416</xdr:colOff>
      <xdr:row>0</xdr:row>
      <xdr:rowOff>68976</xdr:rowOff>
    </xdr:from>
    <xdr:to>
      <xdr:col>7</xdr:col>
      <xdr:colOff>3208421</xdr:colOff>
      <xdr:row>2</xdr:row>
      <xdr:rowOff>50131</xdr:rowOff>
    </xdr:to>
    <xdr:sp macro="" textlink="">
      <xdr:nvSpPr>
        <xdr:cNvPr id="35" name="Rounded Rectangle 34">
          <a:hlinkClick xmlns:r="http://schemas.openxmlformats.org/officeDocument/2006/relationships" r:id="rId21"/>
        </xdr:cNvPr>
        <xdr:cNvSpPr/>
      </xdr:nvSpPr>
      <xdr:spPr>
        <a:xfrm>
          <a:off x="19954416" y="68976"/>
          <a:ext cx="1669005" cy="348787"/>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3</xdr:col>
      <xdr:colOff>8334</xdr:colOff>
      <xdr:row>56</xdr:row>
      <xdr:rowOff>43542</xdr:rowOff>
    </xdr:from>
    <xdr:to>
      <xdr:col>8</xdr:col>
      <xdr:colOff>21431</xdr:colOff>
      <xdr:row>56</xdr:row>
      <xdr:rowOff>409302</xdr:rowOff>
    </xdr:to>
    <xdr:graphicFrame macro="">
      <xdr:nvGraphicFramePr>
        <xdr:cNvPr id="15" name="Diagram 14"/>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2" r:lo="rId23" r:qs="rId24" r:cs="rId2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51595</xdr:colOff>
      <xdr:row>6</xdr:row>
      <xdr:rowOff>112449</xdr:rowOff>
    </xdr:from>
    <xdr:to>
      <xdr:col>1</xdr:col>
      <xdr:colOff>1240315</xdr:colOff>
      <xdr:row>10</xdr:row>
      <xdr:rowOff>7946</xdr:rowOff>
    </xdr:to>
    <xdr:sp macro="" textlink="">
      <xdr:nvSpPr>
        <xdr:cNvPr id="2" name="Rounded Rectangle 1"/>
        <xdr:cNvSpPr/>
      </xdr:nvSpPr>
      <xdr:spPr>
        <a:xfrm>
          <a:off x="280195" y="855399"/>
          <a:ext cx="1188720" cy="63844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marL="0" indent="0" algn="ctr"/>
          <a:r>
            <a:rPr lang="en-US" sz="1600">
              <a:solidFill>
                <a:schemeClr val="lt1"/>
              </a:solidFill>
              <a:latin typeface="+mn-lt"/>
              <a:ea typeface="+mn-ea"/>
              <a:cs typeface="+mn-cs"/>
            </a:rPr>
            <a:t>Sales</a:t>
          </a:r>
        </a:p>
      </xdr:txBody>
    </xdr:sp>
    <xdr:clientData/>
  </xdr:twoCellAnchor>
  <xdr:twoCellAnchor>
    <xdr:from>
      <xdr:col>1</xdr:col>
      <xdr:colOff>51595</xdr:colOff>
      <xdr:row>11</xdr:row>
      <xdr:rowOff>89957</xdr:rowOff>
    </xdr:from>
    <xdr:to>
      <xdr:col>1</xdr:col>
      <xdr:colOff>1240315</xdr:colOff>
      <xdr:row>14</xdr:row>
      <xdr:rowOff>80704</xdr:rowOff>
    </xdr:to>
    <xdr:sp macro="" textlink="">
      <xdr:nvSpPr>
        <xdr:cNvPr id="3" name="Rounded Rectangle 2"/>
        <xdr:cNvSpPr/>
      </xdr:nvSpPr>
      <xdr:spPr>
        <a:xfrm>
          <a:off x="280195" y="1804457"/>
          <a:ext cx="1188720" cy="54319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600"/>
            <a:t>COGS</a:t>
          </a:r>
        </a:p>
      </xdr:txBody>
    </xdr:sp>
    <xdr:clientData/>
  </xdr:twoCellAnchor>
  <xdr:twoCellAnchor>
    <xdr:from>
      <xdr:col>3</xdr:col>
      <xdr:colOff>80886</xdr:colOff>
      <xdr:row>9</xdr:row>
      <xdr:rowOff>80132</xdr:rowOff>
    </xdr:from>
    <xdr:to>
      <xdr:col>3</xdr:col>
      <xdr:colOff>1233030</xdr:colOff>
      <xdr:row>12</xdr:row>
      <xdr:rowOff>70880</xdr:rowOff>
    </xdr:to>
    <xdr:sp macro="" textlink="">
      <xdr:nvSpPr>
        <xdr:cNvPr id="4" name="Rounded Rectangle 3"/>
        <xdr:cNvSpPr/>
      </xdr:nvSpPr>
      <xdr:spPr>
        <a:xfrm>
          <a:off x="2100186" y="1404107"/>
          <a:ext cx="1152144" cy="543198"/>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Gross</a:t>
          </a:r>
          <a:r>
            <a:rPr lang="en-US" sz="1400" baseline="0"/>
            <a:t> Margin</a:t>
          </a:r>
          <a:endParaRPr lang="en-US" sz="1400"/>
        </a:p>
      </xdr:txBody>
    </xdr:sp>
    <xdr:clientData/>
  </xdr:twoCellAnchor>
  <xdr:twoCellAnchor>
    <xdr:from>
      <xdr:col>1</xdr:col>
      <xdr:colOff>1256394</xdr:colOff>
      <xdr:row>10</xdr:row>
      <xdr:rowOff>151191</xdr:rowOff>
    </xdr:from>
    <xdr:to>
      <xdr:col>2</xdr:col>
      <xdr:colOff>238035</xdr:colOff>
      <xdr:row>11</xdr:row>
      <xdr:rowOff>102749</xdr:rowOff>
    </xdr:to>
    <xdr:sp macro="" textlink="">
      <xdr:nvSpPr>
        <xdr:cNvPr id="5" name="Minus 4"/>
        <xdr:cNvSpPr/>
      </xdr:nvSpPr>
      <xdr:spPr>
        <a:xfrm flipH="1">
          <a:off x="1484994" y="1637091"/>
          <a:ext cx="277041" cy="180158"/>
        </a:xfrm>
        <a:prstGeom prst="mathMin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1240315</xdr:colOff>
      <xdr:row>10</xdr:row>
      <xdr:rowOff>186631</xdr:rowOff>
    </xdr:from>
    <xdr:to>
      <xdr:col>3</xdr:col>
      <xdr:colOff>80886</xdr:colOff>
      <xdr:row>13</xdr:row>
      <xdr:rowOff>37706</xdr:rowOff>
    </xdr:to>
    <xdr:cxnSp macro="">
      <xdr:nvCxnSpPr>
        <xdr:cNvPr id="6" name="Elbow Connector 5"/>
        <xdr:cNvCxnSpPr>
          <a:stCxn id="3" idx="3"/>
          <a:endCxn id="4" idx="1"/>
        </xdr:cNvCxnSpPr>
      </xdr:nvCxnSpPr>
      <xdr:spPr>
        <a:xfrm flipV="1">
          <a:off x="1468915" y="1672531"/>
          <a:ext cx="631271" cy="403525"/>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8</xdr:row>
      <xdr:rowOff>12573</xdr:rowOff>
    </xdr:from>
    <xdr:to>
      <xdr:col>3</xdr:col>
      <xdr:colOff>80886</xdr:colOff>
      <xdr:row>10</xdr:row>
      <xdr:rowOff>186631</xdr:rowOff>
    </xdr:to>
    <xdr:cxnSp macro="">
      <xdr:nvCxnSpPr>
        <xdr:cNvPr id="7" name="Elbow Connector 6"/>
        <xdr:cNvCxnSpPr>
          <a:stCxn id="2" idx="3"/>
          <a:endCxn id="4" idx="1"/>
        </xdr:cNvCxnSpPr>
      </xdr:nvCxnSpPr>
      <xdr:spPr>
        <a:xfrm>
          <a:off x="1468915" y="1174623"/>
          <a:ext cx="631271" cy="497908"/>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51595</xdr:colOff>
      <xdr:row>18</xdr:row>
      <xdr:rowOff>31749</xdr:rowOff>
    </xdr:from>
    <xdr:to>
      <xdr:col>1</xdr:col>
      <xdr:colOff>1240315</xdr:colOff>
      <xdr:row>20</xdr:row>
      <xdr:rowOff>185782</xdr:rowOff>
    </xdr:to>
    <xdr:sp macro="" textlink="">
      <xdr:nvSpPr>
        <xdr:cNvPr id="8" name="Rounded Rectangle 7"/>
        <xdr:cNvSpPr/>
      </xdr:nvSpPr>
      <xdr:spPr>
        <a:xfrm>
          <a:off x="280195" y="3013074"/>
          <a:ext cx="1188720" cy="563608"/>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300"/>
            <a:t>Variable</a:t>
          </a:r>
          <a:r>
            <a:rPr lang="en-US" sz="1300" baseline="0"/>
            <a:t> Expenses</a:t>
          </a:r>
          <a:endParaRPr lang="en-US" sz="1300"/>
        </a:p>
      </xdr:txBody>
    </xdr:sp>
    <xdr:clientData/>
  </xdr:twoCellAnchor>
  <xdr:twoCellAnchor>
    <xdr:from>
      <xdr:col>1</xdr:col>
      <xdr:colOff>51595</xdr:colOff>
      <xdr:row>23</xdr:row>
      <xdr:rowOff>45355</xdr:rowOff>
    </xdr:from>
    <xdr:to>
      <xdr:col>1</xdr:col>
      <xdr:colOff>1240315</xdr:colOff>
      <xdr:row>25</xdr:row>
      <xdr:rowOff>131352</xdr:rowOff>
    </xdr:to>
    <xdr:sp macro="" textlink="">
      <xdr:nvSpPr>
        <xdr:cNvPr id="9" name="Rounded Rectangle 8"/>
        <xdr:cNvSpPr/>
      </xdr:nvSpPr>
      <xdr:spPr>
        <a:xfrm>
          <a:off x="280195" y="4055380"/>
          <a:ext cx="1188720" cy="52414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300"/>
            <a:t>Fixed</a:t>
          </a:r>
          <a:r>
            <a:rPr lang="en-US" sz="1300" baseline="0"/>
            <a:t> Expenses</a:t>
          </a:r>
          <a:endParaRPr lang="en-US" sz="1300"/>
        </a:p>
      </xdr:txBody>
    </xdr:sp>
    <xdr:clientData/>
  </xdr:twoCellAnchor>
  <xdr:twoCellAnchor>
    <xdr:from>
      <xdr:col>3</xdr:col>
      <xdr:colOff>80886</xdr:colOff>
      <xdr:row>20</xdr:row>
      <xdr:rowOff>214692</xdr:rowOff>
    </xdr:from>
    <xdr:to>
      <xdr:col>3</xdr:col>
      <xdr:colOff>1233030</xdr:colOff>
      <xdr:row>23</xdr:row>
      <xdr:rowOff>137403</xdr:rowOff>
    </xdr:to>
    <xdr:sp macro="" textlink="">
      <xdr:nvSpPr>
        <xdr:cNvPr id="10" name="Rounded Rectangle 9"/>
        <xdr:cNvSpPr/>
      </xdr:nvSpPr>
      <xdr:spPr>
        <a:xfrm>
          <a:off x="2100186" y="3605592"/>
          <a:ext cx="1152144" cy="541836"/>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Total</a:t>
          </a:r>
          <a:r>
            <a:rPr lang="en-US" sz="1400" baseline="0"/>
            <a:t> Expenses</a:t>
          </a:r>
          <a:endParaRPr lang="en-US" sz="1400"/>
        </a:p>
      </xdr:txBody>
    </xdr:sp>
    <xdr:clientData/>
  </xdr:twoCellAnchor>
  <xdr:twoCellAnchor>
    <xdr:from>
      <xdr:col>1</xdr:col>
      <xdr:colOff>1238250</xdr:colOff>
      <xdr:row>21</xdr:row>
      <xdr:rowOff>74085</xdr:rowOff>
    </xdr:from>
    <xdr:to>
      <xdr:col>2</xdr:col>
      <xdr:colOff>221403</xdr:colOff>
      <xdr:row>22</xdr:row>
      <xdr:rowOff>117084</xdr:rowOff>
    </xdr:to>
    <xdr:sp macro="" textlink="">
      <xdr:nvSpPr>
        <xdr:cNvPr id="11" name="Plus 10"/>
        <xdr:cNvSpPr/>
      </xdr:nvSpPr>
      <xdr:spPr>
        <a:xfrm>
          <a:off x="1466850" y="3693585"/>
          <a:ext cx="278553" cy="271599"/>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51595</xdr:colOff>
      <xdr:row>28</xdr:row>
      <xdr:rowOff>86179</xdr:rowOff>
    </xdr:from>
    <xdr:to>
      <xdr:col>1</xdr:col>
      <xdr:colOff>1240315</xdr:colOff>
      <xdr:row>30</xdr:row>
      <xdr:rowOff>76927</xdr:rowOff>
    </xdr:to>
    <xdr:sp macro="" textlink="">
      <xdr:nvSpPr>
        <xdr:cNvPr id="12" name="Rounded Rectangle 11"/>
        <xdr:cNvSpPr/>
      </xdr:nvSpPr>
      <xdr:spPr>
        <a:xfrm>
          <a:off x="280195" y="5086804"/>
          <a:ext cx="1188720" cy="343173"/>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600"/>
            <a:t>Inventory</a:t>
          </a:r>
        </a:p>
      </xdr:txBody>
    </xdr:sp>
    <xdr:clientData/>
  </xdr:twoCellAnchor>
  <xdr:twoCellAnchor>
    <xdr:from>
      <xdr:col>1</xdr:col>
      <xdr:colOff>51595</xdr:colOff>
      <xdr:row>32</xdr:row>
      <xdr:rowOff>170844</xdr:rowOff>
    </xdr:from>
    <xdr:to>
      <xdr:col>1</xdr:col>
      <xdr:colOff>1240315</xdr:colOff>
      <xdr:row>34</xdr:row>
      <xdr:rowOff>158750</xdr:rowOff>
    </xdr:to>
    <xdr:sp macro="" textlink="">
      <xdr:nvSpPr>
        <xdr:cNvPr id="13" name="Rounded Rectangle 12"/>
        <xdr:cNvSpPr/>
      </xdr:nvSpPr>
      <xdr:spPr>
        <a:xfrm>
          <a:off x="280195" y="5942994"/>
          <a:ext cx="1188720" cy="445106"/>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200"/>
            <a:t>Accounts Recievable</a:t>
          </a:r>
        </a:p>
      </xdr:txBody>
    </xdr:sp>
    <xdr:clientData/>
  </xdr:twoCellAnchor>
  <xdr:twoCellAnchor>
    <xdr:from>
      <xdr:col>1</xdr:col>
      <xdr:colOff>51595</xdr:colOff>
      <xdr:row>47</xdr:row>
      <xdr:rowOff>217713</xdr:rowOff>
    </xdr:from>
    <xdr:to>
      <xdr:col>1</xdr:col>
      <xdr:colOff>1240315</xdr:colOff>
      <xdr:row>50</xdr:row>
      <xdr:rowOff>143085</xdr:rowOff>
    </xdr:to>
    <xdr:sp macro="" textlink="">
      <xdr:nvSpPr>
        <xdr:cNvPr id="14" name="Rounded Rectangle 13"/>
        <xdr:cNvSpPr/>
      </xdr:nvSpPr>
      <xdr:spPr>
        <a:xfrm>
          <a:off x="280195" y="9247413"/>
          <a:ext cx="1188720" cy="573072"/>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400"/>
            <a:t>Long Term Debt</a:t>
          </a:r>
        </a:p>
      </xdr:txBody>
    </xdr:sp>
    <xdr:clientData/>
  </xdr:twoCellAnchor>
  <xdr:twoCellAnchor>
    <xdr:from>
      <xdr:col>1</xdr:col>
      <xdr:colOff>51595</xdr:colOff>
      <xdr:row>36</xdr:row>
      <xdr:rowOff>181428</xdr:rowOff>
    </xdr:from>
    <xdr:to>
      <xdr:col>1</xdr:col>
      <xdr:colOff>1240315</xdr:colOff>
      <xdr:row>39</xdr:row>
      <xdr:rowOff>104139</xdr:rowOff>
    </xdr:to>
    <xdr:sp macro="" textlink="">
      <xdr:nvSpPr>
        <xdr:cNvPr id="15" name="Rounded Rectangle 14"/>
        <xdr:cNvSpPr/>
      </xdr:nvSpPr>
      <xdr:spPr>
        <a:xfrm>
          <a:off x="280195" y="6829878"/>
          <a:ext cx="1188720" cy="570411"/>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100"/>
            <a:t>Other</a:t>
          </a:r>
          <a:r>
            <a:rPr lang="en-US" sz="1100" baseline="0"/>
            <a:t> Current Assets</a:t>
          </a:r>
          <a:endParaRPr lang="en-US" sz="1100"/>
        </a:p>
      </xdr:txBody>
    </xdr:sp>
    <xdr:clientData/>
  </xdr:twoCellAnchor>
  <xdr:twoCellAnchor>
    <xdr:from>
      <xdr:col>1</xdr:col>
      <xdr:colOff>51595</xdr:colOff>
      <xdr:row>43</xdr:row>
      <xdr:rowOff>166309</xdr:rowOff>
    </xdr:from>
    <xdr:to>
      <xdr:col>1</xdr:col>
      <xdr:colOff>1240315</xdr:colOff>
      <xdr:row>46</xdr:row>
      <xdr:rowOff>89020</xdr:rowOff>
    </xdr:to>
    <xdr:sp macro="" textlink="">
      <xdr:nvSpPr>
        <xdr:cNvPr id="16" name="Rounded Rectangle 15"/>
        <xdr:cNvSpPr/>
      </xdr:nvSpPr>
      <xdr:spPr>
        <a:xfrm>
          <a:off x="280195" y="8262559"/>
          <a:ext cx="1188720" cy="570411"/>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200"/>
            <a:t>Current Liabilities</a:t>
          </a:r>
          <a:endParaRPr lang="en-US" sz="1100"/>
        </a:p>
      </xdr:txBody>
    </xdr:sp>
    <xdr:clientData/>
  </xdr:twoCellAnchor>
  <xdr:twoCellAnchor>
    <xdr:from>
      <xdr:col>3</xdr:col>
      <xdr:colOff>80886</xdr:colOff>
      <xdr:row>30</xdr:row>
      <xdr:rowOff>136071</xdr:rowOff>
    </xdr:from>
    <xdr:to>
      <xdr:col>3</xdr:col>
      <xdr:colOff>1233030</xdr:colOff>
      <xdr:row>33</xdr:row>
      <xdr:rowOff>0</xdr:rowOff>
    </xdr:to>
    <xdr:sp macro="" textlink="">
      <xdr:nvSpPr>
        <xdr:cNvPr id="17" name="Rounded Rectangle 16"/>
        <xdr:cNvSpPr/>
      </xdr:nvSpPr>
      <xdr:spPr>
        <a:xfrm>
          <a:off x="2100186" y="5489121"/>
          <a:ext cx="1152144" cy="511629"/>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Current Assets</a:t>
          </a:r>
        </a:p>
      </xdr:txBody>
    </xdr:sp>
    <xdr:clientData/>
  </xdr:twoCellAnchor>
  <xdr:twoCellAnchor>
    <xdr:from>
      <xdr:col>3</xdr:col>
      <xdr:colOff>80886</xdr:colOff>
      <xdr:row>35</xdr:row>
      <xdr:rowOff>36285</xdr:rowOff>
    </xdr:from>
    <xdr:to>
      <xdr:col>3</xdr:col>
      <xdr:colOff>1233030</xdr:colOff>
      <xdr:row>37</xdr:row>
      <xdr:rowOff>238125</xdr:rowOff>
    </xdr:to>
    <xdr:sp macro="" textlink="">
      <xdr:nvSpPr>
        <xdr:cNvPr id="18" name="Rounded Rectangle 17"/>
        <xdr:cNvSpPr/>
      </xdr:nvSpPr>
      <xdr:spPr>
        <a:xfrm>
          <a:off x="2100186" y="6456135"/>
          <a:ext cx="1152144" cy="611415"/>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Fixed Assets</a:t>
          </a:r>
        </a:p>
      </xdr:txBody>
    </xdr:sp>
    <xdr:clientData/>
  </xdr:twoCellAnchor>
  <xdr:twoCellAnchor>
    <xdr:from>
      <xdr:col>1</xdr:col>
      <xdr:colOff>1240315</xdr:colOff>
      <xdr:row>29</xdr:row>
      <xdr:rowOff>0</xdr:rowOff>
    </xdr:from>
    <xdr:to>
      <xdr:col>3</xdr:col>
      <xdr:colOff>80886</xdr:colOff>
      <xdr:row>32</xdr:row>
      <xdr:rowOff>2177</xdr:rowOff>
    </xdr:to>
    <xdr:cxnSp macro="">
      <xdr:nvCxnSpPr>
        <xdr:cNvPr id="19" name="Elbow Connector 18"/>
        <xdr:cNvCxnSpPr>
          <a:stCxn id="12" idx="3"/>
          <a:endCxn id="17" idx="1"/>
        </xdr:cNvCxnSpPr>
      </xdr:nvCxnSpPr>
      <xdr:spPr>
        <a:xfrm>
          <a:off x="1468915" y="5162550"/>
          <a:ext cx="631271" cy="611777"/>
        </a:xfrm>
        <a:prstGeom prst="bentConnector3">
          <a:avLst>
            <a:gd name="adj1" fmla="val 50000"/>
          </a:avLst>
        </a:prstGeom>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31</xdr:row>
      <xdr:rowOff>195036</xdr:rowOff>
    </xdr:from>
    <xdr:to>
      <xdr:col>3</xdr:col>
      <xdr:colOff>80886</xdr:colOff>
      <xdr:row>33</xdr:row>
      <xdr:rowOff>164797</xdr:rowOff>
    </xdr:to>
    <xdr:cxnSp macro="">
      <xdr:nvCxnSpPr>
        <xdr:cNvPr id="20" name="Elbow Connector 19"/>
        <xdr:cNvCxnSpPr>
          <a:stCxn id="13" idx="3"/>
          <a:endCxn id="17" idx="1"/>
        </xdr:cNvCxnSpPr>
      </xdr:nvCxnSpPr>
      <xdr:spPr>
        <a:xfrm flipV="1">
          <a:off x="1468915" y="5738586"/>
          <a:ext cx="631271" cy="426961"/>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32</xdr:row>
      <xdr:rowOff>2177</xdr:rowOff>
    </xdr:from>
    <xdr:to>
      <xdr:col>3</xdr:col>
      <xdr:colOff>80886</xdr:colOff>
      <xdr:row>37</xdr:row>
      <xdr:rowOff>333284</xdr:rowOff>
    </xdr:to>
    <xdr:cxnSp macro="">
      <xdr:nvCxnSpPr>
        <xdr:cNvPr id="21" name="Elbow Connector 20"/>
        <xdr:cNvCxnSpPr>
          <a:stCxn id="15" idx="3"/>
          <a:endCxn id="17" idx="1"/>
        </xdr:cNvCxnSpPr>
      </xdr:nvCxnSpPr>
      <xdr:spPr>
        <a:xfrm flipV="1">
          <a:off x="1468915" y="5774327"/>
          <a:ext cx="631271" cy="1293132"/>
        </a:xfrm>
        <a:prstGeom prst="bentConnector3">
          <a:avLst>
            <a:gd name="adj1" fmla="val 50000"/>
          </a:avLst>
        </a:prstGeom>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1259417</xdr:colOff>
      <xdr:row>31</xdr:row>
      <xdr:rowOff>116417</xdr:rowOff>
    </xdr:from>
    <xdr:to>
      <xdr:col>2</xdr:col>
      <xdr:colOff>242570</xdr:colOff>
      <xdr:row>32</xdr:row>
      <xdr:rowOff>159415</xdr:rowOff>
    </xdr:to>
    <xdr:sp macro="" textlink="">
      <xdr:nvSpPr>
        <xdr:cNvPr id="22" name="Plus 21"/>
        <xdr:cNvSpPr/>
      </xdr:nvSpPr>
      <xdr:spPr>
        <a:xfrm>
          <a:off x="1488017" y="5659967"/>
          <a:ext cx="278553" cy="271598"/>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1270000</xdr:colOff>
      <xdr:row>34</xdr:row>
      <xdr:rowOff>126999</xdr:rowOff>
    </xdr:from>
    <xdr:to>
      <xdr:col>2</xdr:col>
      <xdr:colOff>253153</xdr:colOff>
      <xdr:row>36</xdr:row>
      <xdr:rowOff>6712</xdr:rowOff>
    </xdr:to>
    <xdr:sp macro="" textlink="">
      <xdr:nvSpPr>
        <xdr:cNvPr id="23" name="Plus 22"/>
        <xdr:cNvSpPr/>
      </xdr:nvSpPr>
      <xdr:spPr>
        <a:xfrm>
          <a:off x="1498600" y="6356349"/>
          <a:ext cx="278553" cy="298813"/>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3</xdr:col>
      <xdr:colOff>80886</xdr:colOff>
      <xdr:row>46</xdr:row>
      <xdr:rowOff>131536</xdr:rowOff>
    </xdr:from>
    <xdr:to>
      <xdr:col>3</xdr:col>
      <xdr:colOff>1233030</xdr:colOff>
      <xdr:row>48</xdr:row>
      <xdr:rowOff>54247</xdr:rowOff>
    </xdr:to>
    <xdr:sp macro="" textlink="">
      <xdr:nvSpPr>
        <xdr:cNvPr id="24" name="Rounded Rectangle 23"/>
        <xdr:cNvSpPr/>
      </xdr:nvSpPr>
      <xdr:spPr>
        <a:xfrm>
          <a:off x="2100186" y="8875486"/>
          <a:ext cx="1152144" cy="437061"/>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Total Debt</a:t>
          </a:r>
        </a:p>
      </xdr:txBody>
    </xdr:sp>
    <xdr:clientData/>
  </xdr:twoCellAnchor>
  <xdr:twoCellAnchor>
    <xdr:from>
      <xdr:col>3</xdr:col>
      <xdr:colOff>80886</xdr:colOff>
      <xdr:row>41</xdr:row>
      <xdr:rowOff>93739</xdr:rowOff>
    </xdr:from>
    <xdr:to>
      <xdr:col>3</xdr:col>
      <xdr:colOff>1233030</xdr:colOff>
      <xdr:row>44</xdr:row>
      <xdr:rowOff>84486</xdr:rowOff>
    </xdr:to>
    <xdr:sp macro="" textlink="">
      <xdr:nvSpPr>
        <xdr:cNvPr id="25" name="Rounded Rectangle 24"/>
        <xdr:cNvSpPr/>
      </xdr:nvSpPr>
      <xdr:spPr>
        <a:xfrm>
          <a:off x="2100186" y="7808989"/>
          <a:ext cx="1152144" cy="600347"/>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Total Assets</a:t>
          </a:r>
        </a:p>
      </xdr:txBody>
    </xdr:sp>
    <xdr:clientData/>
  </xdr:twoCellAnchor>
  <xdr:twoCellAnchor>
    <xdr:from>
      <xdr:col>1</xdr:col>
      <xdr:colOff>1240315</xdr:colOff>
      <xdr:row>45</xdr:row>
      <xdr:rowOff>32415</xdr:rowOff>
    </xdr:from>
    <xdr:to>
      <xdr:col>3</xdr:col>
      <xdr:colOff>80886</xdr:colOff>
      <xdr:row>47</xdr:row>
      <xdr:rowOff>172267</xdr:rowOff>
    </xdr:to>
    <xdr:cxnSp macro="">
      <xdr:nvCxnSpPr>
        <xdr:cNvPr id="26" name="Elbow Connector 25"/>
        <xdr:cNvCxnSpPr>
          <a:stCxn id="16" idx="3"/>
          <a:endCxn id="24" idx="1"/>
        </xdr:cNvCxnSpPr>
      </xdr:nvCxnSpPr>
      <xdr:spPr>
        <a:xfrm>
          <a:off x="1468915" y="8547765"/>
          <a:ext cx="631271" cy="654202"/>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47</xdr:row>
      <xdr:rowOff>172267</xdr:rowOff>
    </xdr:from>
    <xdr:to>
      <xdr:col>3</xdr:col>
      <xdr:colOff>80886</xdr:colOff>
      <xdr:row>48</xdr:row>
      <xdr:rowOff>101024</xdr:rowOff>
    </xdr:to>
    <xdr:cxnSp macro="">
      <xdr:nvCxnSpPr>
        <xdr:cNvPr id="27" name="Elbow Connector 26"/>
        <xdr:cNvCxnSpPr>
          <a:stCxn id="14" idx="3"/>
          <a:endCxn id="24" idx="1"/>
        </xdr:cNvCxnSpPr>
      </xdr:nvCxnSpPr>
      <xdr:spPr>
        <a:xfrm flipV="1">
          <a:off x="1468915" y="9201967"/>
          <a:ext cx="631271" cy="157357"/>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1248834</xdr:colOff>
      <xdr:row>47</xdr:row>
      <xdr:rowOff>0</xdr:rowOff>
    </xdr:from>
    <xdr:to>
      <xdr:col>2</xdr:col>
      <xdr:colOff>231987</xdr:colOff>
      <xdr:row>47</xdr:row>
      <xdr:rowOff>222916</xdr:rowOff>
    </xdr:to>
    <xdr:sp macro="" textlink="">
      <xdr:nvSpPr>
        <xdr:cNvPr id="28" name="Plus 27"/>
        <xdr:cNvSpPr/>
      </xdr:nvSpPr>
      <xdr:spPr>
        <a:xfrm>
          <a:off x="1477434" y="9029700"/>
          <a:ext cx="278553" cy="222916"/>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5</xdr:col>
      <xdr:colOff>85895</xdr:colOff>
      <xdr:row>14</xdr:row>
      <xdr:rowOff>103753</xdr:rowOff>
    </xdr:from>
    <xdr:to>
      <xdr:col>5</xdr:col>
      <xdr:colOff>1238039</xdr:colOff>
      <xdr:row>17</xdr:row>
      <xdr:rowOff>94501</xdr:rowOff>
    </xdr:to>
    <xdr:sp macro="" textlink="">
      <xdr:nvSpPr>
        <xdr:cNvPr id="29" name="Rounded Rectangle 28"/>
        <xdr:cNvSpPr/>
      </xdr:nvSpPr>
      <xdr:spPr>
        <a:xfrm>
          <a:off x="3895895" y="2370703"/>
          <a:ext cx="1152144" cy="543198"/>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600"/>
            <a:t>Net Profit</a:t>
          </a:r>
        </a:p>
      </xdr:txBody>
    </xdr:sp>
    <xdr:clientData/>
  </xdr:twoCellAnchor>
  <xdr:twoCellAnchor>
    <xdr:from>
      <xdr:col>5</xdr:col>
      <xdr:colOff>85895</xdr:colOff>
      <xdr:row>20</xdr:row>
      <xdr:rowOff>20414</xdr:rowOff>
    </xdr:from>
    <xdr:to>
      <xdr:col>5</xdr:col>
      <xdr:colOff>1238039</xdr:colOff>
      <xdr:row>22</xdr:row>
      <xdr:rowOff>106411</xdr:rowOff>
    </xdr:to>
    <xdr:sp macro="" textlink="">
      <xdr:nvSpPr>
        <xdr:cNvPr id="30" name="Rounded Rectangle 29"/>
        <xdr:cNvSpPr/>
      </xdr:nvSpPr>
      <xdr:spPr>
        <a:xfrm>
          <a:off x="3895895" y="3411314"/>
          <a:ext cx="1152144" cy="54319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600"/>
            <a:t>Taxes</a:t>
          </a:r>
        </a:p>
      </xdr:txBody>
    </xdr:sp>
    <xdr:clientData/>
  </xdr:twoCellAnchor>
  <xdr:twoCellAnchor>
    <xdr:from>
      <xdr:col>3</xdr:col>
      <xdr:colOff>1233030</xdr:colOff>
      <xdr:row>10</xdr:row>
      <xdr:rowOff>186631</xdr:rowOff>
    </xdr:from>
    <xdr:to>
      <xdr:col>5</xdr:col>
      <xdr:colOff>85895</xdr:colOff>
      <xdr:row>15</xdr:row>
      <xdr:rowOff>210252</xdr:rowOff>
    </xdr:to>
    <xdr:cxnSp macro="">
      <xdr:nvCxnSpPr>
        <xdr:cNvPr id="31" name="Elbow Connector 30"/>
        <xdr:cNvCxnSpPr>
          <a:stCxn id="4" idx="3"/>
          <a:endCxn id="29" idx="1"/>
        </xdr:cNvCxnSpPr>
      </xdr:nvCxnSpPr>
      <xdr:spPr>
        <a:xfrm>
          <a:off x="3252330" y="1672531"/>
          <a:ext cx="643565" cy="96659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1233030</xdr:colOff>
      <xdr:row>15</xdr:row>
      <xdr:rowOff>210252</xdr:rowOff>
    </xdr:from>
    <xdr:to>
      <xdr:col>5</xdr:col>
      <xdr:colOff>85895</xdr:colOff>
      <xdr:row>22</xdr:row>
      <xdr:rowOff>33173</xdr:rowOff>
    </xdr:to>
    <xdr:cxnSp macro="">
      <xdr:nvCxnSpPr>
        <xdr:cNvPr id="32" name="Elbow Connector 31"/>
        <xdr:cNvCxnSpPr>
          <a:stCxn id="10" idx="3"/>
          <a:endCxn id="29" idx="1"/>
        </xdr:cNvCxnSpPr>
      </xdr:nvCxnSpPr>
      <xdr:spPr>
        <a:xfrm flipV="1">
          <a:off x="3252330" y="2639127"/>
          <a:ext cx="643565" cy="124214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5</xdr:col>
      <xdr:colOff>85895</xdr:colOff>
      <xdr:row>33</xdr:row>
      <xdr:rowOff>0</xdr:rowOff>
    </xdr:from>
    <xdr:to>
      <xdr:col>5</xdr:col>
      <xdr:colOff>1238039</xdr:colOff>
      <xdr:row>35</xdr:row>
      <xdr:rowOff>97902</xdr:rowOff>
    </xdr:to>
    <xdr:sp macro="" textlink="">
      <xdr:nvSpPr>
        <xdr:cNvPr id="33" name="Rounded Rectangle 32"/>
        <xdr:cNvSpPr/>
      </xdr:nvSpPr>
      <xdr:spPr>
        <a:xfrm>
          <a:off x="3895895" y="6000750"/>
          <a:ext cx="1152144" cy="517002"/>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400"/>
            <a:t>Total Assets</a:t>
          </a:r>
        </a:p>
      </xdr:txBody>
    </xdr:sp>
    <xdr:clientData/>
  </xdr:twoCellAnchor>
  <xdr:twoCellAnchor>
    <xdr:from>
      <xdr:col>5</xdr:col>
      <xdr:colOff>85895</xdr:colOff>
      <xdr:row>29</xdr:row>
      <xdr:rowOff>0</xdr:rowOff>
    </xdr:from>
    <xdr:to>
      <xdr:col>5</xdr:col>
      <xdr:colOff>1238039</xdr:colOff>
      <xdr:row>31</xdr:row>
      <xdr:rowOff>104707</xdr:rowOff>
    </xdr:to>
    <xdr:sp macro="" textlink="">
      <xdr:nvSpPr>
        <xdr:cNvPr id="34" name="Rounded Rectangle 33"/>
        <xdr:cNvSpPr/>
      </xdr:nvSpPr>
      <xdr:spPr>
        <a:xfrm>
          <a:off x="3895895" y="5162550"/>
          <a:ext cx="1152144" cy="48570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600"/>
            <a:t>Sales</a:t>
          </a:r>
        </a:p>
      </xdr:txBody>
    </xdr:sp>
    <xdr:clientData/>
  </xdr:twoCellAnchor>
  <xdr:twoCellAnchor>
    <xdr:from>
      <xdr:col>3</xdr:col>
      <xdr:colOff>1233030</xdr:colOff>
      <xdr:row>32</xdr:row>
      <xdr:rowOff>2177</xdr:rowOff>
    </xdr:from>
    <xdr:to>
      <xdr:col>5</xdr:col>
      <xdr:colOff>85895</xdr:colOff>
      <xdr:row>33</xdr:row>
      <xdr:rowOff>213654</xdr:rowOff>
    </xdr:to>
    <xdr:cxnSp macro="">
      <xdr:nvCxnSpPr>
        <xdr:cNvPr id="35" name="Elbow Connector 34"/>
        <xdr:cNvCxnSpPr>
          <a:stCxn id="17" idx="3"/>
          <a:endCxn id="33" idx="1"/>
        </xdr:cNvCxnSpPr>
      </xdr:nvCxnSpPr>
      <xdr:spPr>
        <a:xfrm>
          <a:off x="3252330" y="5774327"/>
          <a:ext cx="643565" cy="440077"/>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1233030</xdr:colOff>
      <xdr:row>34</xdr:row>
      <xdr:rowOff>30129</xdr:rowOff>
    </xdr:from>
    <xdr:to>
      <xdr:col>4</xdr:col>
      <xdr:colOff>484756</xdr:colOff>
      <xdr:row>36</xdr:row>
      <xdr:rowOff>137205</xdr:rowOff>
    </xdr:to>
    <xdr:cxnSp macro="">
      <xdr:nvCxnSpPr>
        <xdr:cNvPr id="36" name="Elbow Connector 35"/>
        <xdr:cNvCxnSpPr>
          <a:stCxn id="18" idx="3"/>
        </xdr:cNvCxnSpPr>
      </xdr:nvCxnSpPr>
      <xdr:spPr>
        <a:xfrm flipV="1">
          <a:off x="3252330" y="6259479"/>
          <a:ext cx="547126" cy="52617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5</xdr:col>
      <xdr:colOff>85895</xdr:colOff>
      <xdr:row>44</xdr:row>
      <xdr:rowOff>122465</xdr:rowOff>
    </xdr:from>
    <xdr:to>
      <xdr:col>5</xdr:col>
      <xdr:colOff>1238039</xdr:colOff>
      <xdr:row>47</xdr:row>
      <xdr:rowOff>0</xdr:rowOff>
    </xdr:to>
    <xdr:sp macro="" textlink="">
      <xdr:nvSpPr>
        <xdr:cNvPr id="37" name="Rounded Rectangle 36"/>
        <xdr:cNvSpPr/>
      </xdr:nvSpPr>
      <xdr:spPr>
        <a:xfrm>
          <a:off x="3895895" y="8447315"/>
          <a:ext cx="1152144" cy="582385"/>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400"/>
            <a:t>Net Worth</a:t>
          </a:r>
        </a:p>
      </xdr:txBody>
    </xdr:sp>
    <xdr:clientData/>
  </xdr:twoCellAnchor>
  <xdr:twoCellAnchor>
    <xdr:from>
      <xdr:col>5</xdr:col>
      <xdr:colOff>85895</xdr:colOff>
      <xdr:row>39</xdr:row>
      <xdr:rowOff>102053</xdr:rowOff>
    </xdr:from>
    <xdr:to>
      <xdr:col>5</xdr:col>
      <xdr:colOff>1238039</xdr:colOff>
      <xdr:row>42</xdr:row>
      <xdr:rowOff>92800</xdr:rowOff>
    </xdr:to>
    <xdr:sp macro="" textlink="">
      <xdr:nvSpPr>
        <xdr:cNvPr id="38" name="Rounded Rectangle 37"/>
        <xdr:cNvSpPr/>
      </xdr:nvSpPr>
      <xdr:spPr>
        <a:xfrm>
          <a:off x="3895895" y="7398203"/>
          <a:ext cx="1152144" cy="60034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400"/>
            <a:t>Total Assets</a:t>
          </a:r>
        </a:p>
      </xdr:txBody>
    </xdr:sp>
    <xdr:clientData/>
  </xdr:twoCellAnchor>
  <xdr:twoCellAnchor>
    <xdr:from>
      <xdr:col>3</xdr:col>
      <xdr:colOff>1233030</xdr:colOff>
      <xdr:row>43</xdr:row>
      <xdr:rowOff>9738</xdr:rowOff>
    </xdr:from>
    <xdr:to>
      <xdr:col>5</xdr:col>
      <xdr:colOff>85895</xdr:colOff>
      <xdr:row>46</xdr:row>
      <xdr:rowOff>6714</xdr:rowOff>
    </xdr:to>
    <xdr:cxnSp macro="">
      <xdr:nvCxnSpPr>
        <xdr:cNvPr id="39" name="Elbow Connector 38"/>
        <xdr:cNvCxnSpPr>
          <a:stCxn id="25" idx="3"/>
          <a:endCxn id="37" idx="1"/>
        </xdr:cNvCxnSpPr>
      </xdr:nvCxnSpPr>
      <xdr:spPr>
        <a:xfrm>
          <a:off x="3252330" y="8105988"/>
          <a:ext cx="643565" cy="64467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1202037</xdr:colOff>
      <xdr:row>46</xdr:row>
      <xdr:rowOff>47137</xdr:rowOff>
    </xdr:from>
    <xdr:to>
      <xdr:col>5</xdr:col>
      <xdr:colOff>81643</xdr:colOff>
      <xdr:row>47</xdr:row>
      <xdr:rowOff>29211</xdr:rowOff>
    </xdr:to>
    <xdr:cxnSp macro="">
      <xdr:nvCxnSpPr>
        <xdr:cNvPr id="40" name="Elbow Connector 39"/>
        <xdr:cNvCxnSpPr/>
      </xdr:nvCxnSpPr>
      <xdr:spPr>
        <a:xfrm flipV="1">
          <a:off x="3221337" y="8791087"/>
          <a:ext cx="670306" cy="267824"/>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1235226</xdr:colOff>
      <xdr:row>45</xdr:row>
      <xdr:rowOff>223762</xdr:rowOff>
    </xdr:from>
    <xdr:to>
      <xdr:col>4</xdr:col>
      <xdr:colOff>216867</xdr:colOff>
      <xdr:row>47</xdr:row>
      <xdr:rowOff>0</xdr:rowOff>
    </xdr:to>
    <xdr:sp macro="" textlink="">
      <xdr:nvSpPr>
        <xdr:cNvPr id="41" name="Minus 40"/>
        <xdr:cNvSpPr/>
      </xdr:nvSpPr>
      <xdr:spPr>
        <a:xfrm flipH="1">
          <a:off x="3254526" y="8739112"/>
          <a:ext cx="277041" cy="290588"/>
        </a:xfrm>
        <a:prstGeom prst="mathMinu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endParaRPr lang="en-CA"/>
        </a:p>
      </xdr:txBody>
    </xdr:sp>
    <xdr:clientData/>
  </xdr:twoCellAnchor>
  <xdr:twoCellAnchor>
    <xdr:from>
      <xdr:col>3</xdr:col>
      <xdr:colOff>1241273</xdr:colOff>
      <xdr:row>33</xdr:row>
      <xdr:rowOff>114907</xdr:rowOff>
    </xdr:from>
    <xdr:to>
      <xdr:col>4</xdr:col>
      <xdr:colOff>222248</xdr:colOff>
      <xdr:row>34</xdr:row>
      <xdr:rowOff>157906</xdr:rowOff>
    </xdr:to>
    <xdr:sp macro="" textlink="">
      <xdr:nvSpPr>
        <xdr:cNvPr id="42" name="Plus 41"/>
        <xdr:cNvSpPr/>
      </xdr:nvSpPr>
      <xdr:spPr>
        <a:xfrm>
          <a:off x="3260573" y="6115657"/>
          <a:ext cx="276375" cy="271599"/>
        </a:xfrm>
        <a:prstGeom prst="mathPlu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endParaRPr lang="en-CA"/>
        </a:p>
      </xdr:txBody>
    </xdr:sp>
    <xdr:clientData/>
  </xdr:twoCellAnchor>
  <xdr:twoCellAnchor>
    <xdr:from>
      <xdr:col>3</xdr:col>
      <xdr:colOff>1230690</xdr:colOff>
      <xdr:row>15</xdr:row>
      <xdr:rowOff>201083</xdr:rowOff>
    </xdr:from>
    <xdr:to>
      <xdr:col>4</xdr:col>
      <xdr:colOff>212331</xdr:colOff>
      <xdr:row>16</xdr:row>
      <xdr:rowOff>152641</xdr:rowOff>
    </xdr:to>
    <xdr:sp macro="" textlink="">
      <xdr:nvSpPr>
        <xdr:cNvPr id="43" name="Minus 42"/>
        <xdr:cNvSpPr/>
      </xdr:nvSpPr>
      <xdr:spPr>
        <a:xfrm flipH="1">
          <a:off x="3249990" y="2629958"/>
          <a:ext cx="277041" cy="180158"/>
        </a:xfrm>
        <a:prstGeom prst="mathMinu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endParaRPr lang="en-CA"/>
        </a:p>
      </xdr:txBody>
    </xdr:sp>
    <xdr:clientData/>
  </xdr:twoCellAnchor>
  <xdr:twoCellAnchor>
    <xdr:from>
      <xdr:col>7</xdr:col>
      <xdr:colOff>102053</xdr:colOff>
      <xdr:row>16</xdr:row>
      <xdr:rowOff>81643</xdr:rowOff>
    </xdr:from>
    <xdr:to>
      <xdr:col>7</xdr:col>
      <xdr:colOff>1254197</xdr:colOff>
      <xdr:row>19</xdr:row>
      <xdr:rowOff>72390</xdr:rowOff>
    </xdr:to>
    <xdr:sp macro="" textlink="">
      <xdr:nvSpPr>
        <xdr:cNvPr id="44" name="Rounded Rectangle 43"/>
        <xdr:cNvSpPr/>
      </xdr:nvSpPr>
      <xdr:spPr>
        <a:xfrm>
          <a:off x="5702753" y="2739118"/>
          <a:ext cx="1152144" cy="562247"/>
        </a:xfrm>
        <a:prstGeom prst="round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lIns="0" tIns="0" rIns="0" bIns="0" rtlCol="0" anchor="ctr"/>
        <a:lstStyle/>
        <a:p>
          <a:pPr algn="ctr"/>
          <a:r>
            <a:rPr lang="en-US" sz="1400"/>
            <a:t>Net Profit After</a:t>
          </a:r>
          <a:r>
            <a:rPr lang="en-US" sz="1400" baseline="0"/>
            <a:t> Taxes</a:t>
          </a:r>
          <a:endParaRPr lang="en-US" sz="1400"/>
        </a:p>
      </xdr:txBody>
    </xdr:sp>
    <xdr:clientData/>
  </xdr:twoCellAnchor>
  <xdr:twoCellAnchor>
    <xdr:from>
      <xdr:col>7</xdr:col>
      <xdr:colOff>102053</xdr:colOff>
      <xdr:row>23</xdr:row>
      <xdr:rowOff>13606</xdr:rowOff>
    </xdr:from>
    <xdr:to>
      <xdr:col>7</xdr:col>
      <xdr:colOff>1254197</xdr:colOff>
      <xdr:row>25</xdr:row>
      <xdr:rowOff>99603</xdr:rowOff>
    </xdr:to>
    <xdr:sp macro="" textlink="">
      <xdr:nvSpPr>
        <xdr:cNvPr id="45" name="Rounded Rectangle 44"/>
        <xdr:cNvSpPr/>
      </xdr:nvSpPr>
      <xdr:spPr>
        <a:xfrm>
          <a:off x="5702753" y="4023631"/>
          <a:ext cx="1152144" cy="524147"/>
        </a:xfrm>
        <a:prstGeom prst="round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600"/>
            <a:t>Sales</a:t>
          </a:r>
        </a:p>
      </xdr:txBody>
    </xdr:sp>
    <xdr:clientData/>
  </xdr:twoCellAnchor>
  <xdr:twoCellAnchor>
    <xdr:from>
      <xdr:col>5</xdr:col>
      <xdr:colOff>1238039</xdr:colOff>
      <xdr:row>15</xdr:row>
      <xdr:rowOff>210252</xdr:rowOff>
    </xdr:from>
    <xdr:to>
      <xdr:col>7</xdr:col>
      <xdr:colOff>102053</xdr:colOff>
      <xdr:row>18</xdr:row>
      <xdr:rowOff>29392</xdr:rowOff>
    </xdr:to>
    <xdr:cxnSp macro="">
      <xdr:nvCxnSpPr>
        <xdr:cNvPr id="46" name="Elbow Connector 45"/>
        <xdr:cNvCxnSpPr>
          <a:stCxn id="29" idx="3"/>
          <a:endCxn id="44" idx="1"/>
        </xdr:cNvCxnSpPr>
      </xdr:nvCxnSpPr>
      <xdr:spPr>
        <a:xfrm>
          <a:off x="5048039" y="2639127"/>
          <a:ext cx="654714" cy="371590"/>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1238039</xdr:colOff>
      <xdr:row>18</xdr:row>
      <xdr:rowOff>29392</xdr:rowOff>
    </xdr:from>
    <xdr:to>
      <xdr:col>7</xdr:col>
      <xdr:colOff>102053</xdr:colOff>
      <xdr:row>21</xdr:row>
      <xdr:rowOff>63413</xdr:rowOff>
    </xdr:to>
    <xdr:cxnSp macro="">
      <xdr:nvCxnSpPr>
        <xdr:cNvPr id="47" name="Elbow Connector 46"/>
        <xdr:cNvCxnSpPr>
          <a:stCxn id="30" idx="3"/>
          <a:endCxn id="44" idx="1"/>
        </xdr:cNvCxnSpPr>
      </xdr:nvCxnSpPr>
      <xdr:spPr>
        <a:xfrm flipV="1">
          <a:off x="5048039" y="3010717"/>
          <a:ext cx="654714" cy="672196"/>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1259417</xdr:colOff>
      <xdr:row>17</xdr:row>
      <xdr:rowOff>36285</xdr:rowOff>
    </xdr:from>
    <xdr:to>
      <xdr:col>6</xdr:col>
      <xdr:colOff>242570</xdr:colOff>
      <xdr:row>18</xdr:row>
      <xdr:rowOff>147319</xdr:rowOff>
    </xdr:to>
    <xdr:sp macro="" textlink="">
      <xdr:nvSpPr>
        <xdr:cNvPr id="48" name="Minus 47"/>
        <xdr:cNvSpPr/>
      </xdr:nvSpPr>
      <xdr:spPr>
        <a:xfrm flipH="1">
          <a:off x="5069417" y="2855685"/>
          <a:ext cx="278553" cy="272959"/>
        </a:xfrm>
        <a:prstGeom prst="mathMin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9</xdr:col>
      <xdr:colOff>68035</xdr:colOff>
      <xdr:row>29</xdr:row>
      <xdr:rowOff>0</xdr:rowOff>
    </xdr:from>
    <xdr:to>
      <xdr:col>9</xdr:col>
      <xdr:colOff>1220179</xdr:colOff>
      <xdr:row>31</xdr:row>
      <xdr:rowOff>140427</xdr:rowOff>
    </xdr:to>
    <xdr:sp macro="" textlink="">
      <xdr:nvSpPr>
        <xdr:cNvPr id="49" name="Rounded Rectangle 48"/>
        <xdr:cNvSpPr/>
      </xdr:nvSpPr>
      <xdr:spPr>
        <a:xfrm>
          <a:off x="7459435" y="5162550"/>
          <a:ext cx="1152144" cy="521427"/>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lIns="0" tIns="0" rIns="0" bIns="0" rtlCol="0" anchor="ctr"/>
        <a:lstStyle/>
        <a:p>
          <a:pPr algn="ctr"/>
          <a:r>
            <a:rPr lang="en-US" sz="1400"/>
            <a:t>Asset</a:t>
          </a:r>
          <a:r>
            <a:rPr lang="en-US" sz="1400" baseline="0"/>
            <a:t> Turnover</a:t>
          </a:r>
          <a:endParaRPr lang="en-US" sz="1400"/>
        </a:p>
      </xdr:txBody>
    </xdr:sp>
    <xdr:clientData/>
  </xdr:twoCellAnchor>
  <xdr:twoCellAnchor>
    <xdr:from>
      <xdr:col>11</xdr:col>
      <xdr:colOff>81643</xdr:colOff>
      <xdr:row>33</xdr:row>
      <xdr:rowOff>0</xdr:rowOff>
    </xdr:from>
    <xdr:to>
      <xdr:col>11</xdr:col>
      <xdr:colOff>1233787</xdr:colOff>
      <xdr:row>35</xdr:row>
      <xdr:rowOff>113211</xdr:rowOff>
    </xdr:to>
    <xdr:sp macro="" textlink="">
      <xdr:nvSpPr>
        <xdr:cNvPr id="50" name="Rounded Rectangle 49"/>
        <xdr:cNvSpPr/>
      </xdr:nvSpPr>
      <xdr:spPr>
        <a:xfrm>
          <a:off x="9263743" y="6000750"/>
          <a:ext cx="1152144" cy="532311"/>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lIns="0" tIns="0" rIns="0" bIns="0" rtlCol="0" anchor="ctr"/>
        <a:lstStyle/>
        <a:p>
          <a:pPr algn="ctr"/>
          <a:r>
            <a:rPr lang="en-US" sz="1400"/>
            <a:t>Financial Leverage</a:t>
          </a:r>
        </a:p>
      </xdr:txBody>
    </xdr:sp>
    <xdr:clientData/>
  </xdr:twoCellAnchor>
  <xdr:twoCellAnchor>
    <xdr:from>
      <xdr:col>9</xdr:col>
      <xdr:colOff>68035</xdr:colOff>
      <xdr:row>20</xdr:row>
      <xdr:rowOff>217714</xdr:rowOff>
    </xdr:from>
    <xdr:to>
      <xdr:col>9</xdr:col>
      <xdr:colOff>1220179</xdr:colOff>
      <xdr:row>23</xdr:row>
      <xdr:rowOff>140425</xdr:rowOff>
    </xdr:to>
    <xdr:sp macro="" textlink="">
      <xdr:nvSpPr>
        <xdr:cNvPr id="51" name="Rounded Rectangle 50"/>
        <xdr:cNvSpPr/>
      </xdr:nvSpPr>
      <xdr:spPr>
        <a:xfrm>
          <a:off x="7459435" y="3608614"/>
          <a:ext cx="1152144" cy="541836"/>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lIns="0" tIns="0" rIns="0" bIns="0" rtlCol="0" anchor="ctr"/>
        <a:lstStyle/>
        <a:p>
          <a:pPr algn="ctr"/>
          <a:r>
            <a:rPr lang="en-US" sz="1400"/>
            <a:t>Net Profit</a:t>
          </a:r>
          <a:r>
            <a:rPr lang="en-US" sz="1400" baseline="0"/>
            <a:t> Margin</a:t>
          </a:r>
          <a:endParaRPr lang="en-US" sz="1400"/>
        </a:p>
      </xdr:txBody>
    </xdr:sp>
    <xdr:clientData/>
  </xdr:twoCellAnchor>
  <xdr:twoCellAnchor>
    <xdr:from>
      <xdr:col>5</xdr:col>
      <xdr:colOff>1238039</xdr:colOff>
      <xdr:row>29</xdr:row>
      <xdr:rowOff>188709</xdr:rowOff>
    </xdr:from>
    <xdr:to>
      <xdr:col>9</xdr:col>
      <xdr:colOff>68035</xdr:colOff>
      <xdr:row>30</xdr:row>
      <xdr:rowOff>33929</xdr:rowOff>
    </xdr:to>
    <xdr:cxnSp macro="">
      <xdr:nvCxnSpPr>
        <xdr:cNvPr id="52" name="Straight Connector 51"/>
        <xdr:cNvCxnSpPr>
          <a:stCxn id="34" idx="3"/>
          <a:endCxn id="49" idx="1"/>
        </xdr:cNvCxnSpPr>
      </xdr:nvCxnSpPr>
      <xdr:spPr>
        <a:xfrm>
          <a:off x="5048039" y="5351259"/>
          <a:ext cx="2411396" cy="35720"/>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1238039</xdr:colOff>
      <xdr:row>30</xdr:row>
      <xdr:rowOff>33929</xdr:rowOff>
    </xdr:from>
    <xdr:to>
      <xdr:col>9</xdr:col>
      <xdr:colOff>68035</xdr:colOff>
      <xdr:row>33</xdr:row>
      <xdr:rowOff>213654</xdr:rowOff>
    </xdr:to>
    <xdr:cxnSp macro="">
      <xdr:nvCxnSpPr>
        <xdr:cNvPr id="53" name="Straight Connector 52"/>
        <xdr:cNvCxnSpPr>
          <a:stCxn id="33" idx="3"/>
          <a:endCxn id="49" idx="1"/>
        </xdr:cNvCxnSpPr>
      </xdr:nvCxnSpPr>
      <xdr:spPr>
        <a:xfrm flipV="1">
          <a:off x="5048039" y="5386979"/>
          <a:ext cx="2411396" cy="827425"/>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1238039</xdr:colOff>
      <xdr:row>34</xdr:row>
      <xdr:rowOff>6713</xdr:rowOff>
    </xdr:from>
    <xdr:to>
      <xdr:col>11</xdr:col>
      <xdr:colOff>81643</xdr:colOff>
      <xdr:row>40</xdr:row>
      <xdr:rowOff>208552</xdr:rowOff>
    </xdr:to>
    <xdr:cxnSp macro="">
      <xdr:nvCxnSpPr>
        <xdr:cNvPr id="54" name="Straight Connector 53"/>
        <xdr:cNvCxnSpPr>
          <a:stCxn id="38" idx="3"/>
          <a:endCxn id="50" idx="1"/>
        </xdr:cNvCxnSpPr>
      </xdr:nvCxnSpPr>
      <xdr:spPr>
        <a:xfrm flipV="1">
          <a:off x="5048039" y="6236063"/>
          <a:ext cx="4215704" cy="1459139"/>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1238039</xdr:colOff>
      <xdr:row>34</xdr:row>
      <xdr:rowOff>39288</xdr:rowOff>
    </xdr:from>
    <xdr:to>
      <xdr:col>11</xdr:col>
      <xdr:colOff>81643</xdr:colOff>
      <xdr:row>46</xdr:row>
      <xdr:rowOff>619</xdr:rowOff>
    </xdr:to>
    <xdr:cxnSp macro="">
      <xdr:nvCxnSpPr>
        <xdr:cNvPr id="55" name="Straight Connector 54"/>
        <xdr:cNvCxnSpPr>
          <a:stCxn id="37" idx="3"/>
          <a:endCxn id="50" idx="1"/>
        </xdr:cNvCxnSpPr>
      </xdr:nvCxnSpPr>
      <xdr:spPr>
        <a:xfrm flipV="1">
          <a:off x="5065357" y="6845333"/>
          <a:ext cx="4246877" cy="2455150"/>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7</xdr:col>
      <xdr:colOff>1254197</xdr:colOff>
      <xdr:row>18</xdr:row>
      <xdr:rowOff>29392</xdr:rowOff>
    </xdr:from>
    <xdr:to>
      <xdr:col>9</xdr:col>
      <xdr:colOff>68035</xdr:colOff>
      <xdr:row>22</xdr:row>
      <xdr:rowOff>36195</xdr:rowOff>
    </xdr:to>
    <xdr:cxnSp macro="">
      <xdr:nvCxnSpPr>
        <xdr:cNvPr id="56" name="Elbow Connector 55"/>
        <xdr:cNvCxnSpPr>
          <a:stCxn id="44" idx="3"/>
          <a:endCxn id="51" idx="1"/>
        </xdr:cNvCxnSpPr>
      </xdr:nvCxnSpPr>
      <xdr:spPr>
        <a:xfrm>
          <a:off x="6854897" y="3010717"/>
          <a:ext cx="604538" cy="873578"/>
        </a:xfrm>
        <a:prstGeom prst="bentConnector3">
          <a:avLst>
            <a:gd name="adj1" fmla="val 50000"/>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1254197</xdr:colOff>
      <xdr:row>22</xdr:row>
      <xdr:rowOff>36195</xdr:rowOff>
    </xdr:from>
    <xdr:to>
      <xdr:col>9</xdr:col>
      <xdr:colOff>68035</xdr:colOff>
      <xdr:row>24</xdr:row>
      <xdr:rowOff>56605</xdr:rowOff>
    </xdr:to>
    <xdr:cxnSp macro="">
      <xdr:nvCxnSpPr>
        <xdr:cNvPr id="57" name="Elbow Connector 56"/>
        <xdr:cNvCxnSpPr>
          <a:stCxn id="45" idx="3"/>
          <a:endCxn id="51" idx="1"/>
        </xdr:cNvCxnSpPr>
      </xdr:nvCxnSpPr>
      <xdr:spPr>
        <a:xfrm flipV="1">
          <a:off x="6854897" y="3884295"/>
          <a:ext cx="604538" cy="391885"/>
        </a:xfrm>
        <a:prstGeom prst="bentConnector3">
          <a:avLst>
            <a:gd name="adj1" fmla="val 50000"/>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1204989</xdr:colOff>
      <xdr:row>21</xdr:row>
      <xdr:rowOff>16631</xdr:rowOff>
    </xdr:from>
    <xdr:to>
      <xdr:col>8</xdr:col>
      <xdr:colOff>186630</xdr:colOff>
      <xdr:row>22</xdr:row>
      <xdr:rowOff>61142</xdr:rowOff>
    </xdr:to>
    <xdr:sp macro="" textlink="">
      <xdr:nvSpPr>
        <xdr:cNvPr id="58" name="Division 57"/>
        <xdr:cNvSpPr/>
      </xdr:nvSpPr>
      <xdr:spPr>
        <a:xfrm>
          <a:off x="6805689" y="3636131"/>
          <a:ext cx="277041" cy="273111"/>
        </a:xfrm>
        <a:prstGeom prst="mathDivid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endParaRPr lang="en-CA"/>
        </a:p>
      </xdr:txBody>
    </xdr:sp>
    <xdr:clientData/>
  </xdr:twoCellAnchor>
  <xdr:twoCellAnchor>
    <xdr:from>
      <xdr:col>6</xdr:col>
      <xdr:colOff>15119</xdr:colOff>
      <xdr:row>42</xdr:row>
      <xdr:rowOff>142118</xdr:rowOff>
    </xdr:from>
    <xdr:to>
      <xdr:col>6</xdr:col>
      <xdr:colOff>289439</xdr:colOff>
      <xdr:row>44</xdr:row>
      <xdr:rowOff>21831</xdr:rowOff>
    </xdr:to>
    <xdr:sp macro="" textlink="">
      <xdr:nvSpPr>
        <xdr:cNvPr id="59" name="Division 58"/>
        <xdr:cNvSpPr/>
      </xdr:nvSpPr>
      <xdr:spPr>
        <a:xfrm>
          <a:off x="5120519" y="8047868"/>
          <a:ext cx="274320" cy="298813"/>
        </a:xfrm>
        <a:prstGeom prst="mathDivid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11</xdr:col>
      <xdr:colOff>81643</xdr:colOff>
      <xdr:row>25</xdr:row>
      <xdr:rowOff>68037</xdr:rowOff>
    </xdr:from>
    <xdr:to>
      <xdr:col>11</xdr:col>
      <xdr:colOff>1233787</xdr:colOff>
      <xdr:row>28</xdr:row>
      <xdr:rowOff>58784</xdr:rowOff>
    </xdr:to>
    <xdr:sp macro="" textlink="">
      <xdr:nvSpPr>
        <xdr:cNvPr id="60" name="Rounded Rectangle 59"/>
        <xdr:cNvSpPr/>
      </xdr:nvSpPr>
      <xdr:spPr>
        <a:xfrm>
          <a:off x="9263743" y="4516212"/>
          <a:ext cx="1152144" cy="543197"/>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lIns="0" tIns="0" rIns="0" bIns="0" rtlCol="0" anchor="ctr"/>
        <a:lstStyle/>
        <a:p>
          <a:pPr algn="ctr"/>
          <a:r>
            <a:rPr lang="en-US" sz="1400"/>
            <a:t>Return on Total Assets</a:t>
          </a:r>
        </a:p>
      </xdr:txBody>
    </xdr:sp>
    <xdr:clientData/>
  </xdr:twoCellAnchor>
  <xdr:twoCellAnchor>
    <xdr:from>
      <xdr:col>9</xdr:col>
      <xdr:colOff>1220179</xdr:colOff>
      <xdr:row>22</xdr:row>
      <xdr:rowOff>36195</xdr:rowOff>
    </xdr:from>
    <xdr:to>
      <xdr:col>11</xdr:col>
      <xdr:colOff>81643</xdr:colOff>
      <xdr:row>26</xdr:row>
      <xdr:rowOff>174536</xdr:rowOff>
    </xdr:to>
    <xdr:cxnSp macro="">
      <xdr:nvCxnSpPr>
        <xdr:cNvPr id="61" name="Elbow Connector 60"/>
        <xdr:cNvCxnSpPr>
          <a:stCxn id="51" idx="3"/>
          <a:endCxn id="60" idx="1"/>
        </xdr:cNvCxnSpPr>
      </xdr:nvCxnSpPr>
      <xdr:spPr>
        <a:xfrm>
          <a:off x="8611579" y="3884295"/>
          <a:ext cx="652164" cy="900341"/>
        </a:xfrm>
        <a:prstGeom prst="bentConnector3">
          <a:avLst>
            <a:gd name="adj1" fmla="val 50000"/>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9</xdr:col>
      <xdr:colOff>1220179</xdr:colOff>
      <xdr:row>26</xdr:row>
      <xdr:rowOff>174536</xdr:rowOff>
    </xdr:from>
    <xdr:to>
      <xdr:col>11</xdr:col>
      <xdr:colOff>81643</xdr:colOff>
      <xdr:row>30</xdr:row>
      <xdr:rowOff>33929</xdr:rowOff>
    </xdr:to>
    <xdr:cxnSp macro="">
      <xdr:nvCxnSpPr>
        <xdr:cNvPr id="62" name="Elbow Connector 61"/>
        <xdr:cNvCxnSpPr>
          <a:stCxn id="49" idx="3"/>
          <a:endCxn id="60" idx="1"/>
        </xdr:cNvCxnSpPr>
      </xdr:nvCxnSpPr>
      <xdr:spPr>
        <a:xfrm flipV="1">
          <a:off x="8611579" y="4784636"/>
          <a:ext cx="652164" cy="602343"/>
        </a:xfrm>
        <a:prstGeom prst="bentConnector3">
          <a:avLst>
            <a:gd name="adj1" fmla="val 50000"/>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9</xdr:col>
      <xdr:colOff>1224642</xdr:colOff>
      <xdr:row>26</xdr:row>
      <xdr:rowOff>27214</xdr:rowOff>
    </xdr:from>
    <xdr:to>
      <xdr:col>10</xdr:col>
      <xdr:colOff>206284</xdr:colOff>
      <xdr:row>27</xdr:row>
      <xdr:rowOff>70212</xdr:rowOff>
    </xdr:to>
    <xdr:sp macro="" textlink="">
      <xdr:nvSpPr>
        <xdr:cNvPr id="63" name="Multiply 62"/>
        <xdr:cNvSpPr/>
      </xdr:nvSpPr>
      <xdr:spPr>
        <a:xfrm>
          <a:off x="8616042" y="4637314"/>
          <a:ext cx="277042" cy="271598"/>
        </a:xfrm>
        <a:prstGeom prst="mathMultiply">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endParaRPr lang="en-CA"/>
        </a:p>
      </xdr:txBody>
    </xdr:sp>
    <xdr:clientData/>
  </xdr:twoCellAnchor>
  <xdr:twoCellAnchor>
    <xdr:from>
      <xdr:col>13</xdr:col>
      <xdr:colOff>68036</xdr:colOff>
      <xdr:row>29</xdr:row>
      <xdr:rowOff>0</xdr:rowOff>
    </xdr:from>
    <xdr:to>
      <xdr:col>13</xdr:col>
      <xdr:colOff>1220180</xdr:colOff>
      <xdr:row>31</xdr:row>
      <xdr:rowOff>127000</xdr:rowOff>
    </xdr:to>
    <xdr:sp macro="" textlink="">
      <xdr:nvSpPr>
        <xdr:cNvPr id="64" name="Rounded Rectangle 63"/>
        <xdr:cNvSpPr/>
      </xdr:nvSpPr>
      <xdr:spPr>
        <a:xfrm>
          <a:off x="11040836" y="5162550"/>
          <a:ext cx="1152144" cy="508000"/>
        </a:xfrm>
        <a:prstGeom prst="round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1400"/>
            <a:t>Return on Equity</a:t>
          </a:r>
        </a:p>
      </xdr:txBody>
    </xdr:sp>
    <xdr:clientData/>
  </xdr:twoCellAnchor>
  <xdr:twoCellAnchor>
    <xdr:from>
      <xdr:col>11</xdr:col>
      <xdr:colOff>1233787</xdr:colOff>
      <xdr:row>26</xdr:row>
      <xdr:rowOff>174536</xdr:rowOff>
    </xdr:from>
    <xdr:to>
      <xdr:col>13</xdr:col>
      <xdr:colOff>68036</xdr:colOff>
      <xdr:row>30</xdr:row>
      <xdr:rowOff>63500</xdr:rowOff>
    </xdr:to>
    <xdr:cxnSp macro="">
      <xdr:nvCxnSpPr>
        <xdr:cNvPr id="65" name="Elbow Connector 64"/>
        <xdr:cNvCxnSpPr>
          <a:stCxn id="60" idx="3"/>
          <a:endCxn id="64" idx="1"/>
        </xdr:cNvCxnSpPr>
      </xdr:nvCxnSpPr>
      <xdr:spPr>
        <a:xfrm>
          <a:off x="10415887" y="4784636"/>
          <a:ext cx="624949" cy="631914"/>
        </a:xfrm>
        <a:prstGeom prst="bentConnector3">
          <a:avLst>
            <a:gd name="adj1" fmla="val 50000"/>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11</xdr:col>
      <xdr:colOff>1233787</xdr:colOff>
      <xdr:row>30</xdr:row>
      <xdr:rowOff>63500</xdr:rowOff>
    </xdr:from>
    <xdr:to>
      <xdr:col>13</xdr:col>
      <xdr:colOff>68036</xdr:colOff>
      <xdr:row>34</xdr:row>
      <xdr:rowOff>40731</xdr:rowOff>
    </xdr:to>
    <xdr:cxnSp macro="">
      <xdr:nvCxnSpPr>
        <xdr:cNvPr id="66" name="Elbow Connector 65"/>
        <xdr:cNvCxnSpPr>
          <a:stCxn id="50" idx="3"/>
          <a:endCxn id="64" idx="1"/>
        </xdr:cNvCxnSpPr>
      </xdr:nvCxnSpPr>
      <xdr:spPr>
        <a:xfrm flipV="1">
          <a:off x="10415887" y="5416550"/>
          <a:ext cx="624949" cy="853531"/>
        </a:xfrm>
        <a:prstGeom prst="bentConnector3">
          <a:avLst>
            <a:gd name="adj1" fmla="val 50000"/>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11</xdr:col>
      <xdr:colOff>1197429</xdr:colOff>
      <xdr:row>29</xdr:row>
      <xdr:rowOff>95250</xdr:rowOff>
    </xdr:from>
    <xdr:to>
      <xdr:col>12</xdr:col>
      <xdr:colOff>179070</xdr:colOff>
      <xdr:row>31</xdr:row>
      <xdr:rowOff>42999</xdr:rowOff>
    </xdr:to>
    <xdr:sp macro="" textlink="">
      <xdr:nvSpPr>
        <xdr:cNvPr id="67" name="Multiply 66"/>
        <xdr:cNvSpPr/>
      </xdr:nvSpPr>
      <xdr:spPr>
        <a:xfrm>
          <a:off x="10379529" y="5257800"/>
          <a:ext cx="277041" cy="328749"/>
        </a:xfrm>
        <a:prstGeom prst="mathMultiply">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rtlCol="0" anchor="ctr"/>
        <a:lstStyle/>
        <a:p>
          <a:endParaRPr lang="en-CA"/>
        </a:p>
      </xdr:txBody>
    </xdr:sp>
    <xdr:clientData/>
  </xdr:twoCellAnchor>
  <xdr:twoCellAnchor>
    <xdr:from>
      <xdr:col>6</xdr:col>
      <xdr:colOff>25702</xdr:colOff>
      <xdr:row>32</xdr:row>
      <xdr:rowOff>9070</xdr:rowOff>
    </xdr:from>
    <xdr:to>
      <xdr:col>6</xdr:col>
      <xdr:colOff>300022</xdr:colOff>
      <xdr:row>33</xdr:row>
      <xdr:rowOff>0</xdr:rowOff>
    </xdr:to>
    <xdr:sp macro="" textlink="">
      <xdr:nvSpPr>
        <xdr:cNvPr id="68" name="Division 67"/>
        <xdr:cNvSpPr/>
      </xdr:nvSpPr>
      <xdr:spPr>
        <a:xfrm>
          <a:off x="5131102" y="5781220"/>
          <a:ext cx="274320" cy="219530"/>
        </a:xfrm>
        <a:prstGeom prst="mathDivid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1240315</xdr:colOff>
      <xdr:row>19</xdr:row>
      <xdr:rowOff>77016</xdr:rowOff>
    </xdr:from>
    <xdr:to>
      <xdr:col>3</xdr:col>
      <xdr:colOff>80886</xdr:colOff>
      <xdr:row>22</xdr:row>
      <xdr:rowOff>33173</xdr:rowOff>
    </xdr:to>
    <xdr:cxnSp macro="">
      <xdr:nvCxnSpPr>
        <xdr:cNvPr id="69" name="Elbow Connector 68"/>
        <xdr:cNvCxnSpPr>
          <a:stCxn id="8" idx="3"/>
          <a:endCxn id="10" idx="1"/>
        </xdr:cNvCxnSpPr>
      </xdr:nvCxnSpPr>
      <xdr:spPr>
        <a:xfrm>
          <a:off x="1468915" y="3305991"/>
          <a:ext cx="631271" cy="575282"/>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22</xdr:row>
      <xdr:rowOff>33173</xdr:rowOff>
    </xdr:from>
    <xdr:to>
      <xdr:col>3</xdr:col>
      <xdr:colOff>80886</xdr:colOff>
      <xdr:row>24</xdr:row>
      <xdr:rowOff>88354</xdr:rowOff>
    </xdr:to>
    <xdr:cxnSp macro="">
      <xdr:nvCxnSpPr>
        <xdr:cNvPr id="70" name="Elbow Connector 69"/>
        <xdr:cNvCxnSpPr>
          <a:stCxn id="9" idx="3"/>
          <a:endCxn id="10" idx="1"/>
        </xdr:cNvCxnSpPr>
      </xdr:nvCxnSpPr>
      <xdr:spPr>
        <a:xfrm flipV="1">
          <a:off x="1468915" y="3881273"/>
          <a:ext cx="631271" cy="426656"/>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0</xdr:col>
      <xdr:colOff>9524</xdr:colOff>
      <xdr:row>0</xdr:row>
      <xdr:rowOff>9524</xdr:rowOff>
    </xdr:from>
    <xdr:to>
      <xdr:col>14</xdr:col>
      <xdr:colOff>0</xdr:colOff>
      <xdr:row>3</xdr:row>
      <xdr:rowOff>95249</xdr:rowOff>
    </xdr:to>
    <xdr:sp macro="" textlink="">
      <xdr:nvSpPr>
        <xdr:cNvPr id="71" name="Rounded Rectangle 70"/>
        <xdr:cNvSpPr/>
      </xdr:nvSpPr>
      <xdr:spPr>
        <a:xfrm>
          <a:off x="9524" y="9524"/>
          <a:ext cx="12277726"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9524</xdr:colOff>
      <xdr:row>2</xdr:row>
      <xdr:rowOff>180976</xdr:rowOff>
    </xdr:from>
    <xdr:to>
      <xdr:col>14</xdr:col>
      <xdr:colOff>15875</xdr:colOff>
      <xdr:row>3</xdr:row>
      <xdr:rowOff>79376</xdr:rowOff>
    </xdr:to>
    <xdr:sp macro="" textlink="">
      <xdr:nvSpPr>
        <xdr:cNvPr id="72" name="Round Same Side Corner Rectangle 71"/>
        <xdr:cNvSpPr/>
      </xdr:nvSpPr>
      <xdr:spPr>
        <a:xfrm>
          <a:off x="9524" y="561976"/>
          <a:ext cx="12293601" cy="88900"/>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431800</xdr:colOff>
      <xdr:row>0</xdr:row>
      <xdr:rowOff>104775</xdr:rowOff>
    </xdr:from>
    <xdr:to>
      <xdr:col>10</xdr:col>
      <xdr:colOff>381000</xdr:colOff>
      <xdr:row>2</xdr:row>
      <xdr:rowOff>76200</xdr:rowOff>
    </xdr:to>
    <xdr:sp macro="" textlink="">
      <xdr:nvSpPr>
        <xdr:cNvPr id="73" name="TextBox 72"/>
        <xdr:cNvSpPr txBox="1"/>
      </xdr:nvSpPr>
      <xdr:spPr>
        <a:xfrm>
          <a:off x="3753644" y="104775"/>
          <a:ext cx="534273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Key</a:t>
          </a:r>
          <a:r>
            <a:rPr lang="en-CA" sz="2000" b="1" baseline="0"/>
            <a:t> Performance Indicators </a:t>
          </a:r>
          <a:r>
            <a:rPr lang="en-CA" sz="2000" b="1"/>
            <a:t>Executive Summary</a:t>
          </a:r>
        </a:p>
      </xdr:txBody>
    </xdr:sp>
    <xdr:clientData/>
  </xdr:twoCellAnchor>
  <xdr:twoCellAnchor>
    <xdr:from>
      <xdr:col>12</xdr:col>
      <xdr:colOff>166688</xdr:colOff>
      <xdr:row>0</xdr:row>
      <xdr:rowOff>95251</xdr:rowOff>
    </xdr:from>
    <xdr:to>
      <xdr:col>13</xdr:col>
      <xdr:colOff>1122893</xdr:colOff>
      <xdr:row>2</xdr:row>
      <xdr:rowOff>133351</xdr:rowOff>
    </xdr:to>
    <xdr:sp macro="" textlink="">
      <xdr:nvSpPr>
        <xdr:cNvPr id="74" name="Rounded Rectangle 73">
          <a:hlinkClick xmlns:r="http://schemas.openxmlformats.org/officeDocument/2006/relationships" r:id="rId1"/>
        </xdr:cNvPr>
        <xdr:cNvSpPr/>
      </xdr:nvSpPr>
      <xdr:spPr>
        <a:xfrm>
          <a:off x="10679907" y="95251"/>
          <a:ext cx="1456267"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12</xdr:col>
      <xdr:colOff>242454</xdr:colOff>
      <xdr:row>3</xdr:row>
      <xdr:rowOff>311727</xdr:rowOff>
    </xdr:from>
    <xdr:to>
      <xdr:col>14</xdr:col>
      <xdr:colOff>34637</xdr:colOff>
      <xdr:row>5</xdr:row>
      <xdr:rowOff>173182</xdr:rowOff>
    </xdr:to>
    <xdr:sp macro="" textlink="">
      <xdr:nvSpPr>
        <xdr:cNvPr id="75" name="Rounded Rectangle 74">
          <a:hlinkClick xmlns:r="http://schemas.openxmlformats.org/officeDocument/2006/relationships" r:id="rId2"/>
        </xdr:cNvPr>
        <xdr:cNvSpPr/>
      </xdr:nvSpPr>
      <xdr:spPr>
        <a:xfrm>
          <a:off x="10771909" y="883227"/>
          <a:ext cx="1593273" cy="363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600"/>
            <a:t>Ratio</a:t>
          </a:r>
          <a:r>
            <a:rPr lang="en-CA" sz="1600" baseline="0"/>
            <a:t> Data</a:t>
          </a:r>
          <a:endParaRPr lang="en-CA"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51595</xdr:colOff>
      <xdr:row>6</xdr:row>
      <xdr:rowOff>112449</xdr:rowOff>
    </xdr:from>
    <xdr:to>
      <xdr:col>1</xdr:col>
      <xdr:colOff>1240315</xdr:colOff>
      <xdr:row>10</xdr:row>
      <xdr:rowOff>7946</xdr:rowOff>
    </xdr:to>
    <xdr:sp macro="" textlink="">
      <xdr:nvSpPr>
        <xdr:cNvPr id="2" name="Rounded Rectangle 1"/>
        <xdr:cNvSpPr/>
      </xdr:nvSpPr>
      <xdr:spPr>
        <a:xfrm>
          <a:off x="280195" y="1360224"/>
          <a:ext cx="1188720" cy="63844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marL="0" indent="0" algn="ctr"/>
          <a:r>
            <a:rPr lang="en-US" sz="1600">
              <a:solidFill>
                <a:schemeClr val="lt1"/>
              </a:solidFill>
              <a:latin typeface="+mn-lt"/>
              <a:ea typeface="+mn-ea"/>
              <a:cs typeface="+mn-cs"/>
            </a:rPr>
            <a:t>Sales</a:t>
          </a:r>
        </a:p>
      </xdr:txBody>
    </xdr:sp>
    <xdr:clientData/>
  </xdr:twoCellAnchor>
  <xdr:twoCellAnchor>
    <xdr:from>
      <xdr:col>1</xdr:col>
      <xdr:colOff>51595</xdr:colOff>
      <xdr:row>11</xdr:row>
      <xdr:rowOff>89957</xdr:rowOff>
    </xdr:from>
    <xdr:to>
      <xdr:col>1</xdr:col>
      <xdr:colOff>1240315</xdr:colOff>
      <xdr:row>14</xdr:row>
      <xdr:rowOff>80704</xdr:rowOff>
    </xdr:to>
    <xdr:sp macro="" textlink="">
      <xdr:nvSpPr>
        <xdr:cNvPr id="3" name="Rounded Rectangle 2"/>
        <xdr:cNvSpPr/>
      </xdr:nvSpPr>
      <xdr:spPr>
        <a:xfrm>
          <a:off x="280195" y="2309282"/>
          <a:ext cx="1188720" cy="54319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600"/>
            <a:t>COGS</a:t>
          </a:r>
        </a:p>
      </xdr:txBody>
    </xdr:sp>
    <xdr:clientData/>
  </xdr:twoCellAnchor>
  <xdr:twoCellAnchor>
    <xdr:from>
      <xdr:col>3</xdr:col>
      <xdr:colOff>80886</xdr:colOff>
      <xdr:row>9</xdr:row>
      <xdr:rowOff>80132</xdr:rowOff>
    </xdr:from>
    <xdr:to>
      <xdr:col>3</xdr:col>
      <xdr:colOff>1233030</xdr:colOff>
      <xdr:row>12</xdr:row>
      <xdr:rowOff>70880</xdr:rowOff>
    </xdr:to>
    <xdr:sp macro="" textlink="">
      <xdr:nvSpPr>
        <xdr:cNvPr id="4" name="Rounded Rectangle 3"/>
        <xdr:cNvSpPr/>
      </xdr:nvSpPr>
      <xdr:spPr>
        <a:xfrm>
          <a:off x="2100186" y="1908932"/>
          <a:ext cx="1152144" cy="543198"/>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Gross</a:t>
          </a:r>
          <a:r>
            <a:rPr lang="en-US" sz="1400" baseline="0"/>
            <a:t> Margin</a:t>
          </a:r>
          <a:endParaRPr lang="en-US" sz="1400"/>
        </a:p>
      </xdr:txBody>
    </xdr:sp>
    <xdr:clientData/>
  </xdr:twoCellAnchor>
  <xdr:twoCellAnchor>
    <xdr:from>
      <xdr:col>1</xdr:col>
      <xdr:colOff>1256394</xdr:colOff>
      <xdr:row>10</xdr:row>
      <xdr:rowOff>151191</xdr:rowOff>
    </xdr:from>
    <xdr:to>
      <xdr:col>2</xdr:col>
      <xdr:colOff>238035</xdr:colOff>
      <xdr:row>11</xdr:row>
      <xdr:rowOff>102749</xdr:rowOff>
    </xdr:to>
    <xdr:sp macro="" textlink="">
      <xdr:nvSpPr>
        <xdr:cNvPr id="5" name="Minus 4"/>
        <xdr:cNvSpPr/>
      </xdr:nvSpPr>
      <xdr:spPr>
        <a:xfrm flipH="1">
          <a:off x="1484994" y="2141916"/>
          <a:ext cx="277041" cy="180158"/>
        </a:xfrm>
        <a:prstGeom prst="mathMin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1240315</xdr:colOff>
      <xdr:row>10</xdr:row>
      <xdr:rowOff>186631</xdr:rowOff>
    </xdr:from>
    <xdr:to>
      <xdr:col>3</xdr:col>
      <xdr:colOff>80886</xdr:colOff>
      <xdr:row>13</xdr:row>
      <xdr:rowOff>37706</xdr:rowOff>
    </xdr:to>
    <xdr:cxnSp macro="">
      <xdr:nvCxnSpPr>
        <xdr:cNvPr id="6" name="Elbow Connector 5"/>
        <xdr:cNvCxnSpPr>
          <a:stCxn id="3" idx="3"/>
          <a:endCxn id="4" idx="1"/>
        </xdr:cNvCxnSpPr>
      </xdr:nvCxnSpPr>
      <xdr:spPr>
        <a:xfrm flipV="1">
          <a:off x="1468915" y="2177356"/>
          <a:ext cx="631271" cy="403525"/>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8</xdr:row>
      <xdr:rowOff>12573</xdr:rowOff>
    </xdr:from>
    <xdr:to>
      <xdr:col>3</xdr:col>
      <xdr:colOff>80886</xdr:colOff>
      <xdr:row>10</xdr:row>
      <xdr:rowOff>186631</xdr:rowOff>
    </xdr:to>
    <xdr:cxnSp macro="">
      <xdr:nvCxnSpPr>
        <xdr:cNvPr id="7" name="Elbow Connector 6"/>
        <xdr:cNvCxnSpPr>
          <a:stCxn id="2" idx="3"/>
          <a:endCxn id="4" idx="1"/>
        </xdr:cNvCxnSpPr>
      </xdr:nvCxnSpPr>
      <xdr:spPr>
        <a:xfrm>
          <a:off x="1468915" y="1679448"/>
          <a:ext cx="631271" cy="497908"/>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51595</xdr:colOff>
      <xdr:row>18</xdr:row>
      <xdr:rowOff>31749</xdr:rowOff>
    </xdr:from>
    <xdr:to>
      <xdr:col>1</xdr:col>
      <xdr:colOff>1240315</xdr:colOff>
      <xdr:row>20</xdr:row>
      <xdr:rowOff>185782</xdr:rowOff>
    </xdr:to>
    <xdr:sp macro="" textlink="">
      <xdr:nvSpPr>
        <xdr:cNvPr id="8" name="Rounded Rectangle 7"/>
        <xdr:cNvSpPr/>
      </xdr:nvSpPr>
      <xdr:spPr>
        <a:xfrm>
          <a:off x="280195" y="3517899"/>
          <a:ext cx="1188720" cy="563608"/>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300"/>
            <a:t>Variable</a:t>
          </a:r>
          <a:r>
            <a:rPr lang="en-US" sz="1300" baseline="0"/>
            <a:t> Expenses</a:t>
          </a:r>
          <a:endParaRPr lang="en-US" sz="1300"/>
        </a:p>
      </xdr:txBody>
    </xdr:sp>
    <xdr:clientData/>
  </xdr:twoCellAnchor>
  <xdr:twoCellAnchor>
    <xdr:from>
      <xdr:col>1</xdr:col>
      <xdr:colOff>51595</xdr:colOff>
      <xdr:row>23</xdr:row>
      <xdr:rowOff>45355</xdr:rowOff>
    </xdr:from>
    <xdr:to>
      <xdr:col>1</xdr:col>
      <xdr:colOff>1240315</xdr:colOff>
      <xdr:row>25</xdr:row>
      <xdr:rowOff>131352</xdr:rowOff>
    </xdr:to>
    <xdr:sp macro="" textlink="">
      <xdr:nvSpPr>
        <xdr:cNvPr id="9" name="Rounded Rectangle 8"/>
        <xdr:cNvSpPr/>
      </xdr:nvSpPr>
      <xdr:spPr>
        <a:xfrm>
          <a:off x="280195" y="4560205"/>
          <a:ext cx="1188720" cy="52414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300"/>
            <a:t>Fixed</a:t>
          </a:r>
          <a:r>
            <a:rPr lang="en-US" sz="1300" baseline="0"/>
            <a:t> Expenses</a:t>
          </a:r>
          <a:endParaRPr lang="en-US" sz="1300"/>
        </a:p>
      </xdr:txBody>
    </xdr:sp>
    <xdr:clientData/>
  </xdr:twoCellAnchor>
  <xdr:twoCellAnchor>
    <xdr:from>
      <xdr:col>3</xdr:col>
      <xdr:colOff>80886</xdr:colOff>
      <xdr:row>20</xdr:row>
      <xdr:rowOff>214692</xdr:rowOff>
    </xdr:from>
    <xdr:to>
      <xdr:col>3</xdr:col>
      <xdr:colOff>1233030</xdr:colOff>
      <xdr:row>23</xdr:row>
      <xdr:rowOff>137403</xdr:rowOff>
    </xdr:to>
    <xdr:sp macro="" textlink="">
      <xdr:nvSpPr>
        <xdr:cNvPr id="10" name="Rounded Rectangle 9"/>
        <xdr:cNvSpPr/>
      </xdr:nvSpPr>
      <xdr:spPr>
        <a:xfrm>
          <a:off x="2100186" y="4110417"/>
          <a:ext cx="1152144" cy="541836"/>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Total</a:t>
          </a:r>
          <a:r>
            <a:rPr lang="en-US" sz="1400" baseline="0"/>
            <a:t> Expenses</a:t>
          </a:r>
          <a:endParaRPr lang="en-US" sz="1400"/>
        </a:p>
      </xdr:txBody>
    </xdr:sp>
    <xdr:clientData/>
  </xdr:twoCellAnchor>
  <xdr:twoCellAnchor>
    <xdr:from>
      <xdr:col>1</xdr:col>
      <xdr:colOff>1238250</xdr:colOff>
      <xdr:row>21</xdr:row>
      <xdr:rowOff>74085</xdr:rowOff>
    </xdr:from>
    <xdr:to>
      <xdr:col>2</xdr:col>
      <xdr:colOff>221403</xdr:colOff>
      <xdr:row>22</xdr:row>
      <xdr:rowOff>117084</xdr:rowOff>
    </xdr:to>
    <xdr:sp macro="" textlink="">
      <xdr:nvSpPr>
        <xdr:cNvPr id="11" name="Plus 10"/>
        <xdr:cNvSpPr/>
      </xdr:nvSpPr>
      <xdr:spPr>
        <a:xfrm>
          <a:off x="1466850" y="4198410"/>
          <a:ext cx="278553" cy="271599"/>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51595</xdr:colOff>
      <xdr:row>28</xdr:row>
      <xdr:rowOff>86179</xdr:rowOff>
    </xdr:from>
    <xdr:to>
      <xdr:col>1</xdr:col>
      <xdr:colOff>1240315</xdr:colOff>
      <xdr:row>30</xdr:row>
      <xdr:rowOff>76927</xdr:rowOff>
    </xdr:to>
    <xdr:sp macro="" textlink="">
      <xdr:nvSpPr>
        <xdr:cNvPr id="12" name="Rounded Rectangle 11"/>
        <xdr:cNvSpPr/>
      </xdr:nvSpPr>
      <xdr:spPr>
        <a:xfrm>
          <a:off x="280195" y="5591629"/>
          <a:ext cx="1188720" cy="343173"/>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600"/>
            <a:t>Inventory</a:t>
          </a:r>
        </a:p>
      </xdr:txBody>
    </xdr:sp>
    <xdr:clientData/>
  </xdr:twoCellAnchor>
  <xdr:twoCellAnchor>
    <xdr:from>
      <xdr:col>1</xdr:col>
      <xdr:colOff>51595</xdr:colOff>
      <xdr:row>32</xdr:row>
      <xdr:rowOff>170844</xdr:rowOff>
    </xdr:from>
    <xdr:to>
      <xdr:col>1</xdr:col>
      <xdr:colOff>1240315</xdr:colOff>
      <xdr:row>34</xdr:row>
      <xdr:rowOff>158750</xdr:rowOff>
    </xdr:to>
    <xdr:sp macro="" textlink="">
      <xdr:nvSpPr>
        <xdr:cNvPr id="13" name="Rounded Rectangle 12"/>
        <xdr:cNvSpPr/>
      </xdr:nvSpPr>
      <xdr:spPr>
        <a:xfrm>
          <a:off x="280195" y="6447819"/>
          <a:ext cx="1188720" cy="445106"/>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200"/>
            <a:t>Accounts Recievable</a:t>
          </a:r>
        </a:p>
      </xdr:txBody>
    </xdr:sp>
    <xdr:clientData/>
  </xdr:twoCellAnchor>
  <xdr:twoCellAnchor>
    <xdr:from>
      <xdr:col>1</xdr:col>
      <xdr:colOff>51595</xdr:colOff>
      <xdr:row>47</xdr:row>
      <xdr:rowOff>217713</xdr:rowOff>
    </xdr:from>
    <xdr:to>
      <xdr:col>1</xdr:col>
      <xdr:colOff>1240315</xdr:colOff>
      <xdr:row>50</xdr:row>
      <xdr:rowOff>143085</xdr:rowOff>
    </xdr:to>
    <xdr:sp macro="" textlink="">
      <xdr:nvSpPr>
        <xdr:cNvPr id="14" name="Rounded Rectangle 13"/>
        <xdr:cNvSpPr/>
      </xdr:nvSpPr>
      <xdr:spPr>
        <a:xfrm>
          <a:off x="280195" y="9752238"/>
          <a:ext cx="1188720" cy="573072"/>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400"/>
            <a:t>Long Term Debt</a:t>
          </a:r>
        </a:p>
      </xdr:txBody>
    </xdr:sp>
    <xdr:clientData/>
  </xdr:twoCellAnchor>
  <xdr:twoCellAnchor>
    <xdr:from>
      <xdr:col>1</xdr:col>
      <xdr:colOff>51595</xdr:colOff>
      <xdr:row>36</xdr:row>
      <xdr:rowOff>181428</xdr:rowOff>
    </xdr:from>
    <xdr:to>
      <xdr:col>1</xdr:col>
      <xdr:colOff>1240315</xdr:colOff>
      <xdr:row>39</xdr:row>
      <xdr:rowOff>104139</xdr:rowOff>
    </xdr:to>
    <xdr:sp macro="" textlink="">
      <xdr:nvSpPr>
        <xdr:cNvPr id="15" name="Rounded Rectangle 14"/>
        <xdr:cNvSpPr/>
      </xdr:nvSpPr>
      <xdr:spPr>
        <a:xfrm>
          <a:off x="280195" y="7334703"/>
          <a:ext cx="1188720" cy="570411"/>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100"/>
            <a:t>Other</a:t>
          </a:r>
          <a:r>
            <a:rPr lang="en-US" sz="1100" baseline="0"/>
            <a:t> Current Assets</a:t>
          </a:r>
          <a:endParaRPr lang="en-US" sz="1100"/>
        </a:p>
      </xdr:txBody>
    </xdr:sp>
    <xdr:clientData/>
  </xdr:twoCellAnchor>
  <xdr:twoCellAnchor>
    <xdr:from>
      <xdr:col>1</xdr:col>
      <xdr:colOff>51595</xdr:colOff>
      <xdr:row>43</xdr:row>
      <xdr:rowOff>166309</xdr:rowOff>
    </xdr:from>
    <xdr:to>
      <xdr:col>1</xdr:col>
      <xdr:colOff>1240315</xdr:colOff>
      <xdr:row>46</xdr:row>
      <xdr:rowOff>89020</xdr:rowOff>
    </xdr:to>
    <xdr:sp macro="" textlink="">
      <xdr:nvSpPr>
        <xdr:cNvPr id="16" name="Rounded Rectangle 15"/>
        <xdr:cNvSpPr/>
      </xdr:nvSpPr>
      <xdr:spPr>
        <a:xfrm>
          <a:off x="280195" y="8767384"/>
          <a:ext cx="1188720" cy="570411"/>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200"/>
            <a:t>Current Liabilities</a:t>
          </a:r>
          <a:endParaRPr lang="en-US" sz="1100"/>
        </a:p>
      </xdr:txBody>
    </xdr:sp>
    <xdr:clientData/>
  </xdr:twoCellAnchor>
  <xdr:twoCellAnchor>
    <xdr:from>
      <xdr:col>3</xdr:col>
      <xdr:colOff>80886</xdr:colOff>
      <xdr:row>30</xdr:row>
      <xdr:rowOff>136071</xdr:rowOff>
    </xdr:from>
    <xdr:to>
      <xdr:col>3</xdr:col>
      <xdr:colOff>1233030</xdr:colOff>
      <xdr:row>33</xdr:row>
      <xdr:rowOff>0</xdr:rowOff>
    </xdr:to>
    <xdr:sp macro="" textlink="">
      <xdr:nvSpPr>
        <xdr:cNvPr id="17" name="Rounded Rectangle 16"/>
        <xdr:cNvSpPr/>
      </xdr:nvSpPr>
      <xdr:spPr>
        <a:xfrm>
          <a:off x="2100186" y="5993946"/>
          <a:ext cx="1152144" cy="511629"/>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Current Assets</a:t>
          </a:r>
        </a:p>
      </xdr:txBody>
    </xdr:sp>
    <xdr:clientData/>
  </xdr:twoCellAnchor>
  <xdr:twoCellAnchor>
    <xdr:from>
      <xdr:col>3</xdr:col>
      <xdr:colOff>80886</xdr:colOff>
      <xdr:row>35</xdr:row>
      <xdr:rowOff>36285</xdr:rowOff>
    </xdr:from>
    <xdr:to>
      <xdr:col>3</xdr:col>
      <xdr:colOff>1233030</xdr:colOff>
      <xdr:row>37</xdr:row>
      <xdr:rowOff>238125</xdr:rowOff>
    </xdr:to>
    <xdr:sp macro="" textlink="">
      <xdr:nvSpPr>
        <xdr:cNvPr id="18" name="Rounded Rectangle 17"/>
        <xdr:cNvSpPr/>
      </xdr:nvSpPr>
      <xdr:spPr>
        <a:xfrm>
          <a:off x="2100186" y="6960960"/>
          <a:ext cx="1152144" cy="611415"/>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Fixed Assets</a:t>
          </a:r>
        </a:p>
      </xdr:txBody>
    </xdr:sp>
    <xdr:clientData/>
  </xdr:twoCellAnchor>
  <xdr:twoCellAnchor>
    <xdr:from>
      <xdr:col>1</xdr:col>
      <xdr:colOff>1240315</xdr:colOff>
      <xdr:row>29</xdr:row>
      <xdr:rowOff>0</xdr:rowOff>
    </xdr:from>
    <xdr:to>
      <xdr:col>3</xdr:col>
      <xdr:colOff>80886</xdr:colOff>
      <xdr:row>32</xdr:row>
      <xdr:rowOff>2177</xdr:rowOff>
    </xdr:to>
    <xdr:cxnSp macro="">
      <xdr:nvCxnSpPr>
        <xdr:cNvPr id="19" name="Elbow Connector 18"/>
        <xdr:cNvCxnSpPr>
          <a:stCxn id="12" idx="3"/>
          <a:endCxn id="17" idx="1"/>
        </xdr:cNvCxnSpPr>
      </xdr:nvCxnSpPr>
      <xdr:spPr>
        <a:xfrm>
          <a:off x="1468915" y="5667375"/>
          <a:ext cx="631271" cy="611777"/>
        </a:xfrm>
        <a:prstGeom prst="bentConnector3">
          <a:avLst>
            <a:gd name="adj1" fmla="val 50000"/>
          </a:avLst>
        </a:prstGeom>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31</xdr:row>
      <xdr:rowOff>195036</xdr:rowOff>
    </xdr:from>
    <xdr:to>
      <xdr:col>3</xdr:col>
      <xdr:colOff>80886</xdr:colOff>
      <xdr:row>33</xdr:row>
      <xdr:rowOff>164797</xdr:rowOff>
    </xdr:to>
    <xdr:cxnSp macro="">
      <xdr:nvCxnSpPr>
        <xdr:cNvPr id="20" name="Elbow Connector 19"/>
        <xdr:cNvCxnSpPr>
          <a:stCxn id="13" idx="3"/>
          <a:endCxn id="17" idx="1"/>
        </xdr:cNvCxnSpPr>
      </xdr:nvCxnSpPr>
      <xdr:spPr>
        <a:xfrm flipV="1">
          <a:off x="1468915" y="6243411"/>
          <a:ext cx="631271" cy="426961"/>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32</xdr:row>
      <xdr:rowOff>2177</xdr:rowOff>
    </xdr:from>
    <xdr:to>
      <xdr:col>3</xdr:col>
      <xdr:colOff>80886</xdr:colOff>
      <xdr:row>37</xdr:row>
      <xdr:rowOff>333284</xdr:rowOff>
    </xdr:to>
    <xdr:cxnSp macro="">
      <xdr:nvCxnSpPr>
        <xdr:cNvPr id="21" name="Elbow Connector 20"/>
        <xdr:cNvCxnSpPr>
          <a:stCxn id="15" idx="3"/>
          <a:endCxn id="17" idx="1"/>
        </xdr:cNvCxnSpPr>
      </xdr:nvCxnSpPr>
      <xdr:spPr>
        <a:xfrm flipV="1">
          <a:off x="1468915" y="6279152"/>
          <a:ext cx="631271" cy="1293132"/>
        </a:xfrm>
        <a:prstGeom prst="bentConnector3">
          <a:avLst>
            <a:gd name="adj1" fmla="val 50000"/>
          </a:avLst>
        </a:prstGeom>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1259417</xdr:colOff>
      <xdr:row>31</xdr:row>
      <xdr:rowOff>116417</xdr:rowOff>
    </xdr:from>
    <xdr:to>
      <xdr:col>2</xdr:col>
      <xdr:colOff>242570</xdr:colOff>
      <xdr:row>32</xdr:row>
      <xdr:rowOff>159415</xdr:rowOff>
    </xdr:to>
    <xdr:sp macro="" textlink="">
      <xdr:nvSpPr>
        <xdr:cNvPr id="22" name="Plus 21"/>
        <xdr:cNvSpPr/>
      </xdr:nvSpPr>
      <xdr:spPr>
        <a:xfrm>
          <a:off x="1488017" y="6164792"/>
          <a:ext cx="278553" cy="271598"/>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1270000</xdr:colOff>
      <xdr:row>34</xdr:row>
      <xdr:rowOff>126999</xdr:rowOff>
    </xdr:from>
    <xdr:to>
      <xdr:col>2</xdr:col>
      <xdr:colOff>253153</xdr:colOff>
      <xdr:row>36</xdr:row>
      <xdr:rowOff>6712</xdr:rowOff>
    </xdr:to>
    <xdr:sp macro="" textlink="">
      <xdr:nvSpPr>
        <xdr:cNvPr id="23" name="Plus 22"/>
        <xdr:cNvSpPr/>
      </xdr:nvSpPr>
      <xdr:spPr>
        <a:xfrm>
          <a:off x="1498600" y="6861174"/>
          <a:ext cx="278553" cy="298813"/>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3</xdr:col>
      <xdr:colOff>80886</xdr:colOff>
      <xdr:row>46</xdr:row>
      <xdr:rowOff>131536</xdr:rowOff>
    </xdr:from>
    <xdr:to>
      <xdr:col>3</xdr:col>
      <xdr:colOff>1233030</xdr:colOff>
      <xdr:row>48</xdr:row>
      <xdr:rowOff>54247</xdr:rowOff>
    </xdr:to>
    <xdr:sp macro="" textlink="">
      <xdr:nvSpPr>
        <xdr:cNvPr id="24" name="Rounded Rectangle 23"/>
        <xdr:cNvSpPr/>
      </xdr:nvSpPr>
      <xdr:spPr>
        <a:xfrm>
          <a:off x="2100186" y="9380311"/>
          <a:ext cx="1152144" cy="437061"/>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Total Debt</a:t>
          </a:r>
        </a:p>
      </xdr:txBody>
    </xdr:sp>
    <xdr:clientData/>
  </xdr:twoCellAnchor>
  <xdr:twoCellAnchor>
    <xdr:from>
      <xdr:col>3</xdr:col>
      <xdr:colOff>80886</xdr:colOff>
      <xdr:row>41</xdr:row>
      <xdr:rowOff>93739</xdr:rowOff>
    </xdr:from>
    <xdr:to>
      <xdr:col>3</xdr:col>
      <xdr:colOff>1233030</xdr:colOff>
      <xdr:row>44</xdr:row>
      <xdr:rowOff>84486</xdr:rowOff>
    </xdr:to>
    <xdr:sp macro="" textlink="">
      <xdr:nvSpPr>
        <xdr:cNvPr id="25" name="Rounded Rectangle 24"/>
        <xdr:cNvSpPr/>
      </xdr:nvSpPr>
      <xdr:spPr>
        <a:xfrm>
          <a:off x="2100186" y="8313814"/>
          <a:ext cx="1152144" cy="600347"/>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lIns="0" tIns="0" rIns="0" bIns="0" rtlCol="0" anchor="ctr"/>
        <a:lstStyle/>
        <a:p>
          <a:pPr algn="ctr"/>
          <a:r>
            <a:rPr lang="en-US" sz="1400"/>
            <a:t>Total Assets</a:t>
          </a:r>
        </a:p>
      </xdr:txBody>
    </xdr:sp>
    <xdr:clientData/>
  </xdr:twoCellAnchor>
  <xdr:twoCellAnchor>
    <xdr:from>
      <xdr:col>1</xdr:col>
      <xdr:colOff>1240315</xdr:colOff>
      <xdr:row>45</xdr:row>
      <xdr:rowOff>32415</xdr:rowOff>
    </xdr:from>
    <xdr:to>
      <xdr:col>3</xdr:col>
      <xdr:colOff>80886</xdr:colOff>
      <xdr:row>47</xdr:row>
      <xdr:rowOff>172267</xdr:rowOff>
    </xdr:to>
    <xdr:cxnSp macro="">
      <xdr:nvCxnSpPr>
        <xdr:cNvPr id="26" name="Elbow Connector 25"/>
        <xdr:cNvCxnSpPr>
          <a:stCxn id="16" idx="3"/>
          <a:endCxn id="24" idx="1"/>
        </xdr:cNvCxnSpPr>
      </xdr:nvCxnSpPr>
      <xdr:spPr>
        <a:xfrm>
          <a:off x="1468915" y="9052590"/>
          <a:ext cx="631271" cy="654202"/>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47</xdr:row>
      <xdr:rowOff>172267</xdr:rowOff>
    </xdr:from>
    <xdr:to>
      <xdr:col>3</xdr:col>
      <xdr:colOff>80886</xdr:colOff>
      <xdr:row>48</xdr:row>
      <xdr:rowOff>101024</xdr:rowOff>
    </xdr:to>
    <xdr:cxnSp macro="">
      <xdr:nvCxnSpPr>
        <xdr:cNvPr id="27" name="Elbow Connector 26"/>
        <xdr:cNvCxnSpPr>
          <a:stCxn id="14" idx="3"/>
          <a:endCxn id="24" idx="1"/>
        </xdr:cNvCxnSpPr>
      </xdr:nvCxnSpPr>
      <xdr:spPr>
        <a:xfrm flipV="1">
          <a:off x="1468915" y="9706792"/>
          <a:ext cx="631271" cy="157357"/>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1248834</xdr:colOff>
      <xdr:row>47</xdr:row>
      <xdr:rowOff>0</xdr:rowOff>
    </xdr:from>
    <xdr:to>
      <xdr:col>2</xdr:col>
      <xdr:colOff>231987</xdr:colOff>
      <xdr:row>47</xdr:row>
      <xdr:rowOff>222916</xdr:rowOff>
    </xdr:to>
    <xdr:sp macro="" textlink="">
      <xdr:nvSpPr>
        <xdr:cNvPr id="28" name="Plus 27"/>
        <xdr:cNvSpPr/>
      </xdr:nvSpPr>
      <xdr:spPr>
        <a:xfrm>
          <a:off x="1477434" y="9534525"/>
          <a:ext cx="278553" cy="222916"/>
        </a:xfrm>
        <a:prstGeom prst="mathPl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5</xdr:col>
      <xdr:colOff>85895</xdr:colOff>
      <xdr:row>14</xdr:row>
      <xdr:rowOff>103753</xdr:rowOff>
    </xdr:from>
    <xdr:to>
      <xdr:col>5</xdr:col>
      <xdr:colOff>1238039</xdr:colOff>
      <xdr:row>17</xdr:row>
      <xdr:rowOff>94501</xdr:rowOff>
    </xdr:to>
    <xdr:sp macro="" textlink="">
      <xdr:nvSpPr>
        <xdr:cNvPr id="29" name="Rounded Rectangle 28"/>
        <xdr:cNvSpPr/>
      </xdr:nvSpPr>
      <xdr:spPr>
        <a:xfrm>
          <a:off x="3895895" y="2875528"/>
          <a:ext cx="1152144" cy="543198"/>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600"/>
            <a:t>Net Profit</a:t>
          </a:r>
        </a:p>
      </xdr:txBody>
    </xdr:sp>
    <xdr:clientData/>
  </xdr:twoCellAnchor>
  <xdr:twoCellAnchor>
    <xdr:from>
      <xdr:col>5</xdr:col>
      <xdr:colOff>85895</xdr:colOff>
      <xdr:row>20</xdr:row>
      <xdr:rowOff>20414</xdr:rowOff>
    </xdr:from>
    <xdr:to>
      <xdr:col>5</xdr:col>
      <xdr:colOff>1238039</xdr:colOff>
      <xdr:row>22</xdr:row>
      <xdr:rowOff>106411</xdr:rowOff>
    </xdr:to>
    <xdr:sp macro="" textlink="">
      <xdr:nvSpPr>
        <xdr:cNvPr id="30" name="Rounded Rectangle 29"/>
        <xdr:cNvSpPr/>
      </xdr:nvSpPr>
      <xdr:spPr>
        <a:xfrm>
          <a:off x="3895895" y="3916139"/>
          <a:ext cx="1152144" cy="54319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600"/>
            <a:t>Taxes</a:t>
          </a:r>
        </a:p>
      </xdr:txBody>
    </xdr:sp>
    <xdr:clientData/>
  </xdr:twoCellAnchor>
  <xdr:twoCellAnchor>
    <xdr:from>
      <xdr:col>3</xdr:col>
      <xdr:colOff>1233030</xdr:colOff>
      <xdr:row>10</xdr:row>
      <xdr:rowOff>186631</xdr:rowOff>
    </xdr:from>
    <xdr:to>
      <xdr:col>5</xdr:col>
      <xdr:colOff>85895</xdr:colOff>
      <xdr:row>15</xdr:row>
      <xdr:rowOff>210252</xdr:rowOff>
    </xdr:to>
    <xdr:cxnSp macro="">
      <xdr:nvCxnSpPr>
        <xdr:cNvPr id="31" name="Elbow Connector 30"/>
        <xdr:cNvCxnSpPr>
          <a:stCxn id="4" idx="3"/>
          <a:endCxn id="29" idx="1"/>
        </xdr:cNvCxnSpPr>
      </xdr:nvCxnSpPr>
      <xdr:spPr>
        <a:xfrm>
          <a:off x="3252330" y="2177356"/>
          <a:ext cx="643565" cy="96659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1233030</xdr:colOff>
      <xdr:row>15</xdr:row>
      <xdr:rowOff>210252</xdr:rowOff>
    </xdr:from>
    <xdr:to>
      <xdr:col>5</xdr:col>
      <xdr:colOff>85895</xdr:colOff>
      <xdr:row>22</xdr:row>
      <xdr:rowOff>33173</xdr:rowOff>
    </xdr:to>
    <xdr:cxnSp macro="">
      <xdr:nvCxnSpPr>
        <xdr:cNvPr id="32" name="Elbow Connector 31"/>
        <xdr:cNvCxnSpPr>
          <a:stCxn id="10" idx="3"/>
          <a:endCxn id="29" idx="1"/>
        </xdr:cNvCxnSpPr>
      </xdr:nvCxnSpPr>
      <xdr:spPr>
        <a:xfrm flipV="1">
          <a:off x="3252330" y="3143952"/>
          <a:ext cx="643565" cy="124214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5</xdr:col>
      <xdr:colOff>85895</xdr:colOff>
      <xdr:row>33</xdr:row>
      <xdr:rowOff>0</xdr:rowOff>
    </xdr:from>
    <xdr:to>
      <xdr:col>5</xdr:col>
      <xdr:colOff>1238039</xdr:colOff>
      <xdr:row>35</xdr:row>
      <xdr:rowOff>97902</xdr:rowOff>
    </xdr:to>
    <xdr:sp macro="" textlink="">
      <xdr:nvSpPr>
        <xdr:cNvPr id="33" name="Rounded Rectangle 32"/>
        <xdr:cNvSpPr/>
      </xdr:nvSpPr>
      <xdr:spPr>
        <a:xfrm>
          <a:off x="3895895" y="6505575"/>
          <a:ext cx="1152144" cy="517002"/>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400"/>
            <a:t>Total Assets</a:t>
          </a:r>
        </a:p>
      </xdr:txBody>
    </xdr:sp>
    <xdr:clientData/>
  </xdr:twoCellAnchor>
  <xdr:twoCellAnchor>
    <xdr:from>
      <xdr:col>5</xdr:col>
      <xdr:colOff>85895</xdr:colOff>
      <xdr:row>29</xdr:row>
      <xdr:rowOff>0</xdr:rowOff>
    </xdr:from>
    <xdr:to>
      <xdr:col>5</xdr:col>
      <xdr:colOff>1238039</xdr:colOff>
      <xdr:row>31</xdr:row>
      <xdr:rowOff>104707</xdr:rowOff>
    </xdr:to>
    <xdr:sp macro="" textlink="">
      <xdr:nvSpPr>
        <xdr:cNvPr id="34" name="Rounded Rectangle 33"/>
        <xdr:cNvSpPr/>
      </xdr:nvSpPr>
      <xdr:spPr>
        <a:xfrm>
          <a:off x="3895895" y="5667375"/>
          <a:ext cx="1152144" cy="48570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600"/>
            <a:t>Sales</a:t>
          </a:r>
        </a:p>
      </xdr:txBody>
    </xdr:sp>
    <xdr:clientData/>
  </xdr:twoCellAnchor>
  <xdr:twoCellAnchor>
    <xdr:from>
      <xdr:col>3</xdr:col>
      <xdr:colOff>1233030</xdr:colOff>
      <xdr:row>32</xdr:row>
      <xdr:rowOff>2177</xdr:rowOff>
    </xdr:from>
    <xdr:to>
      <xdr:col>5</xdr:col>
      <xdr:colOff>85895</xdr:colOff>
      <xdr:row>33</xdr:row>
      <xdr:rowOff>213654</xdr:rowOff>
    </xdr:to>
    <xdr:cxnSp macro="">
      <xdr:nvCxnSpPr>
        <xdr:cNvPr id="35" name="Elbow Connector 34"/>
        <xdr:cNvCxnSpPr>
          <a:stCxn id="17" idx="3"/>
          <a:endCxn id="33" idx="1"/>
        </xdr:cNvCxnSpPr>
      </xdr:nvCxnSpPr>
      <xdr:spPr>
        <a:xfrm>
          <a:off x="3252330" y="6279152"/>
          <a:ext cx="643565" cy="440077"/>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1233030</xdr:colOff>
      <xdr:row>34</xdr:row>
      <xdr:rowOff>30129</xdr:rowOff>
    </xdr:from>
    <xdr:to>
      <xdr:col>4</xdr:col>
      <xdr:colOff>484756</xdr:colOff>
      <xdr:row>36</xdr:row>
      <xdr:rowOff>137205</xdr:rowOff>
    </xdr:to>
    <xdr:cxnSp macro="">
      <xdr:nvCxnSpPr>
        <xdr:cNvPr id="36" name="Elbow Connector 35"/>
        <xdr:cNvCxnSpPr>
          <a:stCxn id="18" idx="3"/>
        </xdr:cNvCxnSpPr>
      </xdr:nvCxnSpPr>
      <xdr:spPr>
        <a:xfrm flipV="1">
          <a:off x="3252330" y="6764304"/>
          <a:ext cx="547126" cy="52617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5</xdr:col>
      <xdr:colOff>85895</xdr:colOff>
      <xdr:row>44</xdr:row>
      <xdr:rowOff>122465</xdr:rowOff>
    </xdr:from>
    <xdr:to>
      <xdr:col>5</xdr:col>
      <xdr:colOff>1238039</xdr:colOff>
      <xdr:row>47</xdr:row>
      <xdr:rowOff>0</xdr:rowOff>
    </xdr:to>
    <xdr:sp macro="" textlink="">
      <xdr:nvSpPr>
        <xdr:cNvPr id="37" name="Rounded Rectangle 36"/>
        <xdr:cNvSpPr/>
      </xdr:nvSpPr>
      <xdr:spPr>
        <a:xfrm>
          <a:off x="3895895" y="8952140"/>
          <a:ext cx="1152144" cy="582385"/>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400"/>
            <a:t>Net Worth</a:t>
          </a:r>
        </a:p>
      </xdr:txBody>
    </xdr:sp>
    <xdr:clientData/>
  </xdr:twoCellAnchor>
  <xdr:twoCellAnchor>
    <xdr:from>
      <xdr:col>5</xdr:col>
      <xdr:colOff>85895</xdr:colOff>
      <xdr:row>39</xdr:row>
      <xdr:rowOff>102053</xdr:rowOff>
    </xdr:from>
    <xdr:to>
      <xdr:col>5</xdr:col>
      <xdr:colOff>1238039</xdr:colOff>
      <xdr:row>42</xdr:row>
      <xdr:rowOff>92800</xdr:rowOff>
    </xdr:to>
    <xdr:sp macro="" textlink="">
      <xdr:nvSpPr>
        <xdr:cNvPr id="38" name="Rounded Rectangle 37"/>
        <xdr:cNvSpPr/>
      </xdr:nvSpPr>
      <xdr:spPr>
        <a:xfrm>
          <a:off x="3895895" y="7903028"/>
          <a:ext cx="1152144" cy="600347"/>
        </a:xfrm>
        <a:prstGeom prst="round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lIns="0" tIns="0" rIns="0" bIns="0" rtlCol="0" anchor="ctr"/>
        <a:lstStyle/>
        <a:p>
          <a:pPr algn="ctr"/>
          <a:r>
            <a:rPr lang="en-US" sz="1400"/>
            <a:t>Total Assets</a:t>
          </a:r>
        </a:p>
      </xdr:txBody>
    </xdr:sp>
    <xdr:clientData/>
  </xdr:twoCellAnchor>
  <xdr:twoCellAnchor>
    <xdr:from>
      <xdr:col>3</xdr:col>
      <xdr:colOff>1233030</xdr:colOff>
      <xdr:row>43</xdr:row>
      <xdr:rowOff>9738</xdr:rowOff>
    </xdr:from>
    <xdr:to>
      <xdr:col>5</xdr:col>
      <xdr:colOff>85895</xdr:colOff>
      <xdr:row>46</xdr:row>
      <xdr:rowOff>6714</xdr:rowOff>
    </xdr:to>
    <xdr:cxnSp macro="">
      <xdr:nvCxnSpPr>
        <xdr:cNvPr id="39" name="Elbow Connector 38"/>
        <xdr:cNvCxnSpPr>
          <a:stCxn id="25" idx="3"/>
          <a:endCxn id="37" idx="1"/>
        </xdr:cNvCxnSpPr>
      </xdr:nvCxnSpPr>
      <xdr:spPr>
        <a:xfrm>
          <a:off x="3252330" y="8610813"/>
          <a:ext cx="643565" cy="644676"/>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1202037</xdr:colOff>
      <xdr:row>46</xdr:row>
      <xdr:rowOff>47137</xdr:rowOff>
    </xdr:from>
    <xdr:to>
      <xdr:col>5</xdr:col>
      <xdr:colOff>81643</xdr:colOff>
      <xdr:row>47</xdr:row>
      <xdr:rowOff>29211</xdr:rowOff>
    </xdr:to>
    <xdr:cxnSp macro="">
      <xdr:nvCxnSpPr>
        <xdr:cNvPr id="40" name="Elbow Connector 39"/>
        <xdr:cNvCxnSpPr/>
      </xdr:nvCxnSpPr>
      <xdr:spPr>
        <a:xfrm flipV="1">
          <a:off x="3221337" y="9295912"/>
          <a:ext cx="670306" cy="267824"/>
        </a:xfrm>
        <a:prstGeom prst="bentConnector3">
          <a:avLst>
            <a:gd name="adj1" fmla="val 50000"/>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3</xdr:col>
      <xdr:colOff>1235226</xdr:colOff>
      <xdr:row>45</xdr:row>
      <xdr:rowOff>223762</xdr:rowOff>
    </xdr:from>
    <xdr:to>
      <xdr:col>4</xdr:col>
      <xdr:colOff>216867</xdr:colOff>
      <xdr:row>47</xdr:row>
      <xdr:rowOff>0</xdr:rowOff>
    </xdr:to>
    <xdr:sp macro="" textlink="">
      <xdr:nvSpPr>
        <xdr:cNvPr id="41" name="Minus 40"/>
        <xdr:cNvSpPr/>
      </xdr:nvSpPr>
      <xdr:spPr>
        <a:xfrm flipH="1">
          <a:off x="3254526" y="9243937"/>
          <a:ext cx="277041" cy="290588"/>
        </a:xfrm>
        <a:prstGeom prst="mathMinu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endParaRPr lang="en-CA"/>
        </a:p>
      </xdr:txBody>
    </xdr:sp>
    <xdr:clientData/>
  </xdr:twoCellAnchor>
  <xdr:twoCellAnchor>
    <xdr:from>
      <xdr:col>3</xdr:col>
      <xdr:colOff>1241273</xdr:colOff>
      <xdr:row>33</xdr:row>
      <xdr:rowOff>114907</xdr:rowOff>
    </xdr:from>
    <xdr:to>
      <xdr:col>4</xdr:col>
      <xdr:colOff>222248</xdr:colOff>
      <xdr:row>34</xdr:row>
      <xdr:rowOff>157906</xdr:rowOff>
    </xdr:to>
    <xdr:sp macro="" textlink="">
      <xdr:nvSpPr>
        <xdr:cNvPr id="42" name="Plus 41"/>
        <xdr:cNvSpPr/>
      </xdr:nvSpPr>
      <xdr:spPr>
        <a:xfrm>
          <a:off x="3260573" y="6620482"/>
          <a:ext cx="276375" cy="271599"/>
        </a:xfrm>
        <a:prstGeom prst="mathPlu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endParaRPr lang="en-CA"/>
        </a:p>
      </xdr:txBody>
    </xdr:sp>
    <xdr:clientData/>
  </xdr:twoCellAnchor>
  <xdr:twoCellAnchor>
    <xdr:from>
      <xdr:col>3</xdr:col>
      <xdr:colOff>1230690</xdr:colOff>
      <xdr:row>15</xdr:row>
      <xdr:rowOff>201083</xdr:rowOff>
    </xdr:from>
    <xdr:to>
      <xdr:col>4</xdr:col>
      <xdr:colOff>212331</xdr:colOff>
      <xdr:row>16</xdr:row>
      <xdr:rowOff>152641</xdr:rowOff>
    </xdr:to>
    <xdr:sp macro="" textlink="">
      <xdr:nvSpPr>
        <xdr:cNvPr id="43" name="Minus 42"/>
        <xdr:cNvSpPr/>
      </xdr:nvSpPr>
      <xdr:spPr>
        <a:xfrm flipH="1">
          <a:off x="3249990" y="3134783"/>
          <a:ext cx="277041" cy="180158"/>
        </a:xfrm>
        <a:prstGeom prst="mathMinus">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endParaRPr lang="en-CA"/>
        </a:p>
      </xdr:txBody>
    </xdr:sp>
    <xdr:clientData/>
  </xdr:twoCellAnchor>
  <xdr:twoCellAnchor>
    <xdr:from>
      <xdr:col>7</xdr:col>
      <xdr:colOff>102053</xdr:colOff>
      <xdr:row>16</xdr:row>
      <xdr:rowOff>81643</xdr:rowOff>
    </xdr:from>
    <xdr:to>
      <xdr:col>7</xdr:col>
      <xdr:colOff>1254197</xdr:colOff>
      <xdr:row>19</xdr:row>
      <xdr:rowOff>72390</xdr:rowOff>
    </xdr:to>
    <xdr:sp macro="" textlink="">
      <xdr:nvSpPr>
        <xdr:cNvPr id="44" name="Rounded Rectangle 43"/>
        <xdr:cNvSpPr/>
      </xdr:nvSpPr>
      <xdr:spPr>
        <a:xfrm>
          <a:off x="5702753" y="3243943"/>
          <a:ext cx="1152144" cy="562247"/>
        </a:xfrm>
        <a:prstGeom prst="round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lIns="0" tIns="0" rIns="0" bIns="0" rtlCol="0" anchor="ctr"/>
        <a:lstStyle/>
        <a:p>
          <a:pPr algn="ctr"/>
          <a:r>
            <a:rPr lang="en-US" sz="1400"/>
            <a:t>Net Profit After</a:t>
          </a:r>
          <a:r>
            <a:rPr lang="en-US" sz="1400" baseline="0"/>
            <a:t> Taxes</a:t>
          </a:r>
          <a:endParaRPr lang="en-US" sz="1400"/>
        </a:p>
      </xdr:txBody>
    </xdr:sp>
    <xdr:clientData/>
  </xdr:twoCellAnchor>
  <xdr:twoCellAnchor>
    <xdr:from>
      <xdr:col>7</xdr:col>
      <xdr:colOff>102053</xdr:colOff>
      <xdr:row>23</xdr:row>
      <xdr:rowOff>13606</xdr:rowOff>
    </xdr:from>
    <xdr:to>
      <xdr:col>7</xdr:col>
      <xdr:colOff>1254197</xdr:colOff>
      <xdr:row>25</xdr:row>
      <xdr:rowOff>99603</xdr:rowOff>
    </xdr:to>
    <xdr:sp macro="" textlink="">
      <xdr:nvSpPr>
        <xdr:cNvPr id="45" name="Rounded Rectangle 44"/>
        <xdr:cNvSpPr/>
      </xdr:nvSpPr>
      <xdr:spPr>
        <a:xfrm>
          <a:off x="5702753" y="4528456"/>
          <a:ext cx="1152144" cy="524147"/>
        </a:xfrm>
        <a:prstGeom prst="round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600"/>
            <a:t>Sales</a:t>
          </a:r>
        </a:p>
      </xdr:txBody>
    </xdr:sp>
    <xdr:clientData/>
  </xdr:twoCellAnchor>
  <xdr:twoCellAnchor>
    <xdr:from>
      <xdr:col>5</xdr:col>
      <xdr:colOff>1238039</xdr:colOff>
      <xdr:row>15</xdr:row>
      <xdr:rowOff>210252</xdr:rowOff>
    </xdr:from>
    <xdr:to>
      <xdr:col>7</xdr:col>
      <xdr:colOff>102053</xdr:colOff>
      <xdr:row>18</xdr:row>
      <xdr:rowOff>29392</xdr:rowOff>
    </xdr:to>
    <xdr:cxnSp macro="">
      <xdr:nvCxnSpPr>
        <xdr:cNvPr id="46" name="Elbow Connector 45"/>
        <xdr:cNvCxnSpPr>
          <a:stCxn id="29" idx="3"/>
          <a:endCxn id="44" idx="1"/>
        </xdr:cNvCxnSpPr>
      </xdr:nvCxnSpPr>
      <xdr:spPr>
        <a:xfrm>
          <a:off x="5048039" y="3143952"/>
          <a:ext cx="654714" cy="371590"/>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1238039</xdr:colOff>
      <xdr:row>18</xdr:row>
      <xdr:rowOff>29392</xdr:rowOff>
    </xdr:from>
    <xdr:to>
      <xdr:col>7</xdr:col>
      <xdr:colOff>102053</xdr:colOff>
      <xdr:row>21</xdr:row>
      <xdr:rowOff>63413</xdr:rowOff>
    </xdr:to>
    <xdr:cxnSp macro="">
      <xdr:nvCxnSpPr>
        <xdr:cNvPr id="47" name="Elbow Connector 46"/>
        <xdr:cNvCxnSpPr>
          <a:stCxn id="30" idx="3"/>
          <a:endCxn id="44" idx="1"/>
        </xdr:cNvCxnSpPr>
      </xdr:nvCxnSpPr>
      <xdr:spPr>
        <a:xfrm flipV="1">
          <a:off x="5048039" y="3515542"/>
          <a:ext cx="654714" cy="672196"/>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1259417</xdr:colOff>
      <xdr:row>17</xdr:row>
      <xdr:rowOff>36285</xdr:rowOff>
    </xdr:from>
    <xdr:to>
      <xdr:col>6</xdr:col>
      <xdr:colOff>242570</xdr:colOff>
      <xdr:row>18</xdr:row>
      <xdr:rowOff>147319</xdr:rowOff>
    </xdr:to>
    <xdr:sp macro="" textlink="">
      <xdr:nvSpPr>
        <xdr:cNvPr id="48" name="Minus 47"/>
        <xdr:cNvSpPr/>
      </xdr:nvSpPr>
      <xdr:spPr>
        <a:xfrm flipH="1">
          <a:off x="5069417" y="3360510"/>
          <a:ext cx="278553" cy="272959"/>
        </a:xfrm>
        <a:prstGeom prst="mathMinus">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9</xdr:col>
      <xdr:colOff>68035</xdr:colOff>
      <xdr:row>29</xdr:row>
      <xdr:rowOff>0</xdr:rowOff>
    </xdr:from>
    <xdr:to>
      <xdr:col>9</xdr:col>
      <xdr:colOff>1220179</xdr:colOff>
      <xdr:row>31</xdr:row>
      <xdr:rowOff>140427</xdr:rowOff>
    </xdr:to>
    <xdr:sp macro="" textlink="">
      <xdr:nvSpPr>
        <xdr:cNvPr id="49" name="Rounded Rectangle 48"/>
        <xdr:cNvSpPr/>
      </xdr:nvSpPr>
      <xdr:spPr>
        <a:xfrm>
          <a:off x="7459435" y="5667375"/>
          <a:ext cx="1152144" cy="521427"/>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lIns="0" tIns="0" rIns="0" bIns="0" rtlCol="0" anchor="ctr"/>
        <a:lstStyle/>
        <a:p>
          <a:pPr algn="ctr"/>
          <a:r>
            <a:rPr lang="en-US" sz="1400"/>
            <a:t>Asset</a:t>
          </a:r>
          <a:r>
            <a:rPr lang="en-US" sz="1400" baseline="0"/>
            <a:t> Turnover</a:t>
          </a:r>
          <a:endParaRPr lang="en-US" sz="1400"/>
        </a:p>
      </xdr:txBody>
    </xdr:sp>
    <xdr:clientData/>
  </xdr:twoCellAnchor>
  <xdr:twoCellAnchor>
    <xdr:from>
      <xdr:col>11</xdr:col>
      <xdr:colOff>81643</xdr:colOff>
      <xdr:row>33</xdr:row>
      <xdr:rowOff>0</xdr:rowOff>
    </xdr:from>
    <xdr:to>
      <xdr:col>11</xdr:col>
      <xdr:colOff>1233787</xdr:colOff>
      <xdr:row>35</xdr:row>
      <xdr:rowOff>113211</xdr:rowOff>
    </xdr:to>
    <xdr:sp macro="" textlink="">
      <xdr:nvSpPr>
        <xdr:cNvPr id="50" name="Rounded Rectangle 49"/>
        <xdr:cNvSpPr/>
      </xdr:nvSpPr>
      <xdr:spPr>
        <a:xfrm>
          <a:off x="9263743" y="6505575"/>
          <a:ext cx="1152144" cy="532311"/>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lIns="0" tIns="0" rIns="0" bIns="0" rtlCol="0" anchor="ctr"/>
        <a:lstStyle/>
        <a:p>
          <a:pPr algn="ctr"/>
          <a:r>
            <a:rPr lang="en-US" sz="1400"/>
            <a:t>Financial Leverage</a:t>
          </a:r>
        </a:p>
      </xdr:txBody>
    </xdr:sp>
    <xdr:clientData/>
  </xdr:twoCellAnchor>
  <xdr:twoCellAnchor>
    <xdr:from>
      <xdr:col>9</xdr:col>
      <xdr:colOff>68035</xdr:colOff>
      <xdr:row>20</xdr:row>
      <xdr:rowOff>217714</xdr:rowOff>
    </xdr:from>
    <xdr:to>
      <xdr:col>9</xdr:col>
      <xdr:colOff>1220179</xdr:colOff>
      <xdr:row>23</xdr:row>
      <xdr:rowOff>140425</xdr:rowOff>
    </xdr:to>
    <xdr:sp macro="" textlink="">
      <xdr:nvSpPr>
        <xdr:cNvPr id="51" name="Rounded Rectangle 50"/>
        <xdr:cNvSpPr/>
      </xdr:nvSpPr>
      <xdr:spPr>
        <a:xfrm>
          <a:off x="7459435" y="4113439"/>
          <a:ext cx="1152144" cy="541836"/>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lIns="0" tIns="0" rIns="0" bIns="0" rtlCol="0" anchor="ctr"/>
        <a:lstStyle/>
        <a:p>
          <a:pPr algn="ctr"/>
          <a:r>
            <a:rPr lang="en-US" sz="1400"/>
            <a:t>Net Profit</a:t>
          </a:r>
          <a:r>
            <a:rPr lang="en-US" sz="1400" baseline="0"/>
            <a:t> Margin</a:t>
          </a:r>
          <a:endParaRPr lang="en-US" sz="1400"/>
        </a:p>
      </xdr:txBody>
    </xdr:sp>
    <xdr:clientData/>
  </xdr:twoCellAnchor>
  <xdr:twoCellAnchor>
    <xdr:from>
      <xdr:col>5</xdr:col>
      <xdr:colOff>1238039</xdr:colOff>
      <xdr:row>29</xdr:row>
      <xdr:rowOff>188709</xdr:rowOff>
    </xdr:from>
    <xdr:to>
      <xdr:col>9</xdr:col>
      <xdr:colOff>68035</xdr:colOff>
      <xdr:row>30</xdr:row>
      <xdr:rowOff>33929</xdr:rowOff>
    </xdr:to>
    <xdr:cxnSp macro="">
      <xdr:nvCxnSpPr>
        <xdr:cNvPr id="52" name="Straight Connector 51"/>
        <xdr:cNvCxnSpPr>
          <a:stCxn id="34" idx="3"/>
          <a:endCxn id="49" idx="1"/>
        </xdr:cNvCxnSpPr>
      </xdr:nvCxnSpPr>
      <xdr:spPr>
        <a:xfrm>
          <a:off x="5048039" y="5856084"/>
          <a:ext cx="2411396" cy="35720"/>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1238039</xdr:colOff>
      <xdr:row>30</xdr:row>
      <xdr:rowOff>33929</xdr:rowOff>
    </xdr:from>
    <xdr:to>
      <xdr:col>9</xdr:col>
      <xdr:colOff>68035</xdr:colOff>
      <xdr:row>33</xdr:row>
      <xdr:rowOff>213654</xdr:rowOff>
    </xdr:to>
    <xdr:cxnSp macro="">
      <xdr:nvCxnSpPr>
        <xdr:cNvPr id="53" name="Straight Connector 52"/>
        <xdr:cNvCxnSpPr>
          <a:stCxn id="33" idx="3"/>
          <a:endCxn id="49" idx="1"/>
        </xdr:cNvCxnSpPr>
      </xdr:nvCxnSpPr>
      <xdr:spPr>
        <a:xfrm flipV="1">
          <a:off x="5048039" y="5891804"/>
          <a:ext cx="2411396" cy="827425"/>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1238039</xdr:colOff>
      <xdr:row>34</xdr:row>
      <xdr:rowOff>6713</xdr:rowOff>
    </xdr:from>
    <xdr:to>
      <xdr:col>11</xdr:col>
      <xdr:colOff>81643</xdr:colOff>
      <xdr:row>40</xdr:row>
      <xdr:rowOff>208552</xdr:rowOff>
    </xdr:to>
    <xdr:cxnSp macro="">
      <xdr:nvCxnSpPr>
        <xdr:cNvPr id="54" name="Straight Connector 53"/>
        <xdr:cNvCxnSpPr>
          <a:stCxn id="38" idx="3"/>
          <a:endCxn id="50" idx="1"/>
        </xdr:cNvCxnSpPr>
      </xdr:nvCxnSpPr>
      <xdr:spPr>
        <a:xfrm flipV="1">
          <a:off x="5048039" y="6740888"/>
          <a:ext cx="4215704" cy="1459139"/>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1238039</xdr:colOff>
      <xdr:row>34</xdr:row>
      <xdr:rowOff>6713</xdr:rowOff>
    </xdr:from>
    <xdr:to>
      <xdr:col>11</xdr:col>
      <xdr:colOff>81643</xdr:colOff>
      <xdr:row>46</xdr:row>
      <xdr:rowOff>6714</xdr:rowOff>
    </xdr:to>
    <xdr:cxnSp macro="">
      <xdr:nvCxnSpPr>
        <xdr:cNvPr id="55" name="Straight Connector 54"/>
        <xdr:cNvCxnSpPr>
          <a:stCxn id="37" idx="3"/>
          <a:endCxn id="50" idx="1"/>
        </xdr:cNvCxnSpPr>
      </xdr:nvCxnSpPr>
      <xdr:spPr>
        <a:xfrm flipV="1">
          <a:off x="5048039" y="6740888"/>
          <a:ext cx="4215704" cy="2514601"/>
        </a:xfrm>
        <a:prstGeom prst="line">
          <a:avLst/>
        </a:prstGeom>
      </xdr:spPr>
      <xdr:style>
        <a:lnRef idx="2">
          <a:schemeClr val="accent5"/>
        </a:lnRef>
        <a:fillRef idx="0">
          <a:schemeClr val="accent5"/>
        </a:fillRef>
        <a:effectRef idx="1">
          <a:schemeClr val="accent5"/>
        </a:effectRef>
        <a:fontRef idx="minor">
          <a:schemeClr val="tx1"/>
        </a:fontRef>
      </xdr:style>
    </xdr:cxnSp>
    <xdr:clientData/>
  </xdr:twoCellAnchor>
  <xdr:twoCellAnchor>
    <xdr:from>
      <xdr:col>7</xdr:col>
      <xdr:colOff>1254197</xdr:colOff>
      <xdr:row>18</xdr:row>
      <xdr:rowOff>29392</xdr:rowOff>
    </xdr:from>
    <xdr:to>
      <xdr:col>9</xdr:col>
      <xdr:colOff>68035</xdr:colOff>
      <xdr:row>22</xdr:row>
      <xdr:rowOff>36195</xdr:rowOff>
    </xdr:to>
    <xdr:cxnSp macro="">
      <xdr:nvCxnSpPr>
        <xdr:cNvPr id="56" name="Elbow Connector 55"/>
        <xdr:cNvCxnSpPr>
          <a:stCxn id="44" idx="3"/>
          <a:endCxn id="51" idx="1"/>
        </xdr:cNvCxnSpPr>
      </xdr:nvCxnSpPr>
      <xdr:spPr>
        <a:xfrm>
          <a:off x="6854897" y="3515542"/>
          <a:ext cx="604538" cy="873578"/>
        </a:xfrm>
        <a:prstGeom prst="bentConnector3">
          <a:avLst>
            <a:gd name="adj1" fmla="val 50000"/>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1254197</xdr:colOff>
      <xdr:row>22</xdr:row>
      <xdr:rowOff>36195</xdr:rowOff>
    </xdr:from>
    <xdr:to>
      <xdr:col>9</xdr:col>
      <xdr:colOff>68035</xdr:colOff>
      <xdr:row>24</xdr:row>
      <xdr:rowOff>56605</xdr:rowOff>
    </xdr:to>
    <xdr:cxnSp macro="">
      <xdr:nvCxnSpPr>
        <xdr:cNvPr id="57" name="Elbow Connector 56"/>
        <xdr:cNvCxnSpPr>
          <a:stCxn id="45" idx="3"/>
          <a:endCxn id="51" idx="1"/>
        </xdr:cNvCxnSpPr>
      </xdr:nvCxnSpPr>
      <xdr:spPr>
        <a:xfrm flipV="1">
          <a:off x="6854897" y="4389120"/>
          <a:ext cx="604538" cy="391885"/>
        </a:xfrm>
        <a:prstGeom prst="bentConnector3">
          <a:avLst>
            <a:gd name="adj1" fmla="val 50000"/>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1204989</xdr:colOff>
      <xdr:row>21</xdr:row>
      <xdr:rowOff>16631</xdr:rowOff>
    </xdr:from>
    <xdr:to>
      <xdr:col>8</xdr:col>
      <xdr:colOff>186630</xdr:colOff>
      <xdr:row>22</xdr:row>
      <xdr:rowOff>61142</xdr:rowOff>
    </xdr:to>
    <xdr:sp macro="" textlink="">
      <xdr:nvSpPr>
        <xdr:cNvPr id="58" name="Division 57"/>
        <xdr:cNvSpPr/>
      </xdr:nvSpPr>
      <xdr:spPr>
        <a:xfrm>
          <a:off x="6805689" y="4140956"/>
          <a:ext cx="277041" cy="273111"/>
        </a:xfrm>
        <a:prstGeom prst="mathDivid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endParaRPr lang="en-CA"/>
        </a:p>
      </xdr:txBody>
    </xdr:sp>
    <xdr:clientData/>
  </xdr:twoCellAnchor>
  <xdr:twoCellAnchor>
    <xdr:from>
      <xdr:col>6</xdr:col>
      <xdr:colOff>15119</xdr:colOff>
      <xdr:row>42</xdr:row>
      <xdr:rowOff>142118</xdr:rowOff>
    </xdr:from>
    <xdr:to>
      <xdr:col>6</xdr:col>
      <xdr:colOff>289439</xdr:colOff>
      <xdr:row>44</xdr:row>
      <xdr:rowOff>21831</xdr:rowOff>
    </xdr:to>
    <xdr:sp macro="" textlink="">
      <xdr:nvSpPr>
        <xdr:cNvPr id="59" name="Division 58"/>
        <xdr:cNvSpPr/>
      </xdr:nvSpPr>
      <xdr:spPr>
        <a:xfrm>
          <a:off x="5120519" y="8552693"/>
          <a:ext cx="274320" cy="298813"/>
        </a:xfrm>
        <a:prstGeom prst="mathDivid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11</xdr:col>
      <xdr:colOff>81643</xdr:colOff>
      <xdr:row>25</xdr:row>
      <xdr:rowOff>68037</xdr:rowOff>
    </xdr:from>
    <xdr:to>
      <xdr:col>11</xdr:col>
      <xdr:colOff>1233787</xdr:colOff>
      <xdr:row>28</xdr:row>
      <xdr:rowOff>58784</xdr:rowOff>
    </xdr:to>
    <xdr:sp macro="" textlink="">
      <xdr:nvSpPr>
        <xdr:cNvPr id="60" name="Rounded Rectangle 59"/>
        <xdr:cNvSpPr/>
      </xdr:nvSpPr>
      <xdr:spPr>
        <a:xfrm>
          <a:off x="9263743" y="5021037"/>
          <a:ext cx="1152144" cy="543197"/>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lIns="0" tIns="0" rIns="0" bIns="0" rtlCol="0" anchor="ctr"/>
        <a:lstStyle/>
        <a:p>
          <a:pPr algn="ctr"/>
          <a:r>
            <a:rPr lang="en-US" sz="1400"/>
            <a:t>Return on Total Assets</a:t>
          </a:r>
        </a:p>
      </xdr:txBody>
    </xdr:sp>
    <xdr:clientData/>
  </xdr:twoCellAnchor>
  <xdr:twoCellAnchor>
    <xdr:from>
      <xdr:col>9</xdr:col>
      <xdr:colOff>1220179</xdr:colOff>
      <xdr:row>22</xdr:row>
      <xdr:rowOff>36195</xdr:rowOff>
    </xdr:from>
    <xdr:to>
      <xdr:col>11</xdr:col>
      <xdr:colOff>81643</xdr:colOff>
      <xdr:row>26</xdr:row>
      <xdr:rowOff>174536</xdr:rowOff>
    </xdr:to>
    <xdr:cxnSp macro="">
      <xdr:nvCxnSpPr>
        <xdr:cNvPr id="61" name="Elbow Connector 60"/>
        <xdr:cNvCxnSpPr>
          <a:stCxn id="51" idx="3"/>
          <a:endCxn id="60" idx="1"/>
        </xdr:cNvCxnSpPr>
      </xdr:nvCxnSpPr>
      <xdr:spPr>
        <a:xfrm>
          <a:off x="8611579" y="4389120"/>
          <a:ext cx="652164" cy="900341"/>
        </a:xfrm>
        <a:prstGeom prst="bentConnector3">
          <a:avLst>
            <a:gd name="adj1" fmla="val 50000"/>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9</xdr:col>
      <xdr:colOff>1220179</xdr:colOff>
      <xdr:row>26</xdr:row>
      <xdr:rowOff>174536</xdr:rowOff>
    </xdr:from>
    <xdr:to>
      <xdr:col>11</xdr:col>
      <xdr:colOff>81643</xdr:colOff>
      <xdr:row>30</xdr:row>
      <xdr:rowOff>33929</xdr:rowOff>
    </xdr:to>
    <xdr:cxnSp macro="">
      <xdr:nvCxnSpPr>
        <xdr:cNvPr id="62" name="Elbow Connector 61"/>
        <xdr:cNvCxnSpPr>
          <a:stCxn id="49" idx="3"/>
          <a:endCxn id="60" idx="1"/>
        </xdr:cNvCxnSpPr>
      </xdr:nvCxnSpPr>
      <xdr:spPr>
        <a:xfrm flipV="1">
          <a:off x="8611579" y="5289461"/>
          <a:ext cx="652164" cy="602343"/>
        </a:xfrm>
        <a:prstGeom prst="bentConnector3">
          <a:avLst>
            <a:gd name="adj1" fmla="val 50000"/>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9</xdr:col>
      <xdr:colOff>1224642</xdr:colOff>
      <xdr:row>26</xdr:row>
      <xdr:rowOff>27214</xdr:rowOff>
    </xdr:from>
    <xdr:to>
      <xdr:col>10</xdr:col>
      <xdr:colOff>206284</xdr:colOff>
      <xdr:row>27</xdr:row>
      <xdr:rowOff>70212</xdr:rowOff>
    </xdr:to>
    <xdr:sp macro="" textlink="">
      <xdr:nvSpPr>
        <xdr:cNvPr id="63" name="Multiply 62"/>
        <xdr:cNvSpPr/>
      </xdr:nvSpPr>
      <xdr:spPr>
        <a:xfrm>
          <a:off x="8616042" y="5142139"/>
          <a:ext cx="277042" cy="271598"/>
        </a:xfrm>
        <a:prstGeom prst="mathMultiply">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endParaRPr lang="en-CA"/>
        </a:p>
      </xdr:txBody>
    </xdr:sp>
    <xdr:clientData/>
  </xdr:twoCellAnchor>
  <xdr:twoCellAnchor>
    <xdr:from>
      <xdr:col>13</xdr:col>
      <xdr:colOff>68036</xdr:colOff>
      <xdr:row>29</xdr:row>
      <xdr:rowOff>0</xdr:rowOff>
    </xdr:from>
    <xdr:to>
      <xdr:col>13</xdr:col>
      <xdr:colOff>1220180</xdr:colOff>
      <xdr:row>31</xdr:row>
      <xdr:rowOff>127000</xdr:rowOff>
    </xdr:to>
    <xdr:sp macro="" textlink="">
      <xdr:nvSpPr>
        <xdr:cNvPr id="64" name="Rounded Rectangle 63"/>
        <xdr:cNvSpPr/>
      </xdr:nvSpPr>
      <xdr:spPr>
        <a:xfrm>
          <a:off x="11040836" y="5667375"/>
          <a:ext cx="1152144" cy="508000"/>
        </a:xfrm>
        <a:prstGeom prst="round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1400"/>
            <a:t>Return on Investment</a:t>
          </a:r>
        </a:p>
      </xdr:txBody>
    </xdr:sp>
    <xdr:clientData/>
  </xdr:twoCellAnchor>
  <xdr:twoCellAnchor>
    <xdr:from>
      <xdr:col>11</xdr:col>
      <xdr:colOff>1233787</xdr:colOff>
      <xdr:row>26</xdr:row>
      <xdr:rowOff>174536</xdr:rowOff>
    </xdr:from>
    <xdr:to>
      <xdr:col>13</xdr:col>
      <xdr:colOff>68036</xdr:colOff>
      <xdr:row>30</xdr:row>
      <xdr:rowOff>63500</xdr:rowOff>
    </xdr:to>
    <xdr:cxnSp macro="">
      <xdr:nvCxnSpPr>
        <xdr:cNvPr id="65" name="Elbow Connector 64"/>
        <xdr:cNvCxnSpPr>
          <a:stCxn id="60" idx="3"/>
          <a:endCxn id="64" idx="1"/>
        </xdr:cNvCxnSpPr>
      </xdr:nvCxnSpPr>
      <xdr:spPr>
        <a:xfrm>
          <a:off x="10415887" y="5289461"/>
          <a:ext cx="624949" cy="631914"/>
        </a:xfrm>
        <a:prstGeom prst="bentConnector3">
          <a:avLst>
            <a:gd name="adj1" fmla="val 50000"/>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11</xdr:col>
      <xdr:colOff>1233787</xdr:colOff>
      <xdr:row>30</xdr:row>
      <xdr:rowOff>63500</xdr:rowOff>
    </xdr:from>
    <xdr:to>
      <xdr:col>13</xdr:col>
      <xdr:colOff>68036</xdr:colOff>
      <xdr:row>34</xdr:row>
      <xdr:rowOff>40731</xdr:rowOff>
    </xdr:to>
    <xdr:cxnSp macro="">
      <xdr:nvCxnSpPr>
        <xdr:cNvPr id="66" name="Elbow Connector 65"/>
        <xdr:cNvCxnSpPr>
          <a:stCxn id="50" idx="3"/>
          <a:endCxn id="64" idx="1"/>
        </xdr:cNvCxnSpPr>
      </xdr:nvCxnSpPr>
      <xdr:spPr>
        <a:xfrm flipV="1">
          <a:off x="10415887" y="5921375"/>
          <a:ext cx="624949" cy="853531"/>
        </a:xfrm>
        <a:prstGeom prst="bentConnector3">
          <a:avLst>
            <a:gd name="adj1" fmla="val 50000"/>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11</xdr:col>
      <xdr:colOff>1197429</xdr:colOff>
      <xdr:row>29</xdr:row>
      <xdr:rowOff>95250</xdr:rowOff>
    </xdr:from>
    <xdr:to>
      <xdr:col>12</xdr:col>
      <xdr:colOff>179070</xdr:colOff>
      <xdr:row>31</xdr:row>
      <xdr:rowOff>42999</xdr:rowOff>
    </xdr:to>
    <xdr:sp macro="" textlink="">
      <xdr:nvSpPr>
        <xdr:cNvPr id="67" name="Multiply 66"/>
        <xdr:cNvSpPr/>
      </xdr:nvSpPr>
      <xdr:spPr>
        <a:xfrm>
          <a:off x="10379529" y="5762625"/>
          <a:ext cx="277041" cy="328749"/>
        </a:xfrm>
        <a:prstGeom prst="mathMultiply">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rtlCol="0" anchor="ctr"/>
        <a:lstStyle/>
        <a:p>
          <a:endParaRPr lang="en-CA"/>
        </a:p>
      </xdr:txBody>
    </xdr:sp>
    <xdr:clientData/>
  </xdr:twoCellAnchor>
  <xdr:twoCellAnchor>
    <xdr:from>
      <xdr:col>6</xdr:col>
      <xdr:colOff>25702</xdr:colOff>
      <xdr:row>32</xdr:row>
      <xdr:rowOff>9070</xdr:rowOff>
    </xdr:from>
    <xdr:to>
      <xdr:col>6</xdr:col>
      <xdr:colOff>300022</xdr:colOff>
      <xdr:row>33</xdr:row>
      <xdr:rowOff>0</xdr:rowOff>
    </xdr:to>
    <xdr:sp macro="" textlink="">
      <xdr:nvSpPr>
        <xdr:cNvPr id="68" name="Division 67"/>
        <xdr:cNvSpPr/>
      </xdr:nvSpPr>
      <xdr:spPr>
        <a:xfrm>
          <a:off x="5131102" y="6286045"/>
          <a:ext cx="274320" cy="219530"/>
        </a:xfrm>
        <a:prstGeom prst="mathDivid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endParaRPr lang="en-CA"/>
        </a:p>
      </xdr:txBody>
    </xdr:sp>
    <xdr:clientData/>
  </xdr:twoCellAnchor>
  <xdr:twoCellAnchor>
    <xdr:from>
      <xdr:col>1</xdr:col>
      <xdr:colOff>1240315</xdr:colOff>
      <xdr:row>19</xdr:row>
      <xdr:rowOff>77016</xdr:rowOff>
    </xdr:from>
    <xdr:to>
      <xdr:col>3</xdr:col>
      <xdr:colOff>80886</xdr:colOff>
      <xdr:row>22</xdr:row>
      <xdr:rowOff>33173</xdr:rowOff>
    </xdr:to>
    <xdr:cxnSp macro="">
      <xdr:nvCxnSpPr>
        <xdr:cNvPr id="69" name="Elbow Connector 68"/>
        <xdr:cNvCxnSpPr>
          <a:stCxn id="8" idx="3"/>
          <a:endCxn id="10" idx="1"/>
        </xdr:cNvCxnSpPr>
      </xdr:nvCxnSpPr>
      <xdr:spPr>
        <a:xfrm>
          <a:off x="1468915" y="3810816"/>
          <a:ext cx="631271" cy="575282"/>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1</xdr:col>
      <xdr:colOff>1240315</xdr:colOff>
      <xdr:row>22</xdr:row>
      <xdr:rowOff>33173</xdr:rowOff>
    </xdr:from>
    <xdr:to>
      <xdr:col>3</xdr:col>
      <xdr:colOff>80886</xdr:colOff>
      <xdr:row>24</xdr:row>
      <xdr:rowOff>88354</xdr:rowOff>
    </xdr:to>
    <xdr:cxnSp macro="">
      <xdr:nvCxnSpPr>
        <xdr:cNvPr id="70" name="Elbow Connector 69"/>
        <xdr:cNvCxnSpPr>
          <a:stCxn id="9" idx="3"/>
          <a:endCxn id="10" idx="1"/>
        </xdr:cNvCxnSpPr>
      </xdr:nvCxnSpPr>
      <xdr:spPr>
        <a:xfrm flipV="1">
          <a:off x="1468915" y="4386098"/>
          <a:ext cx="631271" cy="426656"/>
        </a:xfrm>
        <a:prstGeom prst="bentConnector3">
          <a:avLst>
            <a:gd name="adj1" fmla="val 50000"/>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0</xdr:col>
      <xdr:colOff>9524</xdr:colOff>
      <xdr:row>0</xdr:row>
      <xdr:rowOff>9524</xdr:rowOff>
    </xdr:from>
    <xdr:to>
      <xdr:col>14</xdr:col>
      <xdr:colOff>0</xdr:colOff>
      <xdr:row>3</xdr:row>
      <xdr:rowOff>95249</xdr:rowOff>
    </xdr:to>
    <xdr:sp macro="" textlink="">
      <xdr:nvSpPr>
        <xdr:cNvPr id="71" name="Rounded Rectangle 70"/>
        <xdr:cNvSpPr/>
      </xdr:nvSpPr>
      <xdr:spPr>
        <a:xfrm>
          <a:off x="9524" y="9524"/>
          <a:ext cx="12258676"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9524</xdr:colOff>
      <xdr:row>2</xdr:row>
      <xdr:rowOff>180976</xdr:rowOff>
    </xdr:from>
    <xdr:to>
      <xdr:col>14</xdr:col>
      <xdr:colOff>15875</xdr:colOff>
      <xdr:row>3</xdr:row>
      <xdr:rowOff>79376</xdr:rowOff>
    </xdr:to>
    <xdr:sp macro="" textlink="">
      <xdr:nvSpPr>
        <xdr:cNvPr id="72" name="Round Same Side Corner Rectangle 71"/>
        <xdr:cNvSpPr/>
      </xdr:nvSpPr>
      <xdr:spPr>
        <a:xfrm>
          <a:off x="9524" y="561976"/>
          <a:ext cx="12274551" cy="88900"/>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431800</xdr:colOff>
      <xdr:row>0</xdr:row>
      <xdr:rowOff>104775</xdr:rowOff>
    </xdr:from>
    <xdr:to>
      <xdr:col>10</xdr:col>
      <xdr:colOff>381000</xdr:colOff>
      <xdr:row>2</xdr:row>
      <xdr:rowOff>76200</xdr:rowOff>
    </xdr:to>
    <xdr:sp macro="" textlink="">
      <xdr:nvSpPr>
        <xdr:cNvPr id="73" name="TextBox 72"/>
        <xdr:cNvSpPr txBox="1"/>
      </xdr:nvSpPr>
      <xdr:spPr>
        <a:xfrm>
          <a:off x="3746500" y="104775"/>
          <a:ext cx="53213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Key</a:t>
          </a:r>
          <a:r>
            <a:rPr lang="en-CA" sz="2000" b="1" baseline="0"/>
            <a:t> Performance Indicators </a:t>
          </a:r>
          <a:r>
            <a:rPr lang="en-CA" sz="2000" b="1"/>
            <a:t>Executive Summary</a:t>
          </a:r>
        </a:p>
      </xdr:txBody>
    </xdr:sp>
    <xdr:clientData/>
  </xdr:twoCellAnchor>
  <xdr:twoCellAnchor>
    <xdr:from>
      <xdr:col>12</xdr:col>
      <xdr:colOff>166688</xdr:colOff>
      <xdr:row>0</xdr:row>
      <xdr:rowOff>95251</xdr:rowOff>
    </xdr:from>
    <xdr:to>
      <xdr:col>13</xdr:col>
      <xdr:colOff>1122893</xdr:colOff>
      <xdr:row>2</xdr:row>
      <xdr:rowOff>133351</xdr:rowOff>
    </xdr:to>
    <xdr:sp macro="" textlink="">
      <xdr:nvSpPr>
        <xdr:cNvPr id="74" name="Rounded Rectangle 73">
          <a:hlinkClick xmlns:r="http://schemas.openxmlformats.org/officeDocument/2006/relationships" r:id="rId1"/>
        </xdr:cNvPr>
        <xdr:cNvSpPr/>
      </xdr:nvSpPr>
      <xdr:spPr>
        <a:xfrm>
          <a:off x="10644188" y="95251"/>
          <a:ext cx="1451505"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28235</xdr:colOff>
      <xdr:row>4</xdr:row>
      <xdr:rowOff>155804</xdr:rowOff>
    </xdr:from>
    <xdr:to>
      <xdr:col>3</xdr:col>
      <xdr:colOff>1230766</xdr:colOff>
      <xdr:row>5</xdr:row>
      <xdr:rowOff>233364</xdr:rowOff>
    </xdr:to>
    <xdr:sp macro="" textlink="">
      <xdr:nvSpPr>
        <xdr:cNvPr id="2" name="Round Diagonal Corner Rectangle 1"/>
        <xdr:cNvSpPr/>
      </xdr:nvSpPr>
      <xdr:spPr>
        <a:xfrm>
          <a:off x="28235" y="546329"/>
          <a:ext cx="2164556" cy="315685"/>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t>Working Capital Ratios:</a:t>
          </a:r>
        </a:p>
      </xdr:txBody>
    </xdr:sp>
    <xdr:clientData/>
  </xdr:twoCellAnchor>
  <xdr:twoCellAnchor>
    <xdr:from>
      <xdr:col>1</xdr:col>
      <xdr:colOff>0</xdr:colOff>
      <xdr:row>33</xdr:row>
      <xdr:rowOff>0</xdr:rowOff>
    </xdr:from>
    <xdr:to>
      <xdr:col>3</xdr:col>
      <xdr:colOff>1326886</xdr:colOff>
      <xdr:row>34</xdr:row>
      <xdr:rowOff>0</xdr:rowOff>
    </xdr:to>
    <xdr:sp macro="" textlink="">
      <xdr:nvSpPr>
        <xdr:cNvPr id="3" name="Round Diagonal Corner Rectangle 2"/>
        <xdr:cNvSpPr/>
      </xdr:nvSpPr>
      <xdr:spPr>
        <a:xfrm>
          <a:off x="133350" y="11439525"/>
          <a:ext cx="2155561" cy="304800"/>
        </a:xfrm>
        <a:prstGeom prst="round2Diag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r>
            <a:rPr lang="en-US" sz="1400" b="1"/>
            <a:t>Profitability Ratios:</a:t>
          </a:r>
        </a:p>
      </xdr:txBody>
    </xdr:sp>
    <xdr:clientData/>
  </xdr:twoCellAnchor>
  <xdr:twoCellAnchor>
    <xdr:from>
      <xdr:col>0</xdr:col>
      <xdr:colOff>47625</xdr:colOff>
      <xdr:row>28</xdr:row>
      <xdr:rowOff>130969</xdr:rowOff>
    </xdr:from>
    <xdr:to>
      <xdr:col>3</xdr:col>
      <xdr:colOff>1247775</xdr:colOff>
      <xdr:row>29</xdr:row>
      <xdr:rowOff>198326</xdr:rowOff>
    </xdr:to>
    <xdr:sp macro="" textlink="">
      <xdr:nvSpPr>
        <xdr:cNvPr id="4" name="Round Diagonal Corner Rectangle 3"/>
        <xdr:cNvSpPr/>
      </xdr:nvSpPr>
      <xdr:spPr>
        <a:xfrm>
          <a:off x="47625" y="9941719"/>
          <a:ext cx="2162175" cy="315007"/>
        </a:xfrm>
        <a:prstGeom prst="round2Diag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en-US" sz="1400" b="1"/>
            <a:t>Leverage Ratios:</a:t>
          </a:r>
        </a:p>
      </xdr:txBody>
    </xdr:sp>
    <xdr:clientData/>
  </xdr:twoCellAnchor>
  <xdr:twoCellAnchor>
    <xdr:from>
      <xdr:col>0</xdr:col>
      <xdr:colOff>103754</xdr:colOff>
      <xdr:row>23</xdr:row>
      <xdr:rowOff>122464</xdr:rowOff>
    </xdr:from>
    <xdr:to>
      <xdr:col>3</xdr:col>
      <xdr:colOff>1306285</xdr:colOff>
      <xdr:row>24</xdr:row>
      <xdr:rowOff>164985</xdr:rowOff>
    </xdr:to>
    <xdr:sp macro="" textlink="">
      <xdr:nvSpPr>
        <xdr:cNvPr id="5" name="Round Diagonal Corner Rectangle 4"/>
        <xdr:cNvSpPr/>
      </xdr:nvSpPr>
      <xdr:spPr>
        <a:xfrm>
          <a:off x="103754" y="7971064"/>
          <a:ext cx="2164556" cy="290171"/>
        </a:xfrm>
        <a:prstGeom prst="round2Diag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rtlCol="0" anchor="ctr"/>
        <a:lstStyle/>
        <a:p>
          <a:pPr algn="ctr"/>
          <a:r>
            <a:rPr lang="en-US" sz="1400" b="1"/>
            <a:t>Liquidity Ratios:</a:t>
          </a:r>
        </a:p>
      </xdr:txBody>
    </xdr:sp>
    <xdr:clientData/>
  </xdr:twoCellAnchor>
  <xdr:twoCellAnchor>
    <xdr:from>
      <xdr:col>0</xdr:col>
      <xdr:colOff>122463</xdr:colOff>
      <xdr:row>18</xdr:row>
      <xdr:rowOff>176893</xdr:rowOff>
    </xdr:from>
    <xdr:to>
      <xdr:col>3</xdr:col>
      <xdr:colOff>1319892</xdr:colOff>
      <xdr:row>19</xdr:row>
      <xdr:rowOff>193071</xdr:rowOff>
    </xdr:to>
    <xdr:sp macro="" textlink="">
      <xdr:nvSpPr>
        <xdr:cNvPr id="6" name="Round Diagonal Corner Rectangle 5"/>
        <xdr:cNvSpPr/>
      </xdr:nvSpPr>
      <xdr:spPr>
        <a:xfrm>
          <a:off x="122463" y="6453868"/>
          <a:ext cx="2159454" cy="282878"/>
        </a:xfrm>
        <a:prstGeom prst="round2Diag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400" b="1"/>
            <a:t>Turnover Ratios:</a:t>
          </a:r>
        </a:p>
      </xdr:txBody>
    </xdr:sp>
    <xdr:clientData/>
  </xdr:twoCellAnchor>
  <xdr:twoCellAnchor>
    <xdr:from>
      <xdr:col>0</xdr:col>
      <xdr:colOff>0</xdr:colOff>
      <xdr:row>0</xdr:row>
      <xdr:rowOff>0</xdr:rowOff>
    </xdr:from>
    <xdr:to>
      <xdr:col>11</xdr:col>
      <xdr:colOff>68036</xdr:colOff>
      <xdr:row>2</xdr:row>
      <xdr:rowOff>160723</xdr:rowOff>
    </xdr:to>
    <xdr:sp macro="" textlink="">
      <xdr:nvSpPr>
        <xdr:cNvPr id="7" name="Rounded Rectangle 6"/>
        <xdr:cNvSpPr/>
      </xdr:nvSpPr>
      <xdr:spPr>
        <a:xfrm>
          <a:off x="0" y="0"/>
          <a:ext cx="11157857" cy="650580"/>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xdr:colOff>
      <xdr:row>1</xdr:row>
      <xdr:rowOff>231321</xdr:rowOff>
    </xdr:from>
    <xdr:to>
      <xdr:col>11</xdr:col>
      <xdr:colOff>68036</xdr:colOff>
      <xdr:row>2</xdr:row>
      <xdr:rowOff>149679</xdr:rowOff>
    </xdr:to>
    <xdr:sp macro="" textlink="">
      <xdr:nvSpPr>
        <xdr:cNvPr id="8" name="Round Same Side Corner Rectangle 7"/>
        <xdr:cNvSpPr/>
      </xdr:nvSpPr>
      <xdr:spPr>
        <a:xfrm>
          <a:off x="1" y="476250"/>
          <a:ext cx="11157856" cy="163286"/>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1170214</xdr:colOff>
      <xdr:row>0</xdr:row>
      <xdr:rowOff>54429</xdr:rowOff>
    </xdr:from>
    <xdr:to>
      <xdr:col>7</xdr:col>
      <xdr:colOff>1197428</xdr:colOff>
      <xdr:row>1</xdr:row>
      <xdr:rowOff>157495</xdr:rowOff>
    </xdr:to>
    <xdr:sp macro="" textlink="">
      <xdr:nvSpPr>
        <xdr:cNvPr id="9" name="TextBox 8"/>
        <xdr:cNvSpPr txBox="1"/>
      </xdr:nvSpPr>
      <xdr:spPr>
        <a:xfrm>
          <a:off x="2136321" y="54429"/>
          <a:ext cx="5646964" cy="347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Ratios</a:t>
          </a:r>
        </a:p>
      </xdr:txBody>
    </xdr:sp>
    <xdr:clientData/>
  </xdr:twoCellAnchor>
  <xdr:twoCellAnchor>
    <xdr:from>
      <xdr:col>8</xdr:col>
      <xdr:colOff>707571</xdr:colOff>
      <xdr:row>0</xdr:row>
      <xdr:rowOff>68035</xdr:rowOff>
    </xdr:from>
    <xdr:to>
      <xdr:col>10</xdr:col>
      <xdr:colOff>857250</xdr:colOff>
      <xdr:row>1</xdr:row>
      <xdr:rowOff>210865</xdr:rowOff>
    </xdr:to>
    <xdr:sp macro="" textlink="">
      <xdr:nvSpPr>
        <xdr:cNvPr id="10" name="Rounded Rectangle 9">
          <a:hlinkClick xmlns:r="http://schemas.openxmlformats.org/officeDocument/2006/relationships" r:id="rId1"/>
        </xdr:cNvPr>
        <xdr:cNvSpPr/>
      </xdr:nvSpPr>
      <xdr:spPr>
        <a:xfrm>
          <a:off x="9633857" y="68035"/>
          <a:ext cx="1442357" cy="387759"/>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a:t>
          </a:r>
          <a:r>
            <a:rPr lang="en-CA" sz="1200" baseline="0">
              <a:solidFill>
                <a:sysClr val="windowText" lastClr="000000"/>
              </a:solidFill>
            </a:rPr>
            <a:t> Summary</a:t>
          </a:r>
          <a:endParaRPr lang="en-CA" sz="1200">
            <a:solidFill>
              <a:sysClr val="windowText" lastClr="000000"/>
            </a:solidFill>
          </a:endParaRPr>
        </a:p>
      </xdr:txBody>
    </xdr:sp>
    <xdr:clientData/>
  </xdr:twoCellAnchor>
  <xdr:twoCellAnchor>
    <xdr:from>
      <xdr:col>11</xdr:col>
      <xdr:colOff>571500</xdr:colOff>
      <xdr:row>2</xdr:row>
      <xdr:rowOff>204108</xdr:rowOff>
    </xdr:from>
    <xdr:to>
      <xdr:col>12</xdr:col>
      <xdr:colOff>917652</xdr:colOff>
      <xdr:row>3</xdr:row>
      <xdr:rowOff>302013</xdr:rowOff>
    </xdr:to>
    <xdr:sp macro="" textlink="">
      <xdr:nvSpPr>
        <xdr:cNvPr id="11" name="Rounded Rectangle 10">
          <a:hlinkClick xmlns:r="http://schemas.openxmlformats.org/officeDocument/2006/relationships" r:id="rId2"/>
        </xdr:cNvPr>
        <xdr:cNvSpPr/>
      </xdr:nvSpPr>
      <xdr:spPr>
        <a:xfrm>
          <a:off x="11676256" y="691974"/>
          <a:ext cx="938561" cy="341838"/>
        </a:xfrm>
        <a:prstGeom prst="round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CA" sz="1100"/>
            <a:t>Ratio Data</a:t>
          </a:r>
        </a:p>
      </xdr:txBody>
    </xdr:sp>
    <xdr:clientData/>
  </xdr:twoCellAnchor>
  <xdr:twoCellAnchor editAs="oneCell">
    <xdr:from>
      <xdr:col>12</xdr:col>
      <xdr:colOff>0</xdr:colOff>
      <xdr:row>8</xdr:row>
      <xdr:rowOff>0</xdr:rowOff>
    </xdr:from>
    <xdr:to>
      <xdr:col>14</xdr:col>
      <xdr:colOff>755531</xdr:colOff>
      <xdr:row>14</xdr:row>
      <xdr:rowOff>594582</xdr:rowOff>
    </xdr:to>
    <xdr:pic>
      <xdr:nvPicPr>
        <xdr:cNvPr id="12" name="Picture 11"/>
        <xdr:cNvPicPr>
          <a:picLocks noChangeAspect="1"/>
        </xdr:cNvPicPr>
      </xdr:nvPicPr>
      <xdr:blipFill>
        <a:blip xmlns:r="http://schemas.openxmlformats.org/officeDocument/2006/relationships" r:embed="rId3"/>
        <a:stretch>
          <a:fillRect/>
        </a:stretch>
      </xdr:blipFill>
      <xdr:spPr>
        <a:xfrm>
          <a:off x="11697165" y="2253476"/>
          <a:ext cx="5285714" cy="305714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19050</xdr:rowOff>
    </xdr:from>
    <xdr:to>
      <xdr:col>7</xdr:col>
      <xdr:colOff>342900</xdr:colOff>
      <xdr:row>3</xdr:row>
      <xdr:rowOff>9525</xdr:rowOff>
    </xdr:to>
    <xdr:sp macro="" textlink="">
      <xdr:nvSpPr>
        <xdr:cNvPr id="2" name="Rounded Rectangle 1"/>
        <xdr:cNvSpPr/>
      </xdr:nvSpPr>
      <xdr:spPr>
        <a:xfrm>
          <a:off x="0" y="19050"/>
          <a:ext cx="9534525" cy="56197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9524</xdr:colOff>
      <xdr:row>2</xdr:row>
      <xdr:rowOff>47625</xdr:rowOff>
    </xdr:from>
    <xdr:to>
      <xdr:col>7</xdr:col>
      <xdr:colOff>333374</xdr:colOff>
      <xdr:row>3</xdr:row>
      <xdr:rowOff>0</xdr:rowOff>
    </xdr:to>
    <xdr:sp macro="" textlink="">
      <xdr:nvSpPr>
        <xdr:cNvPr id="3" name="Round Same Side Corner Rectangle 2"/>
        <xdr:cNvSpPr/>
      </xdr:nvSpPr>
      <xdr:spPr>
        <a:xfrm>
          <a:off x="9524" y="428625"/>
          <a:ext cx="9515475" cy="14287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1352550</xdr:colOff>
      <xdr:row>0</xdr:row>
      <xdr:rowOff>47625</xdr:rowOff>
    </xdr:from>
    <xdr:to>
      <xdr:col>4</xdr:col>
      <xdr:colOff>1872804</xdr:colOff>
      <xdr:row>2</xdr:row>
      <xdr:rowOff>0</xdr:rowOff>
    </xdr:to>
    <xdr:sp macro="" textlink="">
      <xdr:nvSpPr>
        <xdr:cNvPr id="5" name="TextBox 4"/>
        <xdr:cNvSpPr txBox="1"/>
      </xdr:nvSpPr>
      <xdr:spPr>
        <a:xfrm>
          <a:off x="1962150" y="47625"/>
          <a:ext cx="5882829"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SIC Codes </a:t>
          </a:r>
        </a:p>
      </xdr:txBody>
    </xdr:sp>
    <xdr:clientData/>
  </xdr:twoCellAnchor>
  <xdr:twoCellAnchor>
    <xdr:from>
      <xdr:col>4</xdr:col>
      <xdr:colOff>2647950</xdr:colOff>
      <xdr:row>0</xdr:row>
      <xdr:rowOff>57149</xdr:rowOff>
    </xdr:from>
    <xdr:to>
      <xdr:col>6</xdr:col>
      <xdr:colOff>456293</xdr:colOff>
      <xdr:row>1</xdr:row>
      <xdr:rowOff>173664</xdr:rowOff>
    </xdr:to>
    <xdr:sp macro="" textlink="">
      <xdr:nvSpPr>
        <xdr:cNvPr id="7" name="Rounded Rectangle 6">
          <a:hlinkClick xmlns:r="http://schemas.openxmlformats.org/officeDocument/2006/relationships" r:id="rId1"/>
        </xdr:cNvPr>
        <xdr:cNvSpPr/>
      </xdr:nvSpPr>
      <xdr:spPr>
        <a:xfrm>
          <a:off x="8620125" y="57149"/>
          <a:ext cx="1456418" cy="30701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4</xdr:col>
      <xdr:colOff>2695575</xdr:colOff>
      <xdr:row>3</xdr:row>
      <xdr:rowOff>47625</xdr:rowOff>
    </xdr:from>
    <xdr:to>
      <xdr:col>6</xdr:col>
      <xdr:colOff>600075</xdr:colOff>
      <xdr:row>4</xdr:row>
      <xdr:rowOff>152400</xdr:rowOff>
    </xdr:to>
    <xdr:sp macro="" textlink="">
      <xdr:nvSpPr>
        <xdr:cNvPr id="4" name="Rounded Rectangle 3">
          <a:hlinkClick xmlns:r="http://schemas.openxmlformats.org/officeDocument/2006/relationships" r:id="rId2"/>
        </xdr:cNvPr>
        <xdr:cNvSpPr/>
      </xdr:nvSpPr>
      <xdr:spPr>
        <a:xfrm>
          <a:off x="8667750" y="619125"/>
          <a:ext cx="1552575" cy="29527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Sales</a:t>
          </a:r>
          <a:r>
            <a:rPr lang="en-CA" sz="1100" baseline="0"/>
            <a:t> by Industry Chart</a:t>
          </a:r>
          <a:endParaRPr lang="en-CA"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38100</xdr:colOff>
      <xdr:row>2</xdr:row>
      <xdr:rowOff>180975</xdr:rowOff>
    </xdr:to>
    <xdr:sp macro="" textlink="">
      <xdr:nvSpPr>
        <xdr:cNvPr id="3" name="Rounded Rectangle 2"/>
        <xdr:cNvSpPr/>
      </xdr:nvSpPr>
      <xdr:spPr>
        <a:xfrm>
          <a:off x="0" y="0"/>
          <a:ext cx="9439275" cy="56197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EEE</a:t>
          </a:r>
        </a:p>
      </xdr:txBody>
    </xdr:sp>
    <xdr:clientData/>
  </xdr:twoCellAnchor>
  <xdr:twoCellAnchor>
    <xdr:from>
      <xdr:col>0</xdr:col>
      <xdr:colOff>0</xdr:colOff>
      <xdr:row>2</xdr:row>
      <xdr:rowOff>57151</xdr:rowOff>
    </xdr:from>
    <xdr:to>
      <xdr:col>2</xdr:col>
      <xdr:colOff>19050</xdr:colOff>
      <xdr:row>2</xdr:row>
      <xdr:rowOff>171451</xdr:rowOff>
    </xdr:to>
    <xdr:sp macro="" textlink="">
      <xdr:nvSpPr>
        <xdr:cNvPr id="4" name="Round Same Side Corner Rectangle 3"/>
        <xdr:cNvSpPr/>
      </xdr:nvSpPr>
      <xdr:spPr>
        <a:xfrm>
          <a:off x="0" y="438151"/>
          <a:ext cx="9420225" cy="114300"/>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1885950</xdr:colOff>
      <xdr:row>0</xdr:row>
      <xdr:rowOff>28575</xdr:rowOff>
    </xdr:from>
    <xdr:to>
      <xdr:col>1</xdr:col>
      <xdr:colOff>5410200</xdr:colOff>
      <xdr:row>1</xdr:row>
      <xdr:rowOff>171450</xdr:rowOff>
    </xdr:to>
    <xdr:sp macro="" textlink="">
      <xdr:nvSpPr>
        <xdr:cNvPr id="5" name="TextBox 4"/>
        <xdr:cNvSpPr txBox="1"/>
      </xdr:nvSpPr>
      <xdr:spPr>
        <a:xfrm>
          <a:off x="1885950" y="28575"/>
          <a:ext cx="56864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Glossary</a:t>
          </a:r>
        </a:p>
      </xdr:txBody>
    </xdr:sp>
    <xdr:clientData/>
  </xdr:twoCellAnchor>
  <xdr:twoCellAnchor>
    <xdr:from>
      <xdr:col>5</xdr:col>
      <xdr:colOff>2647950</xdr:colOff>
      <xdr:row>0</xdr:row>
      <xdr:rowOff>57149</xdr:rowOff>
    </xdr:from>
    <xdr:to>
      <xdr:col>7</xdr:col>
      <xdr:colOff>456293</xdr:colOff>
      <xdr:row>1</xdr:row>
      <xdr:rowOff>173664</xdr:rowOff>
    </xdr:to>
    <xdr:sp macro="" textlink="">
      <xdr:nvSpPr>
        <xdr:cNvPr id="6" name="Rounded Rectangle 5">
          <a:hlinkClick xmlns:r="http://schemas.openxmlformats.org/officeDocument/2006/relationships" r:id="rId1"/>
        </xdr:cNvPr>
        <xdr:cNvSpPr/>
      </xdr:nvSpPr>
      <xdr:spPr>
        <a:xfrm>
          <a:off x="8620125" y="57149"/>
          <a:ext cx="1456418" cy="307015"/>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1</xdr:col>
      <xdr:colOff>5591175</xdr:colOff>
      <xdr:row>0</xdr:row>
      <xdr:rowOff>114299</xdr:rowOff>
    </xdr:from>
    <xdr:to>
      <xdr:col>1</xdr:col>
      <xdr:colOff>7162800</xdr:colOff>
      <xdr:row>2</xdr:row>
      <xdr:rowOff>47624</xdr:rowOff>
    </xdr:to>
    <xdr:sp macro="" textlink="">
      <xdr:nvSpPr>
        <xdr:cNvPr id="7" name="Rounded Rectangle 6"/>
        <xdr:cNvSpPr/>
      </xdr:nvSpPr>
      <xdr:spPr>
        <a:xfrm>
          <a:off x="7753350" y="114299"/>
          <a:ext cx="1571625" cy="31432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5667375</xdr:colOff>
      <xdr:row>0</xdr:row>
      <xdr:rowOff>161925</xdr:rowOff>
    </xdr:from>
    <xdr:to>
      <xdr:col>1</xdr:col>
      <xdr:colOff>7096125</xdr:colOff>
      <xdr:row>2</xdr:row>
      <xdr:rowOff>19050</xdr:rowOff>
    </xdr:to>
    <xdr:sp macro="" textlink="">
      <xdr:nvSpPr>
        <xdr:cNvPr id="9" name="TextBox 8">
          <a:hlinkClick xmlns:r="http://schemas.openxmlformats.org/officeDocument/2006/relationships" r:id="rId2"/>
        </xdr:cNvPr>
        <xdr:cNvSpPr txBox="1"/>
      </xdr:nvSpPr>
      <xdr:spPr>
        <a:xfrm>
          <a:off x="7829550" y="161925"/>
          <a:ext cx="1428750" cy="2381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Executive Summary</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9525</xdr:colOff>
      <xdr:row>0</xdr:row>
      <xdr:rowOff>9524</xdr:rowOff>
    </xdr:from>
    <xdr:to>
      <xdr:col>20</xdr:col>
      <xdr:colOff>0</xdr:colOff>
      <xdr:row>3</xdr:row>
      <xdr:rowOff>95249</xdr:rowOff>
    </xdr:to>
    <xdr:sp macro="" textlink="">
      <xdr:nvSpPr>
        <xdr:cNvPr id="2" name="Rounded Rectangle 1"/>
        <xdr:cNvSpPr/>
      </xdr:nvSpPr>
      <xdr:spPr>
        <a:xfrm>
          <a:off x="9525" y="9524"/>
          <a:ext cx="12182475"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xdr:row>
      <xdr:rowOff>180975</xdr:rowOff>
    </xdr:from>
    <xdr:to>
      <xdr:col>20</xdr:col>
      <xdr:colOff>0</xdr:colOff>
      <xdr:row>3</xdr:row>
      <xdr:rowOff>152400</xdr:rowOff>
    </xdr:to>
    <xdr:sp macro="" textlink="">
      <xdr:nvSpPr>
        <xdr:cNvPr id="3" name="Round Same Side Corner Rectangle 2"/>
        <xdr:cNvSpPr/>
      </xdr:nvSpPr>
      <xdr:spPr>
        <a:xfrm>
          <a:off x="9525" y="561975"/>
          <a:ext cx="12182475" cy="16192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299581</xdr:colOff>
      <xdr:row>0</xdr:row>
      <xdr:rowOff>104775</xdr:rowOff>
    </xdr:from>
    <xdr:to>
      <xdr:col>14</xdr:col>
      <xdr:colOff>91336</xdr:colOff>
      <xdr:row>2</xdr:row>
      <xdr:rowOff>76200</xdr:rowOff>
    </xdr:to>
    <xdr:sp macro="" textlink="">
      <xdr:nvSpPr>
        <xdr:cNvPr id="4" name="TextBox 3"/>
        <xdr:cNvSpPr txBox="1"/>
      </xdr:nvSpPr>
      <xdr:spPr>
        <a:xfrm>
          <a:off x="3365848" y="104775"/>
          <a:ext cx="5311036" cy="362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Sales</a:t>
          </a:r>
        </a:p>
      </xdr:txBody>
    </xdr:sp>
    <xdr:clientData/>
  </xdr:twoCellAnchor>
  <xdr:twoCellAnchor>
    <xdr:from>
      <xdr:col>17</xdr:col>
      <xdr:colOff>261784</xdr:colOff>
      <xdr:row>0</xdr:row>
      <xdr:rowOff>93829</xdr:rowOff>
    </xdr:from>
    <xdr:to>
      <xdr:col>19</xdr:col>
      <xdr:colOff>490385</xdr:colOff>
      <xdr:row>2</xdr:row>
      <xdr:rowOff>131929</xdr:rowOff>
    </xdr:to>
    <xdr:sp macro="" textlink="">
      <xdr:nvSpPr>
        <xdr:cNvPr id="5" name="Rounded Rectangle 4">
          <a:hlinkClick xmlns:r="http://schemas.openxmlformats.org/officeDocument/2006/relationships" r:id="rId1"/>
        </xdr:cNvPr>
        <xdr:cNvSpPr/>
      </xdr:nvSpPr>
      <xdr:spPr>
        <a:xfrm>
          <a:off x="10687092" y="93829"/>
          <a:ext cx="1455108" cy="429538"/>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17</xdr:col>
      <xdr:colOff>179295</xdr:colOff>
      <xdr:row>36</xdr:row>
      <xdr:rowOff>145676</xdr:rowOff>
    </xdr:from>
    <xdr:to>
      <xdr:col>18</xdr:col>
      <xdr:colOff>504265</xdr:colOff>
      <xdr:row>38</xdr:row>
      <xdr:rowOff>22411</xdr:rowOff>
    </xdr:to>
    <xdr:sp macro="" textlink="">
      <xdr:nvSpPr>
        <xdr:cNvPr id="6" name="Rounded Rectangle 5">
          <a:hlinkClick xmlns:r="http://schemas.openxmlformats.org/officeDocument/2006/relationships" r:id="rId2"/>
        </xdr:cNvPr>
        <xdr:cNvSpPr/>
      </xdr:nvSpPr>
      <xdr:spPr>
        <a:xfrm>
          <a:off x="10466295" y="7698441"/>
          <a:ext cx="930088" cy="25773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Data Tables</a:t>
          </a:r>
        </a:p>
      </xdr:txBody>
    </xdr:sp>
    <xdr:clientData/>
  </xdr:twoCellAnchor>
  <xdr:twoCellAnchor>
    <xdr:from>
      <xdr:col>17</xdr:col>
      <xdr:colOff>100852</xdr:colOff>
      <xdr:row>15</xdr:row>
      <xdr:rowOff>11207</xdr:rowOff>
    </xdr:from>
    <xdr:to>
      <xdr:col>18</xdr:col>
      <xdr:colOff>369794</xdr:colOff>
      <xdr:row>16</xdr:row>
      <xdr:rowOff>89648</xdr:rowOff>
    </xdr:to>
    <xdr:sp macro="" textlink="">
      <xdr:nvSpPr>
        <xdr:cNvPr id="7" name="Rounded Rectangle 6">
          <a:hlinkClick xmlns:r="http://schemas.openxmlformats.org/officeDocument/2006/relationships" r:id="rId2"/>
        </xdr:cNvPr>
        <xdr:cNvSpPr/>
      </xdr:nvSpPr>
      <xdr:spPr>
        <a:xfrm>
          <a:off x="10387852" y="3204883"/>
          <a:ext cx="874060" cy="26894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baseline="0"/>
            <a:t>Data Table</a:t>
          </a:r>
          <a:endParaRPr lang="en-CA" sz="1100"/>
        </a:p>
      </xdr:txBody>
    </xdr:sp>
    <xdr:clientData/>
  </xdr:twoCellAnchor>
  <xdr:twoCellAnchor>
    <xdr:from>
      <xdr:col>17</xdr:col>
      <xdr:colOff>89649</xdr:colOff>
      <xdr:row>16</xdr:row>
      <xdr:rowOff>179295</xdr:rowOff>
    </xdr:from>
    <xdr:to>
      <xdr:col>18</xdr:col>
      <xdr:colOff>381001</xdr:colOff>
      <xdr:row>18</xdr:row>
      <xdr:rowOff>67236</xdr:rowOff>
    </xdr:to>
    <xdr:sp macro="" textlink="">
      <xdr:nvSpPr>
        <xdr:cNvPr id="8" name="Rounded Rectangle 7">
          <a:hlinkClick xmlns:r="http://schemas.openxmlformats.org/officeDocument/2006/relationships" r:id="rId3"/>
        </xdr:cNvPr>
        <xdr:cNvSpPr/>
      </xdr:nvSpPr>
      <xdr:spPr>
        <a:xfrm>
          <a:off x="10376649" y="3563471"/>
          <a:ext cx="896470" cy="26894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Pivot Table</a:t>
          </a:r>
        </a:p>
      </xdr:txBody>
    </xdr:sp>
    <xdr:clientData/>
  </xdr:twoCellAnchor>
  <xdr:twoCellAnchor>
    <xdr:from>
      <xdr:col>16</xdr:col>
      <xdr:colOff>593912</xdr:colOff>
      <xdr:row>106</xdr:row>
      <xdr:rowOff>168088</xdr:rowOff>
    </xdr:from>
    <xdr:to>
      <xdr:col>18</xdr:col>
      <xdr:colOff>224117</xdr:colOff>
      <xdr:row>108</xdr:row>
      <xdr:rowOff>44823</xdr:rowOff>
    </xdr:to>
    <xdr:sp macro="" textlink="">
      <xdr:nvSpPr>
        <xdr:cNvPr id="9" name="Rounded Rectangle 8">
          <a:hlinkClick xmlns:r="http://schemas.openxmlformats.org/officeDocument/2006/relationships" r:id="rId2"/>
        </xdr:cNvPr>
        <xdr:cNvSpPr/>
      </xdr:nvSpPr>
      <xdr:spPr>
        <a:xfrm>
          <a:off x="10275794" y="22098000"/>
          <a:ext cx="840441" cy="25773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 Table</a:t>
          </a:r>
        </a:p>
      </xdr:txBody>
    </xdr:sp>
    <xdr:clientData/>
  </xdr:twoCellAnchor>
  <xdr:twoCellAnchor>
    <xdr:from>
      <xdr:col>16</xdr:col>
      <xdr:colOff>515471</xdr:colOff>
      <xdr:row>91</xdr:row>
      <xdr:rowOff>168088</xdr:rowOff>
    </xdr:from>
    <xdr:to>
      <xdr:col>18</xdr:col>
      <xdr:colOff>425823</xdr:colOff>
      <xdr:row>93</xdr:row>
      <xdr:rowOff>100852</xdr:rowOff>
    </xdr:to>
    <xdr:sp macro="" textlink="">
      <xdr:nvSpPr>
        <xdr:cNvPr id="10" name="Rounded Rectangle 9">
          <a:hlinkClick xmlns:r="http://schemas.openxmlformats.org/officeDocument/2006/relationships" r:id="rId4"/>
        </xdr:cNvPr>
        <xdr:cNvSpPr/>
      </xdr:nvSpPr>
      <xdr:spPr>
        <a:xfrm>
          <a:off x="10197353" y="18881912"/>
          <a:ext cx="1120588" cy="313764"/>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PV Table</a:t>
          </a:r>
        </a:p>
      </xdr:txBody>
    </xdr:sp>
    <xdr:clientData/>
  </xdr:twoCellAnchor>
  <xdr:twoCellAnchor editAs="absolute">
    <xdr:from>
      <xdr:col>0</xdr:col>
      <xdr:colOff>0</xdr:colOff>
      <xdr:row>76</xdr:row>
      <xdr:rowOff>78440</xdr:rowOff>
    </xdr:from>
    <xdr:to>
      <xdr:col>13</xdr:col>
      <xdr:colOff>161471</xdr:colOff>
      <xdr:row>96</xdr:row>
      <xdr:rowOff>54882</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0</xdr:colOff>
      <xdr:row>7</xdr:row>
      <xdr:rowOff>78441</xdr:rowOff>
    </xdr:from>
    <xdr:to>
      <xdr:col>13</xdr:col>
      <xdr:colOff>269471</xdr:colOff>
      <xdr:row>27</xdr:row>
      <xdr:rowOff>12441</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53</xdr:row>
      <xdr:rowOff>78441</xdr:rowOff>
    </xdr:from>
    <xdr:to>
      <xdr:col>13</xdr:col>
      <xdr:colOff>269471</xdr:colOff>
      <xdr:row>73</xdr:row>
      <xdr:rowOff>12441</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30</xdr:row>
      <xdr:rowOff>89647</xdr:rowOff>
    </xdr:from>
    <xdr:to>
      <xdr:col>13</xdr:col>
      <xdr:colOff>269471</xdr:colOff>
      <xdr:row>50</xdr:row>
      <xdr:rowOff>100853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168088</xdr:colOff>
      <xdr:row>38</xdr:row>
      <xdr:rowOff>134471</xdr:rowOff>
    </xdr:from>
    <xdr:to>
      <xdr:col>18</xdr:col>
      <xdr:colOff>493058</xdr:colOff>
      <xdr:row>40</xdr:row>
      <xdr:rowOff>11206</xdr:rowOff>
    </xdr:to>
    <xdr:sp macro="" textlink="">
      <xdr:nvSpPr>
        <xdr:cNvPr id="17" name="Rounded Rectangle 16">
          <a:hlinkClick xmlns:r="http://schemas.openxmlformats.org/officeDocument/2006/relationships" r:id="rId3"/>
        </xdr:cNvPr>
        <xdr:cNvSpPr/>
      </xdr:nvSpPr>
      <xdr:spPr>
        <a:xfrm>
          <a:off x="10455088" y="8068236"/>
          <a:ext cx="930088" cy="25773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Pivot Table Tables</a:t>
          </a:r>
        </a:p>
      </xdr:txBody>
    </xdr:sp>
    <xdr:clientData/>
  </xdr:twoCellAnchor>
  <xdr:twoCellAnchor>
    <xdr:from>
      <xdr:col>17</xdr:col>
      <xdr:colOff>56030</xdr:colOff>
      <xdr:row>59</xdr:row>
      <xdr:rowOff>134471</xdr:rowOff>
    </xdr:from>
    <xdr:to>
      <xdr:col>18</xdr:col>
      <xdr:colOff>291354</xdr:colOff>
      <xdr:row>61</xdr:row>
      <xdr:rowOff>22412</xdr:rowOff>
    </xdr:to>
    <xdr:sp macro="" textlink="">
      <xdr:nvSpPr>
        <xdr:cNvPr id="11" name="Rounded Rectangle 10">
          <a:hlinkClick xmlns:r="http://schemas.openxmlformats.org/officeDocument/2006/relationships" r:id="rId2"/>
        </xdr:cNvPr>
        <xdr:cNvSpPr/>
      </xdr:nvSpPr>
      <xdr:spPr>
        <a:xfrm>
          <a:off x="10343030" y="12505765"/>
          <a:ext cx="840442" cy="26894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 Table</a:t>
          </a:r>
        </a:p>
      </xdr:txBody>
    </xdr:sp>
    <xdr:clientData/>
  </xdr:twoCellAnchor>
  <xdr:twoCellAnchor>
    <xdr:from>
      <xdr:col>17</xdr:col>
      <xdr:colOff>56030</xdr:colOff>
      <xdr:row>61</xdr:row>
      <xdr:rowOff>134471</xdr:rowOff>
    </xdr:from>
    <xdr:to>
      <xdr:col>18</xdr:col>
      <xdr:colOff>291354</xdr:colOff>
      <xdr:row>63</xdr:row>
      <xdr:rowOff>22412</xdr:rowOff>
    </xdr:to>
    <xdr:sp macro="" textlink="">
      <xdr:nvSpPr>
        <xdr:cNvPr id="24" name="Rounded Rectangle 23">
          <a:hlinkClick xmlns:r="http://schemas.openxmlformats.org/officeDocument/2006/relationships" r:id="rId3"/>
        </xdr:cNvPr>
        <xdr:cNvSpPr/>
      </xdr:nvSpPr>
      <xdr:spPr>
        <a:xfrm>
          <a:off x="10343030" y="12886765"/>
          <a:ext cx="840442" cy="26894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Pivot Table</a:t>
          </a:r>
        </a:p>
      </xdr:txBody>
    </xdr:sp>
    <xdr:clientData/>
  </xdr:twoCellAnchor>
  <xdr:twoCellAnchor editAs="absolute">
    <xdr:from>
      <xdr:col>0</xdr:col>
      <xdr:colOff>0</xdr:colOff>
      <xdr:row>99</xdr:row>
      <xdr:rowOff>56029</xdr:rowOff>
    </xdr:from>
    <xdr:to>
      <xdr:col>13</xdr:col>
      <xdr:colOff>168089</xdr:colOff>
      <xdr:row>118</xdr:row>
      <xdr:rowOff>144529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593912</xdr:colOff>
      <xdr:row>108</xdr:row>
      <xdr:rowOff>123264</xdr:rowOff>
    </xdr:from>
    <xdr:to>
      <xdr:col>18</xdr:col>
      <xdr:colOff>224117</xdr:colOff>
      <xdr:row>109</xdr:row>
      <xdr:rowOff>190499</xdr:rowOff>
    </xdr:to>
    <xdr:sp macro="" textlink="">
      <xdr:nvSpPr>
        <xdr:cNvPr id="27" name="Rounded Rectangle 26">
          <a:hlinkClick xmlns:r="http://schemas.openxmlformats.org/officeDocument/2006/relationships" r:id="rId3"/>
        </xdr:cNvPr>
        <xdr:cNvSpPr/>
      </xdr:nvSpPr>
      <xdr:spPr>
        <a:xfrm>
          <a:off x="10275794" y="22434176"/>
          <a:ext cx="840441" cy="25773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Pivot Table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9525</xdr:colOff>
      <xdr:row>0</xdr:row>
      <xdr:rowOff>9524</xdr:rowOff>
    </xdr:from>
    <xdr:to>
      <xdr:col>20</xdr:col>
      <xdr:colOff>0</xdr:colOff>
      <xdr:row>3</xdr:row>
      <xdr:rowOff>95249</xdr:rowOff>
    </xdr:to>
    <xdr:sp macro="" textlink="">
      <xdr:nvSpPr>
        <xdr:cNvPr id="2" name="Rounded Rectangle 1"/>
        <xdr:cNvSpPr/>
      </xdr:nvSpPr>
      <xdr:spPr>
        <a:xfrm>
          <a:off x="9525" y="9524"/>
          <a:ext cx="12182475"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xdr:row>
      <xdr:rowOff>180975</xdr:rowOff>
    </xdr:from>
    <xdr:to>
      <xdr:col>20</xdr:col>
      <xdr:colOff>0</xdr:colOff>
      <xdr:row>3</xdr:row>
      <xdr:rowOff>152400</xdr:rowOff>
    </xdr:to>
    <xdr:sp macro="" textlink="">
      <xdr:nvSpPr>
        <xdr:cNvPr id="3" name="Round Same Side Corner Rectangle 2"/>
        <xdr:cNvSpPr/>
      </xdr:nvSpPr>
      <xdr:spPr>
        <a:xfrm>
          <a:off x="9525" y="561975"/>
          <a:ext cx="12182475" cy="16192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251883</xdr:colOff>
      <xdr:row>0</xdr:row>
      <xdr:rowOff>104775</xdr:rowOff>
    </xdr:from>
    <xdr:to>
      <xdr:col>14</xdr:col>
      <xdr:colOff>306916</xdr:colOff>
      <xdr:row>2</xdr:row>
      <xdr:rowOff>76200</xdr:rowOff>
    </xdr:to>
    <xdr:sp macro="" textlink="">
      <xdr:nvSpPr>
        <xdr:cNvPr id="4" name="TextBox 3"/>
        <xdr:cNvSpPr txBox="1"/>
      </xdr:nvSpPr>
      <xdr:spPr>
        <a:xfrm>
          <a:off x="3321050" y="104775"/>
          <a:ext cx="557953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Quotes</a:t>
          </a:r>
        </a:p>
      </xdr:txBody>
    </xdr:sp>
    <xdr:clientData/>
  </xdr:twoCellAnchor>
  <xdr:twoCellAnchor>
    <xdr:from>
      <xdr:col>17</xdr:col>
      <xdr:colOff>327025</xdr:colOff>
      <xdr:row>0</xdr:row>
      <xdr:rowOff>67734</xdr:rowOff>
    </xdr:from>
    <xdr:to>
      <xdr:col>19</xdr:col>
      <xdr:colOff>555626</xdr:colOff>
      <xdr:row>2</xdr:row>
      <xdr:rowOff>105834</xdr:rowOff>
    </xdr:to>
    <xdr:sp macro="" textlink="">
      <xdr:nvSpPr>
        <xdr:cNvPr id="5" name="Rounded Rectangle 4">
          <a:hlinkClick xmlns:r="http://schemas.openxmlformats.org/officeDocument/2006/relationships" r:id="rId1"/>
        </xdr:cNvPr>
        <xdr:cNvSpPr/>
      </xdr:nvSpPr>
      <xdr:spPr>
        <a:xfrm>
          <a:off x="10690225" y="67734"/>
          <a:ext cx="1447801"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16</xdr:col>
      <xdr:colOff>535564</xdr:colOff>
      <xdr:row>14</xdr:row>
      <xdr:rowOff>126301</xdr:rowOff>
    </xdr:from>
    <xdr:to>
      <xdr:col>18</xdr:col>
      <xdr:colOff>256442</xdr:colOff>
      <xdr:row>16</xdr:row>
      <xdr:rowOff>24423</xdr:rowOff>
    </xdr:to>
    <xdr:sp macro="" textlink="">
      <xdr:nvSpPr>
        <xdr:cNvPr id="6" name="Rounded Rectangle 5">
          <a:hlinkClick xmlns:r="http://schemas.openxmlformats.org/officeDocument/2006/relationships" r:id="rId2"/>
        </xdr:cNvPr>
        <xdr:cNvSpPr/>
      </xdr:nvSpPr>
      <xdr:spPr>
        <a:xfrm>
          <a:off x="10719987" y="3179186"/>
          <a:ext cx="942032" cy="28889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baseline="0"/>
            <a:t>Data Tables</a:t>
          </a:r>
          <a:endParaRPr lang="en-CA" sz="1100"/>
        </a:p>
      </xdr:txBody>
    </xdr:sp>
    <xdr:clientData/>
  </xdr:twoCellAnchor>
  <xdr:twoCellAnchor>
    <xdr:from>
      <xdr:col>18</xdr:col>
      <xdr:colOff>40822</xdr:colOff>
      <xdr:row>60</xdr:row>
      <xdr:rowOff>122117</xdr:rowOff>
    </xdr:from>
    <xdr:to>
      <xdr:col>19</xdr:col>
      <xdr:colOff>317500</xdr:colOff>
      <xdr:row>62</xdr:row>
      <xdr:rowOff>1</xdr:rowOff>
    </xdr:to>
    <xdr:sp macro="" textlink="">
      <xdr:nvSpPr>
        <xdr:cNvPr id="7" name="Rounded Rectangle 6">
          <a:hlinkClick xmlns:r="http://schemas.openxmlformats.org/officeDocument/2006/relationships" r:id="rId3"/>
        </xdr:cNvPr>
        <xdr:cNvSpPr/>
      </xdr:nvSpPr>
      <xdr:spPr>
        <a:xfrm>
          <a:off x="11446399" y="12919809"/>
          <a:ext cx="887255" cy="26865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Data Tables</a:t>
          </a:r>
        </a:p>
      </xdr:txBody>
    </xdr:sp>
    <xdr:clientData/>
  </xdr:twoCellAnchor>
  <xdr:twoCellAnchor>
    <xdr:from>
      <xdr:col>17</xdr:col>
      <xdr:colOff>549519</xdr:colOff>
      <xdr:row>82</xdr:row>
      <xdr:rowOff>109903</xdr:rowOff>
    </xdr:from>
    <xdr:to>
      <xdr:col>19</xdr:col>
      <xdr:colOff>256442</xdr:colOff>
      <xdr:row>83</xdr:row>
      <xdr:rowOff>183173</xdr:rowOff>
    </xdr:to>
    <xdr:sp macro="" textlink="">
      <xdr:nvSpPr>
        <xdr:cNvPr id="8" name="Rounded Rectangle 7">
          <a:hlinkClick xmlns:r="http://schemas.openxmlformats.org/officeDocument/2006/relationships" r:id="rId2"/>
        </xdr:cNvPr>
        <xdr:cNvSpPr/>
      </xdr:nvSpPr>
      <xdr:spPr>
        <a:xfrm>
          <a:off x="11344519" y="17425865"/>
          <a:ext cx="928077" cy="268654"/>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 Data Tables</a:t>
          </a:r>
        </a:p>
      </xdr:txBody>
    </xdr:sp>
    <xdr:clientData/>
  </xdr:twoCellAnchor>
  <xdr:twoCellAnchor>
    <xdr:from>
      <xdr:col>17</xdr:col>
      <xdr:colOff>488461</xdr:colOff>
      <xdr:row>105</xdr:row>
      <xdr:rowOff>109905</xdr:rowOff>
    </xdr:from>
    <xdr:to>
      <xdr:col>20</xdr:col>
      <xdr:colOff>280865</xdr:colOff>
      <xdr:row>106</xdr:row>
      <xdr:rowOff>170962</xdr:rowOff>
    </xdr:to>
    <xdr:sp macro="" textlink="">
      <xdr:nvSpPr>
        <xdr:cNvPr id="9" name="Rounded Rectangle 8">
          <a:hlinkClick xmlns:r="http://schemas.openxmlformats.org/officeDocument/2006/relationships" r:id="rId4"/>
        </xdr:cNvPr>
        <xdr:cNvSpPr/>
      </xdr:nvSpPr>
      <xdr:spPr>
        <a:xfrm>
          <a:off x="11283461" y="22054040"/>
          <a:ext cx="1624135" cy="25644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aseline="0"/>
            <a:t>Data Chart &amp; Pivot Table</a:t>
          </a:r>
          <a:endParaRPr lang="en-CA" sz="1100"/>
        </a:p>
      </xdr:txBody>
    </xdr:sp>
    <xdr:clientData/>
  </xdr:twoCellAnchor>
  <xdr:twoCellAnchor editAs="absolute">
    <xdr:from>
      <xdr:col>0</xdr:col>
      <xdr:colOff>0</xdr:colOff>
      <xdr:row>120</xdr:row>
      <xdr:rowOff>36635</xdr:rowOff>
    </xdr:from>
    <xdr:to>
      <xdr:col>13</xdr:col>
      <xdr:colOff>270500</xdr:colOff>
      <xdr:row>138</xdr:row>
      <xdr:rowOff>57385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30</xdr:row>
      <xdr:rowOff>73269</xdr:rowOff>
    </xdr:from>
    <xdr:to>
      <xdr:col>13</xdr:col>
      <xdr:colOff>198500</xdr:colOff>
      <xdr:row>49</xdr:row>
      <xdr:rowOff>104962</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0</xdr:colOff>
      <xdr:row>75</xdr:row>
      <xdr:rowOff>85481</xdr:rowOff>
    </xdr:from>
    <xdr:to>
      <xdr:col>13</xdr:col>
      <xdr:colOff>198500</xdr:colOff>
      <xdr:row>94</xdr:row>
      <xdr:rowOff>117173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53</xdr:row>
      <xdr:rowOff>48846</xdr:rowOff>
    </xdr:from>
    <xdr:to>
      <xdr:col>13</xdr:col>
      <xdr:colOff>198500</xdr:colOff>
      <xdr:row>72</xdr:row>
      <xdr:rowOff>80538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98</xdr:row>
      <xdr:rowOff>61057</xdr:rowOff>
    </xdr:from>
    <xdr:to>
      <xdr:col>13</xdr:col>
      <xdr:colOff>198500</xdr:colOff>
      <xdr:row>117</xdr:row>
      <xdr:rowOff>92749</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525097</xdr:colOff>
      <xdr:row>16</xdr:row>
      <xdr:rowOff>109904</xdr:rowOff>
    </xdr:from>
    <xdr:to>
      <xdr:col>18</xdr:col>
      <xdr:colOff>245975</xdr:colOff>
      <xdr:row>18</xdr:row>
      <xdr:rowOff>8026</xdr:rowOff>
    </xdr:to>
    <xdr:sp macro="" textlink="">
      <xdr:nvSpPr>
        <xdr:cNvPr id="23" name="Rounded Rectangle 22">
          <a:hlinkClick xmlns:r="http://schemas.openxmlformats.org/officeDocument/2006/relationships" r:id="rId10"/>
        </xdr:cNvPr>
        <xdr:cNvSpPr/>
      </xdr:nvSpPr>
      <xdr:spPr>
        <a:xfrm>
          <a:off x="10709520" y="3553558"/>
          <a:ext cx="942032" cy="28889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baseline="0"/>
            <a:t>Pivot Tables</a:t>
          </a:r>
          <a:endParaRPr lang="en-CA" sz="1100"/>
        </a:p>
      </xdr:txBody>
    </xdr:sp>
    <xdr:clientData/>
  </xdr:twoCellAnchor>
  <xdr:twoCellAnchor>
    <xdr:from>
      <xdr:col>18</xdr:col>
      <xdr:colOff>134327</xdr:colOff>
      <xdr:row>37</xdr:row>
      <xdr:rowOff>85481</xdr:rowOff>
    </xdr:from>
    <xdr:to>
      <xdr:col>19</xdr:col>
      <xdr:colOff>354134</xdr:colOff>
      <xdr:row>38</xdr:row>
      <xdr:rowOff>183174</xdr:rowOff>
    </xdr:to>
    <xdr:sp macro="" textlink="">
      <xdr:nvSpPr>
        <xdr:cNvPr id="10" name="Rounded Rectangle 9">
          <a:hlinkClick xmlns:r="http://schemas.openxmlformats.org/officeDocument/2006/relationships" r:id="rId2"/>
        </xdr:cNvPr>
        <xdr:cNvSpPr/>
      </xdr:nvSpPr>
      <xdr:spPr>
        <a:xfrm>
          <a:off x="11539904" y="7974135"/>
          <a:ext cx="830384" cy="293077"/>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 Table</a:t>
          </a:r>
        </a:p>
      </xdr:txBody>
    </xdr:sp>
    <xdr:clientData/>
  </xdr:twoCellAnchor>
  <xdr:twoCellAnchor>
    <xdr:from>
      <xdr:col>18</xdr:col>
      <xdr:colOff>146539</xdr:colOff>
      <xdr:row>39</xdr:row>
      <xdr:rowOff>85479</xdr:rowOff>
    </xdr:from>
    <xdr:to>
      <xdr:col>19</xdr:col>
      <xdr:colOff>415192</xdr:colOff>
      <xdr:row>40</xdr:row>
      <xdr:rowOff>195383</xdr:rowOff>
    </xdr:to>
    <xdr:sp macro="" textlink="">
      <xdr:nvSpPr>
        <xdr:cNvPr id="11" name="Rounded Rectangle 10">
          <a:hlinkClick xmlns:r="http://schemas.openxmlformats.org/officeDocument/2006/relationships" r:id="rId10"/>
        </xdr:cNvPr>
        <xdr:cNvSpPr/>
      </xdr:nvSpPr>
      <xdr:spPr>
        <a:xfrm>
          <a:off x="11552116" y="8364902"/>
          <a:ext cx="879230" cy="305289"/>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Pivot Table</a:t>
          </a:r>
        </a:p>
      </xdr:txBody>
    </xdr:sp>
    <xdr:clientData/>
  </xdr:twoCellAnchor>
  <xdr:twoCellAnchor>
    <xdr:from>
      <xdr:col>18</xdr:col>
      <xdr:colOff>36635</xdr:colOff>
      <xdr:row>62</xdr:row>
      <xdr:rowOff>109903</xdr:rowOff>
    </xdr:from>
    <xdr:to>
      <xdr:col>19</xdr:col>
      <xdr:colOff>268654</xdr:colOff>
      <xdr:row>63</xdr:row>
      <xdr:rowOff>183173</xdr:rowOff>
    </xdr:to>
    <xdr:sp macro="" textlink="">
      <xdr:nvSpPr>
        <xdr:cNvPr id="24" name="Rounded Rectangle 23">
          <a:hlinkClick xmlns:r="http://schemas.openxmlformats.org/officeDocument/2006/relationships" r:id="rId11"/>
        </xdr:cNvPr>
        <xdr:cNvSpPr/>
      </xdr:nvSpPr>
      <xdr:spPr>
        <a:xfrm>
          <a:off x="11442212" y="13298365"/>
          <a:ext cx="842596" cy="26865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Pivot Table</a:t>
          </a:r>
        </a:p>
      </xdr:txBody>
    </xdr:sp>
    <xdr:clientData/>
  </xdr:twoCellAnchor>
  <xdr:twoCellAnchor>
    <xdr:from>
      <xdr:col>17</xdr:col>
      <xdr:colOff>573942</xdr:colOff>
      <xdr:row>84</xdr:row>
      <xdr:rowOff>85480</xdr:rowOff>
    </xdr:from>
    <xdr:to>
      <xdr:col>19</xdr:col>
      <xdr:colOff>280865</xdr:colOff>
      <xdr:row>85</xdr:row>
      <xdr:rowOff>158750</xdr:rowOff>
    </xdr:to>
    <xdr:sp macro="" textlink="">
      <xdr:nvSpPr>
        <xdr:cNvPr id="25" name="Rounded Rectangle 24">
          <a:hlinkClick xmlns:r="http://schemas.openxmlformats.org/officeDocument/2006/relationships" r:id="rId10"/>
        </xdr:cNvPr>
        <xdr:cNvSpPr/>
      </xdr:nvSpPr>
      <xdr:spPr>
        <a:xfrm>
          <a:off x="11368942" y="17792211"/>
          <a:ext cx="928077" cy="268654"/>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Pivot Table</a:t>
          </a:r>
        </a:p>
      </xdr:txBody>
    </xdr:sp>
    <xdr:clientData/>
  </xdr:twoCellAnchor>
  <xdr:twoCellAnchor>
    <xdr:from>
      <xdr:col>17</xdr:col>
      <xdr:colOff>586154</xdr:colOff>
      <xdr:row>129</xdr:row>
      <xdr:rowOff>134327</xdr:rowOff>
    </xdr:from>
    <xdr:to>
      <xdr:col>19</xdr:col>
      <xdr:colOff>232019</xdr:colOff>
      <xdr:row>131</xdr:row>
      <xdr:rowOff>12211</xdr:rowOff>
    </xdr:to>
    <xdr:sp macro="" textlink="">
      <xdr:nvSpPr>
        <xdr:cNvPr id="12" name="Rounded Rectangle 11">
          <a:hlinkClick xmlns:r="http://schemas.openxmlformats.org/officeDocument/2006/relationships" r:id="rId12"/>
        </xdr:cNvPr>
        <xdr:cNvSpPr/>
      </xdr:nvSpPr>
      <xdr:spPr>
        <a:xfrm>
          <a:off x="11381154" y="26902019"/>
          <a:ext cx="867019" cy="268654"/>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a:t>
          </a:r>
          <a:r>
            <a:rPr lang="en-CA" sz="1100" baseline="0"/>
            <a:t> Table</a:t>
          </a:r>
          <a:endParaRPr lang="en-CA" sz="1100"/>
        </a:p>
      </xdr:txBody>
    </xdr:sp>
    <xdr:clientData/>
  </xdr:twoCellAnchor>
  <xdr:twoCellAnchor>
    <xdr:from>
      <xdr:col>0</xdr:col>
      <xdr:colOff>0</xdr:colOff>
      <xdr:row>7</xdr:row>
      <xdr:rowOff>85482</xdr:rowOff>
    </xdr:from>
    <xdr:to>
      <xdr:col>13</xdr:col>
      <xdr:colOff>198500</xdr:colOff>
      <xdr:row>26</xdr:row>
      <xdr:rowOff>117174</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9525</xdr:colOff>
      <xdr:row>0</xdr:row>
      <xdr:rowOff>9524</xdr:rowOff>
    </xdr:from>
    <xdr:to>
      <xdr:col>20</xdr:col>
      <xdr:colOff>0</xdr:colOff>
      <xdr:row>3</xdr:row>
      <xdr:rowOff>95249</xdr:rowOff>
    </xdr:to>
    <xdr:sp macro="" textlink="">
      <xdr:nvSpPr>
        <xdr:cNvPr id="2" name="Rounded Rectangle 1"/>
        <xdr:cNvSpPr/>
      </xdr:nvSpPr>
      <xdr:spPr>
        <a:xfrm>
          <a:off x="9525" y="9524"/>
          <a:ext cx="12182475"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xdr:row>
      <xdr:rowOff>180975</xdr:rowOff>
    </xdr:from>
    <xdr:to>
      <xdr:col>20</xdr:col>
      <xdr:colOff>0</xdr:colOff>
      <xdr:row>3</xdr:row>
      <xdr:rowOff>152400</xdr:rowOff>
    </xdr:to>
    <xdr:sp macro="" textlink="">
      <xdr:nvSpPr>
        <xdr:cNvPr id="3" name="Round Same Side Corner Rectangle 2"/>
        <xdr:cNvSpPr/>
      </xdr:nvSpPr>
      <xdr:spPr>
        <a:xfrm>
          <a:off x="9525" y="561975"/>
          <a:ext cx="12182475" cy="16192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198966</xdr:colOff>
      <xdr:row>0</xdr:row>
      <xdr:rowOff>104775</xdr:rowOff>
    </xdr:from>
    <xdr:to>
      <xdr:col>14</xdr:col>
      <xdr:colOff>296332</xdr:colOff>
      <xdr:row>2</xdr:row>
      <xdr:rowOff>76200</xdr:rowOff>
    </xdr:to>
    <xdr:sp macro="" textlink="">
      <xdr:nvSpPr>
        <xdr:cNvPr id="4" name="TextBox 3"/>
        <xdr:cNvSpPr txBox="1"/>
      </xdr:nvSpPr>
      <xdr:spPr>
        <a:xfrm>
          <a:off x="3246966" y="104775"/>
          <a:ext cx="558376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 Quality </a:t>
          </a:r>
        </a:p>
      </xdr:txBody>
    </xdr:sp>
    <xdr:clientData/>
  </xdr:twoCellAnchor>
  <xdr:twoCellAnchor>
    <xdr:from>
      <xdr:col>17</xdr:col>
      <xdr:colOff>327025</xdr:colOff>
      <xdr:row>0</xdr:row>
      <xdr:rowOff>67734</xdr:rowOff>
    </xdr:from>
    <xdr:to>
      <xdr:col>19</xdr:col>
      <xdr:colOff>555626</xdr:colOff>
      <xdr:row>2</xdr:row>
      <xdr:rowOff>105834</xdr:rowOff>
    </xdr:to>
    <xdr:sp macro="" textlink="">
      <xdr:nvSpPr>
        <xdr:cNvPr id="5" name="Rounded Rectangle 4">
          <a:hlinkClick xmlns:r="http://schemas.openxmlformats.org/officeDocument/2006/relationships" r:id="rId1"/>
        </xdr:cNvPr>
        <xdr:cNvSpPr/>
      </xdr:nvSpPr>
      <xdr:spPr>
        <a:xfrm>
          <a:off x="10690225" y="67734"/>
          <a:ext cx="1447801"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0</xdr:col>
      <xdr:colOff>571500</xdr:colOff>
      <xdr:row>74</xdr:row>
      <xdr:rowOff>0</xdr:rowOff>
    </xdr:from>
    <xdr:to>
      <xdr:col>0</xdr:col>
      <xdr:colOff>533400</xdr:colOff>
      <xdr:row>75</xdr:row>
      <xdr:rowOff>0</xdr:rowOff>
    </xdr:to>
    <xdr:sp macro="" textlink="">
      <xdr:nvSpPr>
        <xdr:cNvPr id="6" name="TextBox 5"/>
        <xdr:cNvSpPr txBox="1"/>
      </xdr:nvSpPr>
      <xdr:spPr>
        <a:xfrm>
          <a:off x="571500" y="15135225"/>
          <a:ext cx="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CA"/>
        </a:p>
      </xdr:txBody>
    </xdr:sp>
    <xdr:clientData/>
  </xdr:twoCellAnchor>
  <xdr:twoCellAnchor>
    <xdr:from>
      <xdr:col>16</xdr:col>
      <xdr:colOff>548457</xdr:colOff>
      <xdr:row>15</xdr:row>
      <xdr:rowOff>9783</xdr:rowOff>
    </xdr:from>
    <xdr:to>
      <xdr:col>18</xdr:col>
      <xdr:colOff>185552</xdr:colOff>
      <xdr:row>16</xdr:row>
      <xdr:rowOff>123703</xdr:rowOff>
    </xdr:to>
    <xdr:sp macro="" textlink="">
      <xdr:nvSpPr>
        <xdr:cNvPr id="7" name="Rounded Rectangle 6">
          <a:hlinkClick xmlns:r="http://schemas.openxmlformats.org/officeDocument/2006/relationships" r:id="rId2"/>
        </xdr:cNvPr>
        <xdr:cNvSpPr/>
      </xdr:nvSpPr>
      <xdr:spPr>
        <a:xfrm>
          <a:off x="10531152" y="3188906"/>
          <a:ext cx="849368" cy="29947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Data Table</a:t>
          </a:r>
        </a:p>
      </xdr:txBody>
    </xdr:sp>
    <xdr:clientData/>
  </xdr:twoCellAnchor>
  <xdr:twoCellAnchor>
    <xdr:from>
      <xdr:col>18</xdr:col>
      <xdr:colOff>86590</xdr:colOff>
      <xdr:row>60</xdr:row>
      <xdr:rowOff>148442</xdr:rowOff>
    </xdr:from>
    <xdr:to>
      <xdr:col>20</xdr:col>
      <xdr:colOff>210291</xdr:colOff>
      <xdr:row>62</xdr:row>
      <xdr:rowOff>49481</xdr:rowOff>
    </xdr:to>
    <xdr:sp macro="" textlink="">
      <xdr:nvSpPr>
        <xdr:cNvPr id="20" name="Rounded Rectangle 19">
          <a:hlinkClick xmlns:r="http://schemas.openxmlformats.org/officeDocument/2006/relationships" r:id="rId3"/>
        </xdr:cNvPr>
        <xdr:cNvSpPr/>
      </xdr:nvSpPr>
      <xdr:spPr>
        <a:xfrm>
          <a:off x="11281558" y="12543312"/>
          <a:ext cx="1335973" cy="272143"/>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 Data  &amp; PivotTable</a:t>
          </a:r>
        </a:p>
      </xdr:txBody>
    </xdr:sp>
    <xdr:clientData/>
  </xdr:twoCellAnchor>
  <xdr:twoCellAnchor>
    <xdr:from>
      <xdr:col>16</xdr:col>
      <xdr:colOff>470065</xdr:colOff>
      <xdr:row>36</xdr:row>
      <xdr:rowOff>166134</xdr:rowOff>
    </xdr:from>
    <xdr:to>
      <xdr:col>18</xdr:col>
      <xdr:colOff>41137</xdr:colOff>
      <xdr:row>38</xdr:row>
      <xdr:rowOff>88604</xdr:rowOff>
    </xdr:to>
    <xdr:sp macro="" textlink="">
      <xdr:nvSpPr>
        <xdr:cNvPr id="8" name="Rounded Rectangle 7"/>
        <xdr:cNvSpPr/>
      </xdr:nvSpPr>
      <xdr:spPr>
        <a:xfrm>
          <a:off x="10452760" y="7600582"/>
          <a:ext cx="783345" cy="293574"/>
        </a:xfrm>
        <a:prstGeom prst="roundRect">
          <a:avLst/>
        </a:prstGeom>
        <a:ln>
          <a:solidFill>
            <a:schemeClr val="accent6">
              <a:lumMod val="75000"/>
            </a:schemeClr>
          </a:solidFill>
        </a:ln>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CA" sz="1100"/>
            <a:t>P</a:t>
          </a:r>
          <a:r>
            <a:rPr lang="en-CA" sz="1100" baseline="0"/>
            <a:t> V Table</a:t>
          </a:r>
          <a:endParaRPr lang="en-CA" sz="1100"/>
        </a:p>
      </xdr:txBody>
    </xdr:sp>
    <xdr:clientData/>
  </xdr:twoCellAnchor>
  <xdr:twoCellAnchor>
    <xdr:from>
      <xdr:col>17</xdr:col>
      <xdr:colOff>470898</xdr:colOff>
      <xdr:row>82</xdr:row>
      <xdr:rowOff>160533</xdr:rowOff>
    </xdr:from>
    <xdr:to>
      <xdr:col>19</xdr:col>
      <xdr:colOff>395844</xdr:colOff>
      <xdr:row>84</xdr:row>
      <xdr:rowOff>98961</xdr:rowOff>
    </xdr:to>
    <xdr:sp macro="" textlink="">
      <xdr:nvSpPr>
        <xdr:cNvPr id="10" name="Rounded Rectangle 9">
          <a:hlinkClick xmlns:r="http://schemas.openxmlformats.org/officeDocument/2006/relationships" r:id="rId2"/>
        </xdr:cNvPr>
        <xdr:cNvSpPr/>
      </xdr:nvSpPr>
      <xdr:spPr>
        <a:xfrm>
          <a:off x="11059729" y="16761247"/>
          <a:ext cx="1137219" cy="30953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a:t>
          </a:r>
          <a:r>
            <a:rPr lang="en-CA" sz="1100" baseline="0"/>
            <a:t> &amp; PV</a:t>
          </a:r>
          <a:r>
            <a:rPr lang="en-CA" sz="1100"/>
            <a:t> Table</a:t>
          </a:r>
        </a:p>
      </xdr:txBody>
    </xdr:sp>
    <xdr:clientData/>
  </xdr:twoCellAnchor>
  <xdr:twoCellAnchor>
    <xdr:from>
      <xdr:col>0</xdr:col>
      <xdr:colOff>12370</xdr:colOff>
      <xdr:row>7</xdr:row>
      <xdr:rowOff>61849</xdr:rowOff>
    </xdr:from>
    <xdr:to>
      <xdr:col>13</xdr:col>
      <xdr:colOff>268597</xdr:colOff>
      <xdr:row>27</xdr:row>
      <xdr:rowOff>45329</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75</xdr:row>
      <xdr:rowOff>74220</xdr:rowOff>
    </xdr:from>
    <xdr:to>
      <xdr:col>13</xdr:col>
      <xdr:colOff>256227</xdr:colOff>
      <xdr:row>95</xdr:row>
      <xdr:rowOff>160810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30</xdr:row>
      <xdr:rowOff>37111</xdr:rowOff>
    </xdr:from>
    <xdr:to>
      <xdr:col>13</xdr:col>
      <xdr:colOff>98961</xdr:colOff>
      <xdr:row>49</xdr:row>
      <xdr:rowOff>173183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53</xdr:row>
      <xdr:rowOff>74221</xdr:rowOff>
    </xdr:from>
    <xdr:to>
      <xdr:col>13</xdr:col>
      <xdr:colOff>222661</xdr:colOff>
      <xdr:row>72</xdr:row>
      <xdr:rowOff>136070</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544286</xdr:colOff>
      <xdr:row>17</xdr:row>
      <xdr:rowOff>24740</xdr:rowOff>
    </xdr:from>
    <xdr:to>
      <xdr:col>18</xdr:col>
      <xdr:colOff>181381</xdr:colOff>
      <xdr:row>18</xdr:row>
      <xdr:rowOff>138660</xdr:rowOff>
    </xdr:to>
    <xdr:sp macro="" textlink="">
      <xdr:nvSpPr>
        <xdr:cNvPr id="22" name="Rounded Rectangle 21">
          <a:hlinkClick xmlns:r="http://schemas.openxmlformats.org/officeDocument/2006/relationships" r:id="rId8"/>
        </xdr:cNvPr>
        <xdr:cNvSpPr/>
      </xdr:nvSpPr>
      <xdr:spPr>
        <a:xfrm>
          <a:off x="10526981" y="3574967"/>
          <a:ext cx="849368" cy="29947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CA" sz="1100"/>
            <a:t>Pivot Table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9525</xdr:colOff>
      <xdr:row>0</xdr:row>
      <xdr:rowOff>9524</xdr:rowOff>
    </xdr:from>
    <xdr:to>
      <xdr:col>20</xdr:col>
      <xdr:colOff>0</xdr:colOff>
      <xdr:row>3</xdr:row>
      <xdr:rowOff>95249</xdr:rowOff>
    </xdr:to>
    <xdr:sp macro="" textlink="">
      <xdr:nvSpPr>
        <xdr:cNvPr id="2" name="Rounded Rectangle 1"/>
        <xdr:cNvSpPr/>
      </xdr:nvSpPr>
      <xdr:spPr>
        <a:xfrm>
          <a:off x="9525" y="9524"/>
          <a:ext cx="12182475"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xdr:row>
      <xdr:rowOff>180975</xdr:rowOff>
    </xdr:from>
    <xdr:to>
      <xdr:col>20</xdr:col>
      <xdr:colOff>0</xdr:colOff>
      <xdr:row>3</xdr:row>
      <xdr:rowOff>152400</xdr:rowOff>
    </xdr:to>
    <xdr:sp macro="" textlink="">
      <xdr:nvSpPr>
        <xdr:cNvPr id="3" name="Round Same Side Corner Rectangle 2"/>
        <xdr:cNvSpPr/>
      </xdr:nvSpPr>
      <xdr:spPr>
        <a:xfrm>
          <a:off x="9525" y="561975"/>
          <a:ext cx="12182475" cy="16192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198966</xdr:colOff>
      <xdr:row>0</xdr:row>
      <xdr:rowOff>104775</xdr:rowOff>
    </xdr:from>
    <xdr:to>
      <xdr:col>14</xdr:col>
      <xdr:colOff>296332</xdr:colOff>
      <xdr:row>2</xdr:row>
      <xdr:rowOff>76200</xdr:rowOff>
    </xdr:to>
    <xdr:sp macro="" textlink="">
      <xdr:nvSpPr>
        <xdr:cNvPr id="4" name="TextBox 3"/>
        <xdr:cNvSpPr txBox="1"/>
      </xdr:nvSpPr>
      <xdr:spPr>
        <a:xfrm>
          <a:off x="3246966" y="104775"/>
          <a:ext cx="558376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Labour </a:t>
          </a:r>
        </a:p>
      </xdr:txBody>
    </xdr:sp>
    <xdr:clientData/>
  </xdr:twoCellAnchor>
  <xdr:twoCellAnchor>
    <xdr:from>
      <xdr:col>17</xdr:col>
      <xdr:colOff>327025</xdr:colOff>
      <xdr:row>0</xdr:row>
      <xdr:rowOff>67734</xdr:rowOff>
    </xdr:from>
    <xdr:to>
      <xdr:col>19</xdr:col>
      <xdr:colOff>555626</xdr:colOff>
      <xdr:row>2</xdr:row>
      <xdr:rowOff>105834</xdr:rowOff>
    </xdr:to>
    <xdr:sp macro="" textlink="">
      <xdr:nvSpPr>
        <xdr:cNvPr id="5" name="Rounded Rectangle 4">
          <a:hlinkClick xmlns:r="http://schemas.openxmlformats.org/officeDocument/2006/relationships" r:id="rId1"/>
        </xdr:cNvPr>
        <xdr:cNvSpPr/>
      </xdr:nvSpPr>
      <xdr:spPr>
        <a:xfrm>
          <a:off x="10690225" y="67734"/>
          <a:ext cx="1447801"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0</xdr:col>
      <xdr:colOff>571500</xdr:colOff>
      <xdr:row>73</xdr:row>
      <xdr:rowOff>0</xdr:rowOff>
    </xdr:from>
    <xdr:to>
      <xdr:col>1</xdr:col>
      <xdr:colOff>533400</xdr:colOff>
      <xdr:row>74</xdr:row>
      <xdr:rowOff>0</xdr:rowOff>
    </xdr:to>
    <xdr:sp macro="" textlink="">
      <xdr:nvSpPr>
        <xdr:cNvPr id="6" name="TextBox 5"/>
        <xdr:cNvSpPr txBox="1"/>
      </xdr:nvSpPr>
      <xdr:spPr>
        <a:xfrm>
          <a:off x="571500" y="14725650"/>
          <a:ext cx="571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CA"/>
        </a:p>
      </xdr:txBody>
    </xdr:sp>
    <xdr:clientData/>
  </xdr:twoCellAnchor>
  <xdr:twoCellAnchor>
    <xdr:from>
      <xdr:col>16</xdr:col>
      <xdr:colOff>585107</xdr:colOff>
      <xdr:row>14</xdr:row>
      <xdr:rowOff>140607</xdr:rowOff>
    </xdr:from>
    <xdr:to>
      <xdr:col>18</xdr:col>
      <xdr:colOff>571500</xdr:colOff>
      <xdr:row>16</xdr:row>
      <xdr:rowOff>54428</xdr:rowOff>
    </xdr:to>
    <xdr:sp macro="" textlink="">
      <xdr:nvSpPr>
        <xdr:cNvPr id="7" name="Rounded Rectangle 6">
          <a:hlinkClick xmlns:r="http://schemas.openxmlformats.org/officeDocument/2006/relationships" r:id="rId2"/>
        </xdr:cNvPr>
        <xdr:cNvSpPr/>
      </xdr:nvSpPr>
      <xdr:spPr>
        <a:xfrm>
          <a:off x="10382250" y="3147786"/>
          <a:ext cx="1211036" cy="294821"/>
        </a:xfrm>
        <a:prstGeom prst="roundRect">
          <a:avLst/>
        </a:prstGeom>
        <a:ln>
          <a:solidFill>
            <a:schemeClr val="accent6">
              <a:lumMod val="60000"/>
              <a:lumOff val="40000"/>
            </a:schemeClr>
          </a:solidFill>
        </a:ln>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CA" sz="1100"/>
            <a:t>Data &amp; PV Table</a:t>
          </a:r>
        </a:p>
      </xdr:txBody>
    </xdr:sp>
    <xdr:clientData/>
  </xdr:twoCellAnchor>
  <xdr:twoCellAnchor>
    <xdr:from>
      <xdr:col>16</xdr:col>
      <xdr:colOff>517071</xdr:colOff>
      <xdr:row>87</xdr:row>
      <xdr:rowOff>124732</xdr:rowOff>
    </xdr:from>
    <xdr:to>
      <xdr:col>18</xdr:col>
      <xdr:colOff>528410</xdr:colOff>
      <xdr:row>89</xdr:row>
      <xdr:rowOff>11340</xdr:rowOff>
    </xdr:to>
    <xdr:sp macro="" textlink="">
      <xdr:nvSpPr>
        <xdr:cNvPr id="8" name="Rounded Rectangle 7">
          <a:hlinkClick xmlns:r="http://schemas.openxmlformats.org/officeDocument/2006/relationships" r:id="rId3"/>
        </xdr:cNvPr>
        <xdr:cNvSpPr/>
      </xdr:nvSpPr>
      <xdr:spPr>
        <a:xfrm>
          <a:off x="10314214" y="17324161"/>
          <a:ext cx="1235982" cy="267608"/>
        </a:xfrm>
        <a:prstGeom prst="roundRect">
          <a:avLst/>
        </a:prstGeom>
        <a:ln>
          <a:solidFill>
            <a:schemeClr val="accent6">
              <a:lumMod val="75000"/>
            </a:schemeClr>
          </a:solidFill>
        </a:ln>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CA" sz="1100"/>
            <a:t>Data &amp; PV Table</a:t>
          </a:r>
        </a:p>
      </xdr:txBody>
    </xdr:sp>
    <xdr:clientData/>
  </xdr:twoCellAnchor>
  <xdr:twoCellAnchor editAs="absolute">
    <xdr:from>
      <xdr:col>0</xdr:col>
      <xdr:colOff>0</xdr:colOff>
      <xdr:row>7</xdr:row>
      <xdr:rowOff>97518</xdr:rowOff>
    </xdr:from>
    <xdr:to>
      <xdr:col>13</xdr:col>
      <xdr:colOff>175821</xdr:colOff>
      <xdr:row>27</xdr:row>
      <xdr:rowOff>31518</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156482</xdr:colOff>
      <xdr:row>38</xdr:row>
      <xdr:rowOff>36287</xdr:rowOff>
    </xdr:from>
    <xdr:to>
      <xdr:col>19</xdr:col>
      <xdr:colOff>204107</xdr:colOff>
      <xdr:row>39</xdr:row>
      <xdr:rowOff>136073</xdr:rowOff>
    </xdr:to>
    <xdr:sp macro="" textlink="">
      <xdr:nvSpPr>
        <xdr:cNvPr id="12" name="Rounded Rectangle 11">
          <a:hlinkClick xmlns:r="http://schemas.openxmlformats.org/officeDocument/2006/relationships" r:id="rId5"/>
        </xdr:cNvPr>
        <xdr:cNvSpPr/>
      </xdr:nvSpPr>
      <xdr:spPr>
        <a:xfrm>
          <a:off x="10565946" y="7860394"/>
          <a:ext cx="1272268" cy="290286"/>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 &amp; Pivot Table</a:t>
          </a:r>
        </a:p>
      </xdr:txBody>
    </xdr:sp>
    <xdr:clientData/>
  </xdr:twoCellAnchor>
  <xdr:twoCellAnchor>
    <xdr:from>
      <xdr:col>16</xdr:col>
      <xdr:colOff>498928</xdr:colOff>
      <xdr:row>62</xdr:row>
      <xdr:rowOff>147410</xdr:rowOff>
    </xdr:from>
    <xdr:to>
      <xdr:col>18</xdr:col>
      <xdr:colOff>226785</xdr:colOff>
      <xdr:row>64</xdr:row>
      <xdr:rowOff>90715</xdr:rowOff>
    </xdr:to>
    <xdr:sp macro="" textlink="">
      <xdr:nvSpPr>
        <xdr:cNvPr id="9" name="Rounded Rectangle 8">
          <a:hlinkClick xmlns:r="http://schemas.openxmlformats.org/officeDocument/2006/relationships" r:id="rId6"/>
        </xdr:cNvPr>
        <xdr:cNvSpPr/>
      </xdr:nvSpPr>
      <xdr:spPr>
        <a:xfrm>
          <a:off x="10296071" y="12677321"/>
          <a:ext cx="952500" cy="32884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PV Chart</a:t>
          </a:r>
        </a:p>
      </xdr:txBody>
    </xdr:sp>
    <xdr:clientData/>
  </xdr:twoCellAnchor>
  <xdr:twoCellAnchor>
    <xdr:from>
      <xdr:col>0</xdr:col>
      <xdr:colOff>0</xdr:colOff>
      <xdr:row>31</xdr:row>
      <xdr:rowOff>124731</xdr:rowOff>
    </xdr:from>
    <xdr:to>
      <xdr:col>13</xdr:col>
      <xdr:colOff>175821</xdr:colOff>
      <xdr:row>49</xdr:row>
      <xdr:rowOff>147409</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55</xdr:row>
      <xdr:rowOff>81641</xdr:rowOff>
    </xdr:from>
    <xdr:to>
      <xdr:col>13</xdr:col>
      <xdr:colOff>175821</xdr:colOff>
      <xdr:row>74</xdr:row>
      <xdr:rowOff>170141</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80</xdr:row>
      <xdr:rowOff>40820</xdr:rowOff>
    </xdr:from>
    <xdr:to>
      <xdr:col>13</xdr:col>
      <xdr:colOff>175821</xdr:colOff>
      <xdr:row>99</xdr:row>
      <xdr:rowOff>165320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9525</xdr:colOff>
      <xdr:row>0</xdr:row>
      <xdr:rowOff>9524</xdr:rowOff>
    </xdr:from>
    <xdr:to>
      <xdr:col>20</xdr:col>
      <xdr:colOff>0</xdr:colOff>
      <xdr:row>3</xdr:row>
      <xdr:rowOff>95249</xdr:rowOff>
    </xdr:to>
    <xdr:sp macro="" textlink="">
      <xdr:nvSpPr>
        <xdr:cNvPr id="2" name="Rounded Rectangle 1"/>
        <xdr:cNvSpPr/>
      </xdr:nvSpPr>
      <xdr:spPr>
        <a:xfrm>
          <a:off x="9525" y="9524"/>
          <a:ext cx="12182475" cy="6572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xdr:row>
      <xdr:rowOff>180975</xdr:rowOff>
    </xdr:from>
    <xdr:to>
      <xdr:col>20</xdr:col>
      <xdr:colOff>0</xdr:colOff>
      <xdr:row>3</xdr:row>
      <xdr:rowOff>152400</xdr:rowOff>
    </xdr:to>
    <xdr:sp macro="" textlink="">
      <xdr:nvSpPr>
        <xdr:cNvPr id="3" name="Round Same Side Corner Rectangle 2"/>
        <xdr:cNvSpPr/>
      </xdr:nvSpPr>
      <xdr:spPr>
        <a:xfrm>
          <a:off x="9525" y="561975"/>
          <a:ext cx="12182475" cy="161925"/>
        </a:xfrm>
        <a:prstGeom prst="round2Same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198966</xdr:colOff>
      <xdr:row>0</xdr:row>
      <xdr:rowOff>104775</xdr:rowOff>
    </xdr:from>
    <xdr:to>
      <xdr:col>15</xdr:col>
      <xdr:colOff>44823</xdr:colOff>
      <xdr:row>2</xdr:row>
      <xdr:rowOff>76200</xdr:rowOff>
    </xdr:to>
    <xdr:sp macro="" textlink="">
      <xdr:nvSpPr>
        <xdr:cNvPr id="4" name="TextBox 3"/>
        <xdr:cNvSpPr txBox="1"/>
      </xdr:nvSpPr>
      <xdr:spPr>
        <a:xfrm>
          <a:off x="3224554" y="104775"/>
          <a:ext cx="589703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a:t>Key</a:t>
          </a:r>
          <a:r>
            <a:rPr lang="en-CA" sz="1800" baseline="0"/>
            <a:t> Performance Indicators </a:t>
          </a:r>
          <a:r>
            <a:rPr lang="en-CA" sz="1800"/>
            <a:t>Executive Summary - Production </a:t>
          </a:r>
        </a:p>
      </xdr:txBody>
    </xdr:sp>
    <xdr:clientData/>
  </xdr:twoCellAnchor>
  <xdr:twoCellAnchor>
    <xdr:from>
      <xdr:col>17</xdr:col>
      <xdr:colOff>327025</xdr:colOff>
      <xdr:row>0</xdr:row>
      <xdr:rowOff>67734</xdr:rowOff>
    </xdr:from>
    <xdr:to>
      <xdr:col>19</xdr:col>
      <xdr:colOff>555626</xdr:colOff>
      <xdr:row>2</xdr:row>
      <xdr:rowOff>105834</xdr:rowOff>
    </xdr:to>
    <xdr:sp macro="" textlink="">
      <xdr:nvSpPr>
        <xdr:cNvPr id="5" name="Rounded Rectangle 4">
          <a:hlinkClick xmlns:r="http://schemas.openxmlformats.org/officeDocument/2006/relationships" r:id="rId1"/>
        </xdr:cNvPr>
        <xdr:cNvSpPr/>
      </xdr:nvSpPr>
      <xdr:spPr>
        <a:xfrm>
          <a:off x="10690225" y="67734"/>
          <a:ext cx="1447801" cy="419100"/>
        </a:xfrm>
        <a:prstGeom prst="roundRect">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ysClr val="windowText" lastClr="000000"/>
              </a:solidFill>
            </a:rPr>
            <a:t>Executive Summary</a:t>
          </a:r>
        </a:p>
      </xdr:txBody>
    </xdr:sp>
    <xdr:clientData/>
  </xdr:twoCellAnchor>
  <xdr:twoCellAnchor>
    <xdr:from>
      <xdr:col>16</xdr:col>
      <xdr:colOff>557893</xdr:colOff>
      <xdr:row>15</xdr:row>
      <xdr:rowOff>13607</xdr:rowOff>
    </xdr:from>
    <xdr:to>
      <xdr:col>18</xdr:col>
      <xdr:colOff>122464</xdr:colOff>
      <xdr:row>16</xdr:row>
      <xdr:rowOff>95250</xdr:rowOff>
    </xdr:to>
    <xdr:sp macro="" textlink="">
      <xdr:nvSpPr>
        <xdr:cNvPr id="6" name="Rounded Rectangle 5">
          <a:hlinkClick xmlns:r="http://schemas.openxmlformats.org/officeDocument/2006/relationships" r:id="rId2"/>
        </xdr:cNvPr>
        <xdr:cNvSpPr/>
      </xdr:nvSpPr>
      <xdr:spPr>
        <a:xfrm>
          <a:off x="10355036" y="3211286"/>
          <a:ext cx="789214" cy="272143"/>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PV</a:t>
          </a:r>
          <a:r>
            <a:rPr lang="en-CA" sz="1100" baseline="0"/>
            <a:t> Table</a:t>
          </a:r>
          <a:endParaRPr lang="en-CA" sz="1100"/>
        </a:p>
      </xdr:txBody>
    </xdr:sp>
    <xdr:clientData/>
  </xdr:twoCellAnchor>
  <xdr:twoCellAnchor>
    <xdr:from>
      <xdr:col>18</xdr:col>
      <xdr:colOff>88446</xdr:colOff>
      <xdr:row>83</xdr:row>
      <xdr:rowOff>68036</xdr:rowOff>
    </xdr:from>
    <xdr:to>
      <xdr:col>19</xdr:col>
      <xdr:colOff>362857</xdr:colOff>
      <xdr:row>84</xdr:row>
      <xdr:rowOff>170090</xdr:rowOff>
    </xdr:to>
    <xdr:sp macro="" textlink="">
      <xdr:nvSpPr>
        <xdr:cNvPr id="8" name="Rounded Rectangle 7">
          <a:hlinkClick xmlns:r="http://schemas.openxmlformats.org/officeDocument/2006/relationships" r:id="rId3"/>
        </xdr:cNvPr>
        <xdr:cNvSpPr/>
      </xdr:nvSpPr>
      <xdr:spPr>
        <a:xfrm>
          <a:off x="11257642" y="17496518"/>
          <a:ext cx="886733" cy="29482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Pivot Table</a:t>
          </a:r>
        </a:p>
      </xdr:txBody>
    </xdr:sp>
    <xdr:clientData/>
  </xdr:twoCellAnchor>
  <xdr:twoCellAnchor>
    <xdr:from>
      <xdr:col>17</xdr:col>
      <xdr:colOff>600981</xdr:colOff>
      <xdr:row>38</xdr:row>
      <xdr:rowOff>0</xdr:rowOff>
    </xdr:from>
    <xdr:to>
      <xdr:col>19</xdr:col>
      <xdr:colOff>544285</xdr:colOff>
      <xdr:row>39</xdr:row>
      <xdr:rowOff>68035</xdr:rowOff>
    </xdr:to>
    <xdr:sp macro="" textlink="">
      <xdr:nvSpPr>
        <xdr:cNvPr id="9" name="Rounded Rectangle 8">
          <a:hlinkClick xmlns:r="http://schemas.openxmlformats.org/officeDocument/2006/relationships" r:id="rId4"/>
        </xdr:cNvPr>
        <xdr:cNvSpPr/>
      </xdr:nvSpPr>
      <xdr:spPr>
        <a:xfrm>
          <a:off x="11157856" y="8084911"/>
          <a:ext cx="1167947" cy="260803"/>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 &amp; PV Table</a:t>
          </a:r>
        </a:p>
      </xdr:txBody>
    </xdr:sp>
    <xdr:clientData/>
  </xdr:twoCellAnchor>
  <xdr:twoCellAnchor>
    <xdr:from>
      <xdr:col>17</xdr:col>
      <xdr:colOff>532946</xdr:colOff>
      <xdr:row>60</xdr:row>
      <xdr:rowOff>147410</xdr:rowOff>
    </xdr:from>
    <xdr:to>
      <xdr:col>19</xdr:col>
      <xdr:colOff>453571</xdr:colOff>
      <xdr:row>62</xdr:row>
      <xdr:rowOff>22679</xdr:rowOff>
    </xdr:to>
    <xdr:sp macro="" textlink="">
      <xdr:nvSpPr>
        <xdr:cNvPr id="7" name="Rounded Rectangle 6">
          <a:hlinkClick xmlns:r="http://schemas.openxmlformats.org/officeDocument/2006/relationships" r:id="rId5"/>
        </xdr:cNvPr>
        <xdr:cNvSpPr/>
      </xdr:nvSpPr>
      <xdr:spPr>
        <a:xfrm>
          <a:off x="11089821" y="12892767"/>
          <a:ext cx="1145268" cy="26080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a:t>
          </a:r>
          <a:r>
            <a:rPr lang="en-CA" sz="1100" baseline="0"/>
            <a:t> &amp; PV </a:t>
          </a:r>
          <a:r>
            <a:rPr lang="en-CA" sz="1100"/>
            <a:t>Table</a:t>
          </a:r>
        </a:p>
      </xdr:txBody>
    </xdr:sp>
    <xdr:clientData/>
  </xdr:twoCellAnchor>
  <xdr:twoCellAnchor>
    <xdr:from>
      <xdr:col>0</xdr:col>
      <xdr:colOff>0</xdr:colOff>
      <xdr:row>7</xdr:row>
      <xdr:rowOff>79375</xdr:rowOff>
    </xdr:from>
    <xdr:to>
      <xdr:col>13</xdr:col>
      <xdr:colOff>175821</xdr:colOff>
      <xdr:row>26</xdr:row>
      <xdr:rowOff>124786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53</xdr:row>
      <xdr:rowOff>79375</xdr:rowOff>
    </xdr:from>
    <xdr:to>
      <xdr:col>13</xdr:col>
      <xdr:colOff>355821</xdr:colOff>
      <xdr:row>71</xdr:row>
      <xdr:rowOff>351517</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30</xdr:row>
      <xdr:rowOff>68036</xdr:rowOff>
    </xdr:from>
    <xdr:to>
      <xdr:col>13</xdr:col>
      <xdr:colOff>355821</xdr:colOff>
      <xdr:row>49</xdr:row>
      <xdr:rowOff>113447</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90715</xdr:colOff>
      <xdr:row>81</xdr:row>
      <xdr:rowOff>90715</xdr:rowOff>
    </xdr:from>
    <xdr:to>
      <xdr:col>19</xdr:col>
      <xdr:colOff>328840</xdr:colOff>
      <xdr:row>82</xdr:row>
      <xdr:rowOff>181429</xdr:rowOff>
    </xdr:to>
    <xdr:sp macro="" textlink="">
      <xdr:nvSpPr>
        <xdr:cNvPr id="19" name="Rounded Rectangle 18">
          <a:hlinkClick xmlns:r="http://schemas.openxmlformats.org/officeDocument/2006/relationships" r:id="rId9"/>
        </xdr:cNvPr>
        <xdr:cNvSpPr/>
      </xdr:nvSpPr>
      <xdr:spPr>
        <a:xfrm>
          <a:off x="11259911" y="17133661"/>
          <a:ext cx="850447" cy="2834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Data Table</a:t>
          </a:r>
        </a:p>
      </xdr:txBody>
    </xdr:sp>
    <xdr:clientData/>
  </xdr:twoCellAnchor>
  <xdr:twoCellAnchor>
    <xdr:from>
      <xdr:col>0</xdr:col>
      <xdr:colOff>0</xdr:colOff>
      <xdr:row>75</xdr:row>
      <xdr:rowOff>68034</xdr:rowOff>
    </xdr:from>
    <xdr:to>
      <xdr:col>13</xdr:col>
      <xdr:colOff>67821</xdr:colOff>
      <xdr:row>94</xdr:row>
      <xdr:rowOff>113444</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143</xdr:col>
      <xdr:colOff>1057275</xdr:colOff>
      <xdr:row>1</xdr:row>
      <xdr:rowOff>19050</xdr:rowOff>
    </xdr:from>
    <xdr:to>
      <xdr:col>144</xdr:col>
      <xdr:colOff>552450</xdr:colOff>
      <xdr:row>2</xdr:row>
      <xdr:rowOff>85725</xdr:rowOff>
    </xdr:to>
    <xdr:sp macro="" textlink="">
      <xdr:nvSpPr>
        <xdr:cNvPr id="2" name="Rounded Rectangle 1">
          <a:hlinkClick xmlns:r="http://schemas.openxmlformats.org/officeDocument/2006/relationships" r:id="rId1"/>
        </xdr:cNvPr>
        <xdr:cNvSpPr/>
      </xdr:nvSpPr>
      <xdr:spPr>
        <a:xfrm>
          <a:off x="127987425" y="209550"/>
          <a:ext cx="600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123825</xdr:colOff>
      <xdr:row>0</xdr:row>
      <xdr:rowOff>142874</xdr:rowOff>
    </xdr:from>
    <xdr:to>
      <xdr:col>5</xdr:col>
      <xdr:colOff>304800</xdr:colOff>
      <xdr:row>3</xdr:row>
      <xdr:rowOff>66675</xdr:rowOff>
    </xdr:to>
    <xdr:sp macro="" textlink="">
      <xdr:nvSpPr>
        <xdr:cNvPr id="2" name="Rounded Rectangle 1">
          <a:hlinkClick xmlns:r="http://schemas.openxmlformats.org/officeDocument/2006/relationships" r:id="rId1"/>
        </xdr:cNvPr>
        <xdr:cNvSpPr/>
      </xdr:nvSpPr>
      <xdr:spPr>
        <a:xfrm>
          <a:off x="4191000" y="142874"/>
          <a:ext cx="790575" cy="4953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Executive Summary</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41</xdr:col>
      <xdr:colOff>209550</xdr:colOff>
      <xdr:row>1</xdr:row>
      <xdr:rowOff>57149</xdr:rowOff>
    </xdr:from>
    <xdr:to>
      <xdr:col>41</xdr:col>
      <xdr:colOff>733425</xdr:colOff>
      <xdr:row>2</xdr:row>
      <xdr:rowOff>142874</xdr:rowOff>
    </xdr:to>
    <xdr:sp macro="" textlink="">
      <xdr:nvSpPr>
        <xdr:cNvPr id="8" name="Rounded Rectangle 7">
          <a:hlinkClick xmlns:r="http://schemas.openxmlformats.org/officeDocument/2006/relationships" r:id="rId1"/>
        </xdr:cNvPr>
        <xdr:cNvSpPr/>
      </xdr:nvSpPr>
      <xdr:spPr>
        <a:xfrm>
          <a:off x="24003000" y="247649"/>
          <a:ext cx="523875"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Sales</a:t>
          </a:r>
        </a:p>
      </xdr:txBody>
    </xdr:sp>
    <xdr:clientData/>
  </xdr:twoCellAnchor>
  <xdr:twoCellAnchor>
    <xdr:from>
      <xdr:col>14</xdr:col>
      <xdr:colOff>571500</xdr:colOff>
      <xdr:row>1</xdr:row>
      <xdr:rowOff>9524</xdr:rowOff>
    </xdr:from>
    <xdr:to>
      <xdr:col>15</xdr:col>
      <xdr:colOff>438150</xdr:colOff>
      <xdr:row>2</xdr:row>
      <xdr:rowOff>66675</xdr:rowOff>
    </xdr:to>
    <xdr:sp macro="" textlink="">
      <xdr:nvSpPr>
        <xdr:cNvPr id="20" name="Rounded Rectangle 19">
          <a:hlinkClick xmlns:r="http://schemas.openxmlformats.org/officeDocument/2006/relationships" r:id="rId1"/>
        </xdr:cNvPr>
        <xdr:cNvSpPr/>
      </xdr:nvSpPr>
      <xdr:spPr>
        <a:xfrm>
          <a:off x="11029950" y="200024"/>
          <a:ext cx="609600" cy="2476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67</xdr:col>
      <xdr:colOff>190500</xdr:colOff>
      <xdr:row>1</xdr:row>
      <xdr:rowOff>66675</xdr:rowOff>
    </xdr:from>
    <xdr:to>
      <xdr:col>68</xdr:col>
      <xdr:colOff>114300</xdr:colOff>
      <xdr:row>2</xdr:row>
      <xdr:rowOff>142875</xdr:rowOff>
    </xdr:to>
    <xdr:sp macro="" textlink="">
      <xdr:nvSpPr>
        <xdr:cNvPr id="2" name="Rounded Rectangle 1">
          <a:hlinkClick xmlns:r="http://schemas.openxmlformats.org/officeDocument/2006/relationships" r:id="rId1"/>
        </xdr:cNvPr>
        <xdr:cNvSpPr/>
      </xdr:nvSpPr>
      <xdr:spPr>
        <a:xfrm>
          <a:off x="62426850" y="257175"/>
          <a:ext cx="58102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523876</xdr:colOff>
      <xdr:row>0</xdr:row>
      <xdr:rowOff>171450</xdr:rowOff>
    </xdr:from>
    <xdr:to>
      <xdr:col>6</xdr:col>
      <xdr:colOff>504826</xdr:colOff>
      <xdr:row>2</xdr:row>
      <xdr:rowOff>47625</xdr:rowOff>
    </xdr:to>
    <xdr:sp macro="" textlink="">
      <xdr:nvSpPr>
        <xdr:cNvPr id="2" name="Rounded Rectangle 1">
          <a:hlinkClick xmlns:r="http://schemas.openxmlformats.org/officeDocument/2006/relationships" r:id="rId1"/>
        </xdr:cNvPr>
        <xdr:cNvSpPr/>
      </xdr:nvSpPr>
      <xdr:spPr>
        <a:xfrm>
          <a:off x="3581401" y="171450"/>
          <a:ext cx="59055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40</xdr:col>
      <xdr:colOff>285750</xdr:colOff>
      <xdr:row>0</xdr:row>
      <xdr:rowOff>171450</xdr:rowOff>
    </xdr:from>
    <xdr:to>
      <xdr:col>41</xdr:col>
      <xdr:colOff>314325</xdr:colOff>
      <xdr:row>2</xdr:row>
      <xdr:rowOff>57150</xdr:rowOff>
    </xdr:to>
    <xdr:sp macro="" textlink="">
      <xdr:nvSpPr>
        <xdr:cNvPr id="2" name="Rounded Rectangle 1">
          <a:hlinkClick xmlns:r="http://schemas.openxmlformats.org/officeDocument/2006/relationships" r:id="rId1"/>
        </xdr:cNvPr>
        <xdr:cNvSpPr/>
      </xdr:nvSpPr>
      <xdr:spPr>
        <a:xfrm>
          <a:off x="32918400" y="171450"/>
          <a:ext cx="6381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66675</xdr:colOff>
      <xdr:row>0</xdr:row>
      <xdr:rowOff>161925</xdr:rowOff>
    </xdr:from>
    <xdr:to>
      <xdr:col>6</xdr:col>
      <xdr:colOff>28575</xdr:colOff>
      <xdr:row>2</xdr:row>
      <xdr:rowOff>66675</xdr:rowOff>
    </xdr:to>
    <xdr:sp macro="" textlink="">
      <xdr:nvSpPr>
        <xdr:cNvPr id="2" name="Rounded Rectangle 1">
          <a:hlinkClick xmlns:r="http://schemas.openxmlformats.org/officeDocument/2006/relationships" r:id="rId1"/>
        </xdr:cNvPr>
        <xdr:cNvSpPr/>
      </xdr:nvSpPr>
      <xdr:spPr>
        <a:xfrm>
          <a:off x="3905250" y="161925"/>
          <a:ext cx="571500" cy="2857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62</xdr:col>
      <xdr:colOff>85725</xdr:colOff>
      <xdr:row>1</xdr:row>
      <xdr:rowOff>9525</xdr:rowOff>
    </xdr:from>
    <xdr:to>
      <xdr:col>63</xdr:col>
      <xdr:colOff>76200</xdr:colOff>
      <xdr:row>2</xdr:row>
      <xdr:rowOff>95250</xdr:rowOff>
    </xdr:to>
    <xdr:sp macro="" textlink="">
      <xdr:nvSpPr>
        <xdr:cNvPr id="2" name="Rounded Rectangle 1">
          <a:hlinkClick xmlns:r="http://schemas.openxmlformats.org/officeDocument/2006/relationships" r:id="rId1"/>
        </xdr:cNvPr>
        <xdr:cNvSpPr/>
      </xdr:nvSpPr>
      <xdr:spPr>
        <a:xfrm>
          <a:off x="49025175" y="200025"/>
          <a:ext cx="600075" cy="2762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523875</xdr:colOff>
      <xdr:row>0</xdr:row>
      <xdr:rowOff>133351</xdr:rowOff>
    </xdr:from>
    <xdr:to>
      <xdr:col>5</xdr:col>
      <xdr:colOff>523875</xdr:colOff>
      <xdr:row>2</xdr:row>
      <xdr:rowOff>47625</xdr:rowOff>
    </xdr:to>
    <xdr:sp macro="" textlink="">
      <xdr:nvSpPr>
        <xdr:cNvPr id="2" name="Rounded Rectangle 1">
          <a:hlinkClick xmlns:r="http://schemas.openxmlformats.org/officeDocument/2006/relationships" r:id="rId1"/>
        </xdr:cNvPr>
        <xdr:cNvSpPr/>
      </xdr:nvSpPr>
      <xdr:spPr>
        <a:xfrm>
          <a:off x="3838575" y="133351"/>
          <a:ext cx="609600" cy="2952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533400</xdr:colOff>
      <xdr:row>1</xdr:row>
      <xdr:rowOff>142875</xdr:rowOff>
    </xdr:from>
    <xdr:to>
      <xdr:col>6</xdr:col>
      <xdr:colOff>581025</xdr:colOff>
      <xdr:row>3</xdr:row>
      <xdr:rowOff>28575</xdr:rowOff>
    </xdr:to>
    <xdr:sp macro="" textlink="">
      <xdr:nvSpPr>
        <xdr:cNvPr id="3" name="Rounded Rectangle 2">
          <a:hlinkClick xmlns:r="http://schemas.openxmlformats.org/officeDocument/2006/relationships" r:id="rId1"/>
        </xdr:cNvPr>
        <xdr:cNvSpPr/>
      </xdr:nvSpPr>
      <xdr:spPr>
        <a:xfrm>
          <a:off x="4962525" y="333375"/>
          <a:ext cx="65722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7</xdr:col>
      <xdr:colOff>265600</xdr:colOff>
      <xdr:row>4</xdr:row>
      <xdr:rowOff>61912</xdr:rowOff>
    </xdr:from>
    <xdr:to>
      <xdr:col>8</xdr:col>
      <xdr:colOff>247283</xdr:colOff>
      <xdr:row>5</xdr:row>
      <xdr:rowOff>183173</xdr:rowOff>
    </xdr:to>
    <xdr:sp macro="" textlink="">
      <xdr:nvSpPr>
        <xdr:cNvPr id="3" name="Rounded Rectangle 2">
          <a:hlinkClick xmlns:r="http://schemas.openxmlformats.org/officeDocument/2006/relationships" r:id="rId1"/>
        </xdr:cNvPr>
        <xdr:cNvSpPr/>
      </xdr:nvSpPr>
      <xdr:spPr>
        <a:xfrm>
          <a:off x="5797427" y="831239"/>
          <a:ext cx="595313" cy="313593"/>
        </a:xfrm>
        <a:prstGeom prst="round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466724</xdr:colOff>
      <xdr:row>1</xdr:row>
      <xdr:rowOff>9524</xdr:rowOff>
    </xdr:from>
    <xdr:to>
      <xdr:col>12</xdr:col>
      <xdr:colOff>200025</xdr:colOff>
      <xdr:row>2</xdr:row>
      <xdr:rowOff>76199</xdr:rowOff>
    </xdr:to>
    <xdr:sp macro="" textlink="">
      <xdr:nvSpPr>
        <xdr:cNvPr id="3" name="Rounded Rectangle 2">
          <a:hlinkClick xmlns:r="http://schemas.openxmlformats.org/officeDocument/2006/relationships" r:id="rId1"/>
        </xdr:cNvPr>
        <xdr:cNvSpPr/>
      </xdr:nvSpPr>
      <xdr:spPr>
        <a:xfrm>
          <a:off x="7705724" y="200024"/>
          <a:ext cx="952501" cy="25717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Labor Charts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10</xdr:col>
      <xdr:colOff>609600</xdr:colOff>
      <xdr:row>0</xdr:row>
      <xdr:rowOff>114300</xdr:rowOff>
    </xdr:from>
    <xdr:to>
      <xdr:col>11</xdr:col>
      <xdr:colOff>323850</xdr:colOff>
      <xdr:row>2</xdr:row>
      <xdr:rowOff>19050</xdr:rowOff>
    </xdr:to>
    <xdr:sp macro="" textlink="">
      <xdr:nvSpPr>
        <xdr:cNvPr id="2" name="Rounded Rectangle 1">
          <a:hlinkClick xmlns:r="http://schemas.openxmlformats.org/officeDocument/2006/relationships" r:id="rId1"/>
        </xdr:cNvPr>
        <xdr:cNvSpPr/>
      </xdr:nvSpPr>
      <xdr:spPr>
        <a:xfrm>
          <a:off x="7924800" y="114300"/>
          <a:ext cx="323850" cy="28575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171450</xdr:colOff>
      <xdr:row>0</xdr:row>
      <xdr:rowOff>104775</xdr:rowOff>
    </xdr:from>
    <xdr:to>
      <xdr:col>13</xdr:col>
      <xdr:colOff>209550</xdr:colOff>
      <xdr:row>2</xdr:row>
      <xdr:rowOff>19050</xdr:rowOff>
    </xdr:to>
    <xdr:sp macro="" textlink="">
      <xdr:nvSpPr>
        <xdr:cNvPr id="2" name="Rounded Rectangle 1">
          <a:hlinkClick xmlns:r="http://schemas.openxmlformats.org/officeDocument/2006/relationships" r:id="rId1"/>
        </xdr:cNvPr>
        <xdr:cNvSpPr/>
      </xdr:nvSpPr>
      <xdr:spPr>
        <a:xfrm>
          <a:off x="10096500" y="104775"/>
          <a:ext cx="647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31</xdr:col>
      <xdr:colOff>123825</xdr:colOff>
      <xdr:row>1</xdr:row>
      <xdr:rowOff>47625</xdr:rowOff>
    </xdr:from>
    <xdr:to>
      <xdr:col>32</xdr:col>
      <xdr:colOff>57150</xdr:colOff>
      <xdr:row>2</xdr:row>
      <xdr:rowOff>133350</xdr:rowOff>
    </xdr:to>
    <xdr:sp macro="" textlink="">
      <xdr:nvSpPr>
        <xdr:cNvPr id="3" name="Rounded Rectangle 2">
          <a:hlinkClick xmlns:r="http://schemas.openxmlformats.org/officeDocument/2006/relationships" r:id="rId1"/>
        </xdr:cNvPr>
        <xdr:cNvSpPr/>
      </xdr:nvSpPr>
      <xdr:spPr>
        <a:xfrm>
          <a:off x="22440900" y="238125"/>
          <a:ext cx="542925"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48</xdr:col>
      <xdr:colOff>304800</xdr:colOff>
      <xdr:row>1</xdr:row>
      <xdr:rowOff>95249</xdr:rowOff>
    </xdr:from>
    <xdr:to>
      <xdr:col>49</xdr:col>
      <xdr:colOff>314325</xdr:colOff>
      <xdr:row>2</xdr:row>
      <xdr:rowOff>171450</xdr:rowOff>
    </xdr:to>
    <xdr:sp macro="" textlink="">
      <xdr:nvSpPr>
        <xdr:cNvPr id="2" name="Rounded Rectangle 1">
          <a:hlinkClick xmlns:r="http://schemas.openxmlformats.org/officeDocument/2006/relationships" r:id="rId1"/>
        </xdr:cNvPr>
        <xdr:cNvSpPr/>
      </xdr:nvSpPr>
      <xdr:spPr>
        <a:xfrm>
          <a:off x="38633400" y="285749"/>
          <a:ext cx="619125" cy="2667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23</xdr:col>
      <xdr:colOff>561975</xdr:colOff>
      <xdr:row>1</xdr:row>
      <xdr:rowOff>28575</xdr:rowOff>
    </xdr:from>
    <xdr:to>
      <xdr:col>24</xdr:col>
      <xdr:colOff>552450</xdr:colOff>
      <xdr:row>2</xdr:row>
      <xdr:rowOff>95250</xdr:rowOff>
    </xdr:to>
    <xdr:sp macro="" textlink="">
      <xdr:nvSpPr>
        <xdr:cNvPr id="2" name="Rounded Rectangle 1">
          <a:hlinkClick xmlns:r="http://schemas.openxmlformats.org/officeDocument/2006/relationships" r:id="rId1"/>
        </xdr:cNvPr>
        <xdr:cNvSpPr/>
      </xdr:nvSpPr>
      <xdr:spPr>
        <a:xfrm>
          <a:off x="18526125" y="219075"/>
          <a:ext cx="600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22</xdr:col>
      <xdr:colOff>171450</xdr:colOff>
      <xdr:row>1</xdr:row>
      <xdr:rowOff>104776</xdr:rowOff>
    </xdr:from>
    <xdr:to>
      <xdr:col>23</xdr:col>
      <xdr:colOff>190500</xdr:colOff>
      <xdr:row>2</xdr:row>
      <xdr:rowOff>180976</xdr:rowOff>
    </xdr:to>
    <xdr:sp macro="" textlink="">
      <xdr:nvSpPr>
        <xdr:cNvPr id="2" name="Rounded Rectangle 1">
          <a:hlinkClick xmlns:r="http://schemas.openxmlformats.org/officeDocument/2006/relationships" r:id="rId1"/>
        </xdr:cNvPr>
        <xdr:cNvSpPr/>
      </xdr:nvSpPr>
      <xdr:spPr>
        <a:xfrm>
          <a:off x="17345025" y="295276"/>
          <a:ext cx="628650"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26</xdr:col>
      <xdr:colOff>228600</xdr:colOff>
      <xdr:row>0</xdr:row>
      <xdr:rowOff>19050</xdr:rowOff>
    </xdr:from>
    <xdr:to>
      <xdr:col>27</xdr:col>
      <xdr:colOff>276225</xdr:colOff>
      <xdr:row>1</xdr:row>
      <xdr:rowOff>28575</xdr:rowOff>
    </xdr:to>
    <xdr:sp macro="" textlink="">
      <xdr:nvSpPr>
        <xdr:cNvPr id="5" name="Rounded Rectangle 4">
          <a:hlinkClick xmlns:r="http://schemas.openxmlformats.org/officeDocument/2006/relationships" r:id="rId1"/>
        </xdr:cNvPr>
        <xdr:cNvSpPr/>
      </xdr:nvSpPr>
      <xdr:spPr>
        <a:xfrm>
          <a:off x="22860000" y="19050"/>
          <a:ext cx="733425" cy="2000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Chart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42</xdr:col>
      <xdr:colOff>4764</xdr:colOff>
      <xdr:row>2</xdr:row>
      <xdr:rowOff>61913</xdr:rowOff>
    </xdr:from>
    <xdr:to>
      <xdr:col>44</xdr:col>
      <xdr:colOff>3</xdr:colOff>
      <xdr:row>4</xdr:row>
      <xdr:rowOff>4763</xdr:rowOff>
    </xdr:to>
    <xdr:sp macro="" textlink="">
      <xdr:nvSpPr>
        <xdr:cNvPr id="2" name="Right Brace 1"/>
        <xdr:cNvSpPr/>
      </xdr:nvSpPr>
      <xdr:spPr>
        <a:xfrm rot="16200000">
          <a:off x="29053634" y="-831057"/>
          <a:ext cx="514350" cy="3062289"/>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CA" sz="1100"/>
        </a:p>
      </xdr:txBody>
    </xdr:sp>
    <xdr:clientData/>
  </xdr:twoCellAnchor>
  <xdr:twoCellAnchor>
    <xdr:from>
      <xdr:col>44</xdr:col>
      <xdr:colOff>19050</xdr:colOff>
      <xdr:row>1</xdr:row>
      <xdr:rowOff>47625</xdr:rowOff>
    </xdr:from>
    <xdr:to>
      <xdr:col>46</xdr:col>
      <xdr:colOff>0</xdr:colOff>
      <xdr:row>2</xdr:row>
      <xdr:rowOff>180975</xdr:rowOff>
    </xdr:to>
    <xdr:sp macro="" textlink="">
      <xdr:nvSpPr>
        <xdr:cNvPr id="3" name="Right Brace 2"/>
        <xdr:cNvSpPr/>
      </xdr:nvSpPr>
      <xdr:spPr>
        <a:xfrm rot="16200000">
          <a:off x="31856363" y="-757238"/>
          <a:ext cx="323850" cy="231457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CA" sz="1100"/>
        </a:p>
      </xdr:txBody>
    </xdr:sp>
    <xdr:clientData/>
  </xdr:twoCellAnchor>
  <xdr:twoCellAnchor>
    <xdr:from>
      <xdr:col>3</xdr:col>
      <xdr:colOff>133350</xdr:colOff>
      <xdr:row>1</xdr:row>
      <xdr:rowOff>19050</xdr:rowOff>
    </xdr:from>
    <xdr:to>
      <xdr:col>7</xdr:col>
      <xdr:colOff>495300</xdr:colOff>
      <xdr:row>4</xdr:row>
      <xdr:rowOff>0</xdr:rowOff>
    </xdr:to>
    <xdr:sp macro="" textlink="">
      <xdr:nvSpPr>
        <xdr:cNvPr id="8" name="TextBox 7"/>
        <xdr:cNvSpPr txBox="1"/>
      </xdr:nvSpPr>
      <xdr:spPr>
        <a:xfrm>
          <a:off x="2286000" y="209550"/>
          <a:ext cx="3876675" cy="7429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Customer needs to input past historical</a:t>
          </a:r>
          <a:r>
            <a:rPr lang="en-CA" sz="1100" baseline="0"/>
            <a:t> information for years beyond the gl data pulling from Global Shop </a:t>
          </a:r>
          <a:endParaRPr lang="en-CA" sz="1100"/>
        </a:p>
      </xdr:txBody>
    </xdr:sp>
    <xdr:clientData/>
  </xdr:twoCellAnchor>
  <xdr:twoCellAnchor>
    <xdr:from>
      <xdr:col>0</xdr:col>
      <xdr:colOff>0</xdr:colOff>
      <xdr:row>18</xdr:row>
      <xdr:rowOff>0</xdr:rowOff>
    </xdr:from>
    <xdr:to>
      <xdr:col>1</xdr:col>
      <xdr:colOff>19050</xdr:colOff>
      <xdr:row>19</xdr:row>
      <xdr:rowOff>47625</xdr:rowOff>
    </xdr:to>
    <xdr:sp macro="" textlink="">
      <xdr:nvSpPr>
        <xdr:cNvPr id="4" name="Rounded Rectangle 3">
          <a:hlinkClick xmlns:r="http://schemas.openxmlformats.org/officeDocument/2006/relationships" r:id="rId1"/>
        </xdr:cNvPr>
        <xdr:cNvSpPr/>
      </xdr:nvSpPr>
      <xdr:spPr>
        <a:xfrm>
          <a:off x="0" y="3838575"/>
          <a:ext cx="1095375" cy="2381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Dupont</a:t>
          </a:r>
          <a:r>
            <a:rPr lang="en-CA" sz="1100" baseline="0"/>
            <a:t> Model</a:t>
          </a:r>
          <a:endParaRPr lang="en-CA" sz="1100"/>
        </a:p>
      </xdr:txBody>
    </xdr:sp>
    <xdr:clientData/>
  </xdr:twoCellAnchor>
  <xdr:twoCellAnchor>
    <xdr:from>
      <xdr:col>0</xdr:col>
      <xdr:colOff>0</xdr:colOff>
      <xdr:row>22</xdr:row>
      <xdr:rowOff>9525</xdr:rowOff>
    </xdr:from>
    <xdr:to>
      <xdr:col>2</xdr:col>
      <xdr:colOff>57150</xdr:colOff>
      <xdr:row>28</xdr:row>
      <xdr:rowOff>161925</xdr:rowOff>
    </xdr:to>
    <xdr:sp macro="" textlink="">
      <xdr:nvSpPr>
        <xdr:cNvPr id="5" name="Up Arrow 4"/>
        <xdr:cNvSpPr/>
      </xdr:nvSpPr>
      <xdr:spPr>
        <a:xfrm>
          <a:off x="0" y="4610100"/>
          <a:ext cx="1905000" cy="12954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Enter</a:t>
          </a:r>
          <a:r>
            <a:rPr lang="en-CA" sz="1100" baseline="0"/>
            <a:t> Year of info to include in Dupont Ratio</a:t>
          </a:r>
          <a:endParaRPr lang="en-CA" sz="1100"/>
        </a:p>
      </xdr:txBody>
    </xdr:sp>
    <xdr:clientData/>
  </xdr:twoCellAnchor>
  <xdr:twoCellAnchor>
    <xdr:from>
      <xdr:col>8</xdr:col>
      <xdr:colOff>228600</xdr:colOff>
      <xdr:row>0</xdr:row>
      <xdr:rowOff>76200</xdr:rowOff>
    </xdr:from>
    <xdr:to>
      <xdr:col>9</xdr:col>
      <xdr:colOff>800100</xdr:colOff>
      <xdr:row>2</xdr:row>
      <xdr:rowOff>0</xdr:rowOff>
    </xdr:to>
    <xdr:sp macro="" textlink="">
      <xdr:nvSpPr>
        <xdr:cNvPr id="6" name="Rounded Rectangle 5">
          <a:hlinkClick xmlns:r="http://schemas.openxmlformats.org/officeDocument/2006/relationships" r:id="rId2"/>
        </xdr:cNvPr>
        <xdr:cNvSpPr/>
      </xdr:nvSpPr>
      <xdr:spPr>
        <a:xfrm>
          <a:off x="7362825" y="76200"/>
          <a:ext cx="1409700" cy="304800"/>
        </a:xfrm>
        <a:prstGeom prst="roundRect">
          <a:avLst/>
        </a:prstGeom>
        <a:solidFill>
          <a:schemeClr val="accent6">
            <a:lumMod val="75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Executive Summary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10</xdr:col>
      <xdr:colOff>215081</xdr:colOff>
      <xdr:row>0</xdr:row>
      <xdr:rowOff>194596</xdr:rowOff>
    </xdr:from>
    <xdr:to>
      <xdr:col>12</xdr:col>
      <xdr:colOff>20484</xdr:colOff>
      <xdr:row>4</xdr:row>
      <xdr:rowOff>174113</xdr:rowOff>
    </xdr:to>
    <xdr:sp macro="" textlink="">
      <xdr:nvSpPr>
        <xdr:cNvPr id="7" name="Rounded Rectangle 6">
          <a:hlinkClick xmlns:r="http://schemas.openxmlformats.org/officeDocument/2006/relationships" r:id="rId1"/>
        </xdr:cNvPr>
        <xdr:cNvSpPr/>
      </xdr:nvSpPr>
      <xdr:spPr>
        <a:xfrm>
          <a:off x="7968226" y="194596"/>
          <a:ext cx="1034435" cy="7579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YOY</a:t>
          </a:r>
          <a:r>
            <a:rPr lang="en-CA" sz="1100" baseline="0"/>
            <a:t> Executive Summary</a:t>
          </a:r>
          <a:endParaRPr lang="en-CA"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_rels/pivotCacheDefinition24.xml.rels><?xml version="1.0" encoding="UTF-8" standalone="yes"?>
<Relationships xmlns="http://schemas.openxmlformats.org/package/2006/relationships"><Relationship Id="rId1" Type="http://schemas.openxmlformats.org/officeDocument/2006/relationships/pivotCacheRecords" Target="pivotCacheRecords24.xml"/></Relationships>
</file>

<file path=xl/pivotCache/_rels/pivotCacheDefinition25.xml.rels><?xml version="1.0" encoding="UTF-8" standalone="yes"?>
<Relationships xmlns="http://schemas.openxmlformats.org/package/2006/relationships"><Relationship Id="rId1" Type="http://schemas.openxmlformats.org/officeDocument/2006/relationships/pivotCacheRecords" Target="pivotCacheRecords25.xml"/></Relationships>
</file>

<file path=xl/pivotCache/_rels/pivotCacheDefinition26.xml.rels><?xml version="1.0" encoding="UTF-8" standalone="yes"?>
<Relationships xmlns="http://schemas.openxmlformats.org/package/2006/relationships"><Relationship Id="rId1" Type="http://schemas.openxmlformats.org/officeDocument/2006/relationships/pivotCacheRecords" Target="pivotCacheRecords26.xml"/></Relationships>
</file>

<file path=xl/pivotCache/_rels/pivotCacheDefinition27.xml.rels><?xml version="1.0" encoding="UTF-8" standalone="yes"?>
<Relationships xmlns="http://schemas.openxmlformats.org/package/2006/relationships"><Relationship Id="rId1" Type="http://schemas.openxmlformats.org/officeDocument/2006/relationships/pivotCacheRecords" Target="pivotCacheRecords27.xml"/></Relationships>
</file>

<file path=xl/pivotCache/_rels/pivotCacheDefinition28.xml.rels><?xml version="1.0" encoding="UTF-8" standalone="yes"?>
<Relationships xmlns="http://schemas.openxmlformats.org/package/2006/relationships"><Relationship Id="rId1" Type="http://schemas.openxmlformats.org/officeDocument/2006/relationships/pivotCacheRecords" Target="pivotCacheRecords28.xml"/></Relationships>
</file>

<file path=xl/pivotCache/_rels/pivotCacheDefinition29.xml.rels><?xml version="1.0" encoding="UTF-8" standalone="yes"?>
<Relationships xmlns="http://schemas.openxmlformats.org/package/2006/relationships"><Relationship Id="rId1" Type="http://schemas.openxmlformats.org/officeDocument/2006/relationships/pivotCacheRecords" Target="pivotCacheRecords29.xml"/></Relationships>
</file>

<file path=xl/pivotCache/_rels/pivotCacheDefinition30.xml.rels><?xml version="1.0" encoding="UTF-8" standalone="yes"?>
<Relationships xmlns="http://schemas.openxmlformats.org/package/2006/relationships"><Relationship Id="rId1" Type="http://schemas.openxmlformats.org/officeDocument/2006/relationships/pivotCacheRecords" Target="pivotCacheRecords30.xml"/></Relationships>
</file>

<file path=xl/pivotCache/_rels/pivotCacheDefinition31.xml.rels><?xml version="1.0" encoding="UTF-8" standalone="yes"?>
<Relationships xmlns="http://schemas.openxmlformats.org/package/2006/relationships"><Relationship Id="rId1" Type="http://schemas.openxmlformats.org/officeDocument/2006/relationships/pivotCacheRecords" Target="pivotCacheRecords31.xml"/></Relationships>
</file>

<file path=xl/pivotCache/_rels/pivotCacheDefinition32.xml.rels><?xml version="1.0" encoding="UTF-8" standalone="yes"?>
<Relationships xmlns="http://schemas.openxmlformats.org/package/2006/relationships"><Relationship Id="rId1" Type="http://schemas.openxmlformats.org/officeDocument/2006/relationships/pivotCacheRecords" Target="pivotCacheRecords32.xml"/></Relationships>
</file>

<file path=xl/pivotCache/_rels/pivotCacheDefinition33.xml.rels><?xml version="1.0" encoding="UTF-8" standalone="yes"?>
<Relationships xmlns="http://schemas.openxmlformats.org/package/2006/relationships"><Relationship Id="rId1" Type="http://schemas.openxmlformats.org/officeDocument/2006/relationships/pivotCacheRecords" Target="pivotCacheRecords33.xml"/></Relationships>
</file>

<file path=xl/pivotCache/_rels/pivotCacheDefinition34.xml.rels><?xml version="1.0" encoding="UTF-8" standalone="yes"?>
<Relationships xmlns="http://schemas.openxmlformats.org/package/2006/relationships"><Relationship Id="rId1" Type="http://schemas.openxmlformats.org/officeDocument/2006/relationships/pivotCacheRecords" Target="pivotCacheRecords34.xml"/></Relationships>
</file>

<file path=xl/pivotCache/_rels/pivotCacheDefinition35.xml.rels><?xml version="1.0" encoding="UTF-8" standalone="yes"?>
<Relationships xmlns="http://schemas.openxmlformats.org/package/2006/relationships"><Relationship Id="rId1" Type="http://schemas.openxmlformats.org/officeDocument/2006/relationships/pivotCacheRecords" Target="pivotCacheRecords35.xml"/></Relationships>
</file>

<file path=xl/pivotCache/_rels/pivotCacheDefinition36.xml.rels><?xml version="1.0" encoding="UTF-8" standalone="yes"?>
<Relationships xmlns="http://schemas.openxmlformats.org/package/2006/relationships"><Relationship Id="rId1" Type="http://schemas.openxmlformats.org/officeDocument/2006/relationships/pivotCacheRecords" Target="pivotCacheRecords36.xml"/></Relationships>
</file>

<file path=xl/pivotCache/_rels/pivotCacheDefinition37.xml.rels><?xml version="1.0" encoding="UTF-8" standalone="yes"?>
<Relationships xmlns="http://schemas.openxmlformats.org/package/2006/relationships"><Relationship Id="rId1" Type="http://schemas.openxmlformats.org/officeDocument/2006/relationships/pivotCacheRecords" Target="pivotCacheRecords37.xml"/></Relationships>
</file>

<file path=xl/pivotCache/_rels/pivotCacheDefinition38.xml.rels><?xml version="1.0" encoding="UTF-8" standalone="yes"?>
<Relationships xmlns="http://schemas.openxmlformats.org/package/2006/relationships"><Relationship Id="rId1" Type="http://schemas.openxmlformats.org/officeDocument/2006/relationships/pivotCacheRecords" Target="pivotCacheRecords38.xml"/></Relationships>
</file>

<file path=xl/pivotCache/_rels/pivotCacheDefinition39.xml.rels><?xml version="1.0" encoding="UTF-8" standalone="yes"?>
<Relationships xmlns="http://schemas.openxmlformats.org/package/2006/relationships"><Relationship Id="rId1" Type="http://schemas.openxmlformats.org/officeDocument/2006/relationships/pivotCacheRecords" Target="pivotCacheRecords39.xml"/></Relationships>
</file>

<file path=xl/pivotCache/_rels/pivotCacheDefinition40.xml.rels><?xml version="1.0" encoding="UTF-8" standalone="yes"?>
<Relationships xmlns="http://schemas.openxmlformats.org/package/2006/relationships"><Relationship Id="rId1" Type="http://schemas.openxmlformats.org/officeDocument/2006/relationships/pivotCacheRecords" Target="pivotCacheRecords40.xml"/></Relationships>
</file>

<file path=xl/pivotCache/_rels/pivotCacheDefinition41.xml.rels><?xml version="1.0" encoding="UTF-8" standalone="yes"?>
<Relationships xmlns="http://schemas.openxmlformats.org/package/2006/relationships"><Relationship Id="rId1" Type="http://schemas.openxmlformats.org/officeDocument/2006/relationships/pivotCacheRecords" Target="pivotCacheRecords41.xml"/></Relationships>
</file>

<file path=xl/pivotCache/_rels/pivotCacheDefinition42.xml.rels><?xml version="1.0" encoding="UTF-8" standalone="yes"?>
<Relationships xmlns="http://schemas.openxmlformats.org/package/2006/relationships"><Relationship Id="rId1" Type="http://schemas.openxmlformats.org/officeDocument/2006/relationships/pivotCacheRecords" Target="pivotCacheRecords42.xml"/></Relationships>
</file>

<file path=xl/pivotCache/_rels/pivotCacheDefinition43.xml.rels><?xml version="1.0" encoding="UTF-8" standalone="yes"?>
<Relationships xmlns="http://schemas.openxmlformats.org/package/2006/relationships"><Relationship Id="rId1" Type="http://schemas.openxmlformats.org/officeDocument/2006/relationships/pivotCacheRecords" Target="pivotCacheRecords43.xml"/></Relationships>
</file>

<file path=xl/pivotCache/_rels/pivotCacheDefinition44.xml.rels><?xml version="1.0" encoding="UTF-8" standalone="yes"?>
<Relationships xmlns="http://schemas.openxmlformats.org/package/2006/relationships"><Relationship Id="rId1" Type="http://schemas.openxmlformats.org/officeDocument/2006/relationships/pivotCacheRecords" Target="pivotCacheRecords44.xml"/></Relationships>
</file>

<file path=xl/pivotCache/pivotCacheDefinition1.xml><?xml version="1.0" encoding="utf-8"?>
<pivotCacheDefinition xmlns="http://schemas.openxmlformats.org/spreadsheetml/2006/main" xmlns:r="http://schemas.openxmlformats.org/officeDocument/2006/relationships" r:id="rId1" refreshedBy="Ryan Fisher" refreshedDate="42429.45160763889" createdVersion="5" refreshedVersion="5" minRefreshableVersion="3" recordCount="31">
  <cacheSource type="worksheet">
    <worksheetSource ref="CG2:CL57" sheet="SALES_RU"/>
  </cacheSource>
  <cacheFields count="6">
    <cacheField name="RU_YEAR" numFmtId="0">
      <sharedItems containsString="0" containsBlank="1" containsNumber="1" containsInteger="1" minValue="2013" maxValue="2016" count="5">
        <n v="2016"/>
        <n v="2015"/>
        <n v="2014"/>
        <m/>
        <n v="2013" u="1"/>
      </sharedItems>
    </cacheField>
    <cacheField name="RU_MONTH" numFmtId="0">
      <sharedItems containsString="0" containsBlank="1" containsNumber="1" containsInteger="1" minValue="1" maxValue="12"/>
    </cacheField>
    <cacheField name="AVG_SALES_INV" numFmtId="0">
      <sharedItems containsString="0" containsBlank="1" containsNumber="1" minValue="0" maxValue="520296"/>
    </cacheField>
    <cacheField name="AVG_SALES_UNIT" numFmtId="0">
      <sharedItems containsString="0" containsBlank="1" containsNumber="1" minValue="0" maxValue="570.5"/>
    </cacheField>
    <cacheField name="MONTH_CHAR" numFmtId="0">
      <sharedItems containsBlank="1" count="13">
        <s v="Sep"/>
        <s v="Aug"/>
        <s v="Jul"/>
        <s v="Jun"/>
        <s v="May"/>
        <s v="Apr"/>
        <s v="Mar"/>
        <s v="Feb"/>
        <s v="Jan"/>
        <s v="Dec"/>
        <s v="Nov"/>
        <s v="Oct"/>
        <m/>
      </sharedItems>
    </cacheField>
    <cacheField name="PERIOD" numFmtId="0">
      <sharedItems containsString="0" containsBlank="1" containsNumber="1" containsInteger="1" minValue="1" maxValue="12" count="13">
        <n v="2"/>
        <n v="1"/>
        <n v="12"/>
        <n v="11"/>
        <n v="10"/>
        <n v="9"/>
        <n v="8"/>
        <n v="7"/>
        <n v="6"/>
        <n v="5"/>
        <n v="4"/>
        <n v="3"/>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oddi" refreshedDate="42428.748633449075" createdVersion="5" refreshedVersion="5" minRefreshableVersion="3" recordCount="7">
  <cacheSource type="worksheet">
    <worksheetSource ref="AR5:AU12" sheet="Production - Data"/>
  </cacheSource>
  <cacheFields count="4">
    <cacheField name="Vendor" numFmtId="0">
      <sharedItems count="7">
        <s v="Vendor A"/>
        <s v="Vendor B"/>
        <s v="Vendor C"/>
        <s v="Vendor D"/>
        <s v="Vendor E"/>
        <s v="Vendor F"/>
        <s v="Vendor G"/>
      </sharedItems>
    </cacheField>
    <cacheField name="Total Parts" numFmtId="0">
      <sharedItems containsSemiMixedTypes="0" containsString="0" containsNumber="1" containsInteger="1" minValue="25305" maxValue="65252"/>
    </cacheField>
    <cacheField name="Total Rejects" numFmtId="0">
      <sharedItems containsSemiMixedTypes="0" containsString="0" containsNumber="1" containsInteger="1" minValue="1352" maxValue="4525"/>
    </cacheField>
    <cacheField name="% o Rejects" numFmtId="10">
      <sharedItems containsSemiMixedTypes="0" containsString="0" containsNumber="1" minValue="5.3428176249753011E-2" maxValue="8.9888689239959865E-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Michelle Mercurio" refreshedDate="42486.726719328704" createdVersion="5" refreshedVersion="5" minRefreshableVersion="3" recordCount="31">
  <cacheSource type="worksheet">
    <worksheetSource ref="L2:R46" sheet="SALES_RU"/>
  </cacheSource>
  <cacheFields count="7">
    <cacheField name="RU_YEAR" numFmtId="0">
      <sharedItems containsString="0" containsBlank="1" containsNumber="1" containsInteger="1" minValue="2014" maxValue="2016" count="4">
        <n v="2015"/>
        <n v="2014"/>
        <n v="2016"/>
        <m/>
      </sharedItems>
    </cacheField>
    <cacheField name="RU_MONTH" numFmtId="0">
      <sharedItems containsString="0" containsBlank="1" containsNumber="1" containsInteger="1" minValue="1" maxValue="12"/>
    </cacheField>
    <cacheField name="SALES" numFmtId="0">
      <sharedItems containsString="0" containsBlank="1" containsNumber="1" containsInteger="1" minValue="0" maxValue="36739393"/>
    </cacheField>
    <cacheField name="BUDGET" numFmtId="0">
      <sharedItems containsString="0" containsBlank="1" containsNumber="1" minValue="12675792.76" maxValue="12675792.76"/>
    </cacheField>
    <cacheField name="PER_OF_BUDGET" numFmtId="0">
      <sharedItems containsString="0" containsBlank="1" containsNumber="1" minValue="0" maxValue="289.83999999999997"/>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Michelle Mercurio" refreshedDate="42486.726719675928" createdVersion="5" refreshedVersion="5" minRefreshableVersion="3" recordCount="28">
  <cacheSource type="worksheet">
    <worksheetSource ref="CX2:DA30" sheet="SALES_RU"/>
  </cacheSource>
  <cacheFields count="4">
    <cacheField name="PRODUCT_LINE" numFmtId="0">
      <sharedItems containsBlank="1" count="17">
        <s v="FG"/>
        <s v="RM"/>
        <m/>
        <s v="" u="1"/>
        <s v="NO" u="1"/>
        <s v="SK" u="1"/>
        <s v="CC" u="1"/>
        <s v="CO" u="1"/>
        <s v="SD" u="1"/>
        <s v="CS" u="1"/>
        <s v="SJ" u="1"/>
        <s v="SN" u="1"/>
        <s v="HW" u="1"/>
        <s v="SP" u="1"/>
        <s v="CF" u="1"/>
        <s v="SA" u="1"/>
        <s v="CN" u="1"/>
      </sharedItems>
    </cacheField>
    <cacheField name="SALES" numFmtId="0">
      <sharedItems containsString="0" containsBlank="1" containsNumber="1" containsInteger="1" minValue="655208" maxValue="271306083"/>
    </cacheField>
    <cacheField name="RU_YEAR" numFmtId="0">
      <sharedItems containsString="0" containsBlank="1" containsNumber="1" containsInteger="1" minValue="2014" maxValue="2016" count="4">
        <n v="2014"/>
        <n v="2015"/>
        <n v="2016"/>
        <m/>
      </sharedItems>
    </cacheField>
    <cacheField name="GM_PERCENT" numFmtId="0">
      <sharedItems containsString="0" containsBlank="1" containsNumber="1" minValue="0" maxValue="43.1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Michelle Mercurio" refreshedDate="42486.726719907405" createdVersion="5" refreshedVersion="5" minRefreshableVersion="3" recordCount="2">
  <cacheSource type="worksheet">
    <worksheetSource ref="A2:I42" sheet="P2_ONTIME_RU"/>
  </cacheSource>
  <cacheFields count="9">
    <cacheField name="WC" numFmtId="0">
      <sharedItems containsNonDate="0" containsString="0" containsBlank="1"/>
    </cacheField>
    <cacheField name="RU_YEAR" numFmtId="0">
      <sharedItems containsNonDate="0" containsString="0" containsBlank="1" containsNumber="1" containsInteger="1" minValue="1900" maxValue="2016" count="5">
        <m/>
        <n v="2014" u="1"/>
        <n v="1900" u="1"/>
        <n v="2015" u="1"/>
        <n v="2016" u="1"/>
      </sharedItems>
    </cacheField>
    <cacheField name="ONTIME" numFmtId="0">
      <sharedItems containsNonDate="0" containsString="0" containsBlank="1"/>
    </cacheField>
    <cacheField name="LATE" numFmtId="0">
      <sharedItems containsNonDate="0" containsString="0" containsBlank="1"/>
    </cacheField>
    <cacheField name="EARLY" numFmtId="0">
      <sharedItems containsNonDate="0" containsString="0" containsBlank="1"/>
    </cacheField>
    <cacheField name="PERCENT_ON_TIME" numFmtId="0">
      <sharedItems containsNonDate="0" containsString="0" containsBlank="1"/>
    </cacheField>
    <cacheField name="RU_MONTH" numFmtId="0">
      <sharedItems containsNonDate="0" containsString="0" containsBlank="1"/>
    </cacheField>
    <cacheField name="MONTH_CHAR" numFmtId="0">
      <sharedItems containsNonDate="0" containsBlank="1" count="13">
        <m/>
        <s v="Sep" u="1"/>
        <s v="Jan" u="1"/>
        <s v="Feb" u="1"/>
        <s v="Apr" u="1"/>
        <s v="Nov" u="1"/>
        <s v="Dec" u="1"/>
        <s v="Oct" u="1"/>
        <s v="Jul" u="1"/>
        <s v="Mar" u="1"/>
        <s v="Aug" u="1"/>
        <s v="Jun" u="1"/>
        <s v="May" u="1"/>
      </sharedItems>
    </cacheField>
    <cacheField name="PERIOD" numFmtId="0">
      <sharedItems containsNonDate="0" containsString="0" containsBlank="1" containsNumber="1" containsInteger="1" minValue="0" maxValue="12" count="14">
        <m/>
        <n v="0" u="1"/>
        <n v="5" u="1"/>
        <n v="2" u="1"/>
        <n v="6" u="1"/>
        <n v="7" u="1"/>
        <n v="1" u="1"/>
        <n v="3" u="1"/>
        <n v="8" u="1"/>
        <n v="9" u="1"/>
        <n v="10" u="1"/>
        <n v="11" u="1"/>
        <n v="4" u="1"/>
        <n v="12"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Michelle Mercurio" refreshedDate="42486.726720370367" createdVersion="5" refreshedVersion="5" minRefreshableVersion="3" recordCount="22">
  <cacheSource type="worksheet">
    <worksheetSource ref="BM2:BO24" sheet="SALES_RU"/>
  </cacheSource>
  <cacheFields count="3">
    <cacheField name="RU_YEAR" numFmtId="0">
      <sharedItems containsString="0" containsBlank="1" containsNumber="1" containsInteger="1" minValue="2015" maxValue="2015" count="2">
        <n v="2015"/>
        <m/>
      </sharedItems>
    </cacheField>
    <cacheField name="SIC_CODE" numFmtId="0">
      <sharedItems containsBlank="1" count="14">
        <m/>
        <s v=""/>
        <s v="4955" u="1"/>
        <s v="5052" u="1"/>
        <s v="2" u="1"/>
        <s v="5020" u="1"/>
        <s v="5250" u="1"/>
        <s v="5080" u="1"/>
        <s v="2520" u="1"/>
        <s v="200" u="1"/>
        <s v="3711" u="1"/>
        <s v="2200" u="1"/>
        <s v="2431" u="1"/>
        <s v="5063" u="1"/>
      </sharedItems>
    </cacheField>
    <cacheField name="SALES" numFmtId="0">
      <sharedItems containsString="0" containsBlank="1" containsNumber="1" containsInteger="1" minValue="480592" maxValue="281016087"/>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Michelle Mercurio" refreshedDate="42486.72672071759" createdVersion="5" refreshedVersion="5" minRefreshableVersion="3" recordCount="22">
  <cacheSource type="worksheet">
    <worksheetSource ref="BQ2:BS24" sheet="SALES_RU"/>
  </cacheSource>
  <cacheFields count="3">
    <cacheField name="RU_YEAR" numFmtId="0">
      <sharedItems containsString="0" containsBlank="1" containsNumber="1" containsInteger="1" minValue="2016" maxValue="2016" count="2">
        <n v="2016"/>
        <m/>
      </sharedItems>
    </cacheField>
    <cacheField name="SIC_CODE" numFmtId="0">
      <sharedItems containsBlank="1" count="9">
        <m/>
        <s v=""/>
        <s v="200" u="1"/>
        <s v="5250" u="1"/>
        <s v="3711" u="1"/>
        <s v="5052" u="1"/>
        <s v="2520" u="1"/>
        <s v="5020" u="1"/>
        <s v="2" u="1"/>
      </sharedItems>
    </cacheField>
    <cacheField name="SALES" numFmtId="0">
      <sharedItems containsString="0" containsBlank="1" containsNumber="1" containsInteger="1" minValue="237462" maxValue="1092622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Michelle Mercurio" refreshedDate="42486.726720949075" createdVersion="5" refreshedVersion="5" minRefreshableVersion="3" recordCount="3">
  <cacheSource type="worksheet">
    <worksheetSource ref="A2:E291" sheet="Quality_RU_RMA"/>
  </cacheSource>
  <cacheFields count="5">
    <cacheField name="RU_YEAR" numFmtId="0">
      <sharedItems containsNonDate="0" containsString="0" containsBlank="1" containsNumber="1" containsInteger="1" minValue="1900" maxValue="2016" count="5">
        <m/>
        <n v="2014" u="1"/>
        <n v="1900" u="1"/>
        <n v="2015" u="1"/>
        <n v="2016" u="1"/>
      </sharedItems>
    </cacheField>
    <cacheField name="RU_MONTH" numFmtId="0">
      <sharedItems containsNonDate="0" containsString="0" containsBlank="1"/>
    </cacheField>
    <cacheField name="RMA_COUNT" numFmtId="0">
      <sharedItems containsNonDate="0" containsString="0" containsBlank="1"/>
    </cacheField>
    <cacheField name="MONTH_CHAR" numFmtId="0">
      <sharedItems containsNonDate="0" containsBlank="1" count="13">
        <m/>
        <s v="Sep" u="1"/>
        <s v="Jan" u="1"/>
        <s v="Feb" u="1"/>
        <s v="Apr" u="1"/>
        <s v="Nov" u="1"/>
        <s v="Dec" u="1"/>
        <s v="Oct" u="1"/>
        <s v="Jul" u="1"/>
        <s v="Mar" u="1"/>
        <s v="Aug" u="1"/>
        <s v="Jun" u="1"/>
        <s v="May" u="1"/>
      </sharedItems>
    </cacheField>
    <cacheField name="PERIOD" numFmtId="0">
      <sharedItems containsNonDate="0" containsString="0" containsBlank="1" containsNumber="1" containsInteger="1" minValue="0" maxValue="12" count="14">
        <m/>
        <n v="0" u="1"/>
        <n v="5" u="1"/>
        <n v="2" u="1"/>
        <n v="6" u="1"/>
        <n v="7" u="1"/>
        <n v="1" u="1"/>
        <n v="3" u="1"/>
        <n v="8" u="1"/>
        <n v="9" u="1"/>
        <n v="10" u="1"/>
        <n v="11" u="1"/>
        <n v="4" u="1"/>
        <n v="12" u="1"/>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Michelle Mercurio" refreshedDate="42486.726721527775" createdVersion="5" refreshedVersion="5" minRefreshableVersion="3" recordCount="23">
  <cacheSource type="worksheet">
    <worksheetSource ref="DT2:DW25" sheet="SALES_RU"/>
  </cacheSource>
  <cacheFields count="4">
    <cacheField name="CATEGORY" numFmtId="0">
      <sharedItems containsNonDate="0" containsBlank="1" count="2">
        <m/>
        <s v="OTHER" u="1"/>
      </sharedItems>
    </cacheField>
    <cacheField name="BUDGET" numFmtId="0">
      <sharedItems containsNonDate="0" containsString="0" containsBlank="1"/>
    </cacheField>
    <cacheField name="BUDGET_BELOW" numFmtId="0">
      <sharedItems containsNonDate="0" containsString="0" containsBlank="1"/>
    </cacheField>
    <cacheField name="RU_YEAR" numFmtId="0">
      <sharedItems containsNonDate="0" containsString="0" containsBlank="1" containsNumber="1" containsInteger="1" minValue="2015" maxValue="2016" count="3">
        <m/>
        <n v="2015" u="1"/>
        <n v="2016" u="1"/>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Michelle Mercurio" refreshedDate="42486.726721874998" createdVersion="5" refreshedVersion="5" minRefreshableVersion="3" recordCount="14">
  <cacheSource type="worksheet">
    <worksheetSource ref="DO2:DR16" sheet="SALES_RU"/>
  </cacheSource>
  <cacheFields count="4">
    <cacheField name="CATEGORY" numFmtId="0">
      <sharedItems containsBlank="1" count="2">
        <s v="TARGET"/>
        <m/>
      </sharedItems>
    </cacheField>
    <cacheField name="BUDGET" numFmtId="0">
      <sharedItems containsString="0" containsBlank="1" containsNumber="1" minValue="26.03" maxValue="261.64999999999998"/>
    </cacheField>
    <cacheField name="BUDGET_BELOW" numFmtId="0">
      <sharedItems containsString="0" containsBlank="1" containsNumber="1" minValue="0" maxValue="73.97"/>
    </cacheField>
    <cacheField name="RU_YEAR" numFmtId="0">
      <sharedItems containsString="0" containsBlank="1" containsNumber="1" containsInteger="1" minValue="2015" maxValue="2016" count="3">
        <n v="2016"/>
        <n v="2015"/>
        <m/>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Michelle Mercurio" refreshedDate="42486.726722106483" createdVersion="5" refreshedVersion="5" minRefreshableVersion="3" recordCount="15">
  <cacheSource type="worksheet">
    <worksheetSource ref="DJ2:DM17" sheet="SALES_RU"/>
  </cacheSource>
  <cacheFields count="4">
    <cacheField name="CATEGORY" numFmtId="0">
      <sharedItems containsBlank="1" count="2">
        <s v="RISING STAR"/>
        <m/>
      </sharedItems>
    </cacheField>
    <cacheField name="BUDGET" numFmtId="0">
      <sharedItems containsString="0" containsBlank="1" containsNumber="1" minValue="40.39" maxValue="191.13"/>
    </cacheField>
    <cacheField name="BUDGET_BELOW" numFmtId="0">
      <sharedItems containsString="0" containsBlank="1" containsNumber="1" minValue="0" maxValue="59.61"/>
    </cacheField>
    <cacheField name="RU_YEAR" numFmtId="0">
      <sharedItems containsString="0" containsBlank="1" containsNumber="1" containsInteger="1" minValue="2015" maxValue="2016" count="3">
        <n v="2016"/>
        <n v="2015"/>
        <m/>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Michelle Mercurio" refreshedDate="42486.72672233796" createdVersion="5" refreshedVersion="5" minRefreshableVersion="3" recordCount="11">
  <cacheSource type="worksheet">
    <worksheetSource ref="DE2:DH13" sheet="SALES_RU"/>
  </cacheSource>
  <cacheFields count="4">
    <cacheField name="CATEGORY" numFmtId="0">
      <sharedItems containsBlank="1" count="2">
        <s v="TOP10"/>
        <m/>
      </sharedItems>
    </cacheField>
    <cacheField name="BUDGET" numFmtId="0">
      <sharedItems containsString="0" containsBlank="1" containsNumber="1" minValue="1.04" maxValue="184.39"/>
    </cacheField>
    <cacheField name="BUDGET_BELOW" numFmtId="0">
      <sharedItems containsString="0" containsBlank="1" containsNumber="1" minValue="0" maxValue="98.96"/>
    </cacheField>
    <cacheField name="RU_YEAR" numFmtId="0">
      <sharedItems containsString="0" containsBlank="1" containsNumber="1" containsInteger="1" minValue="2014" maxValue="2016" count="4">
        <n v="2016"/>
        <n v="2015"/>
        <n v="2014"/>
        <m/>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Michelle Mercurio" refreshedDate="42486.726722569445" createdVersion="5" refreshedVersion="5" minRefreshableVersion="3" recordCount="33">
  <cacheSource type="worksheet">
    <worksheetSource ref="CX2:DA35" sheet="SALES_RU"/>
  </cacheSource>
  <cacheFields count="4">
    <cacheField name="PRODUCT_LINE" numFmtId="0">
      <sharedItems containsBlank="1" count="17">
        <s v="FG"/>
        <s v="RM"/>
        <m/>
        <s v="" u="1"/>
        <s v="NO" u="1"/>
        <s v="SK" u="1"/>
        <s v="CC" u="1"/>
        <s v="CO" u="1"/>
        <s v="SD" u="1"/>
        <s v="CS" u="1"/>
        <s v="SJ" u="1"/>
        <s v="SN" u="1"/>
        <s v="HW" u="1"/>
        <s v="SP" u="1"/>
        <s v="CF" u="1"/>
        <s v="SA" u="1"/>
        <s v="CN" u="1"/>
      </sharedItems>
    </cacheField>
    <cacheField name="SALES" numFmtId="0">
      <sharedItems containsString="0" containsBlank="1" containsNumber="1" containsInteger="1" minValue="655208" maxValue="271306083"/>
    </cacheField>
    <cacheField name="RU_YEAR" numFmtId="0">
      <sharedItems containsString="0" containsBlank="1" containsNumber="1" containsInteger="1" minValue="2014" maxValue="2016" count="4">
        <n v="2014"/>
        <n v="2015"/>
        <n v="2016"/>
        <m/>
      </sharedItems>
    </cacheField>
    <cacheField name="GM_PERCENT" numFmtId="0">
      <sharedItems containsString="0" containsBlank="1" containsNumber="1" minValue="0" maxValue="43.1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Michelle Mercurio" refreshedDate="42486.726722916668" createdVersion="5" refreshedVersion="5" minRefreshableVersion="3" recordCount="49">
  <cacheSource type="worksheet">
    <worksheetSource ref="EG2:EM463" sheet="SALES_RU"/>
  </cacheSource>
  <cacheFields count="7">
    <cacheField name="CUSTOMER_NAME" numFmtId="0">
      <sharedItems containsBlank="1" count="431">
        <m/>
        <s v="HOTH BASE"/>
        <s v="TATOOINE BASE 4"/>
        <s v="BESPIN BASE"/>
        <s v="ALDERAAN AIRPORT"/>
        <s v="CORUSCANT CRATER"/>
        <s v="DAGOBAH"/>
        <s v="KAMINO CENTER"/>
        <s v="MUSTAFAAR SYSTEMS"/>
        <s v="MYGEETO BUILDERS"/>
        <s v="DEATH STAR BUILDERS"/>
        <s v="NEUTRAL MAKERS"/>
        <s v="KASHYYK SHOPPING CENTRE"/>
        <s v="HOTH REBEL BASE"/>
        <s v="ENDOR BASE"/>
        <s v="DATHOMIR CRADLE"/>
        <s v="JAKKU COMPANY"/>
        <s v="GEONOSIS FACTORY"/>
        <s v="LOTHAL REBEL BASE"/>
        <s v="FELUCIA BASE"/>
        <s v="REBELS RULE!"/>
        <s v="NABOO BASE"/>
        <s v="NEW RYLOTH"/>
        <s v="UTAPAU BASE"/>
        <s v="GIANT STARSHIP"/>
        <s v="Callaghan Innovation" u="1"/>
        <s v="Farmlands Greytown" u="1"/>
        <s v="Tasman Crop Protection Motueka" u="1"/>
        <s v="Friske Orchards" u="1"/>
        <s v="Firestop Forestland Ltd" u="1"/>
        <s v="Schilling Farms" u="1"/>
        <s v="Traffic Management &amp;" u="1"/>
        <s v="Bunnings Gisborne" u="1"/>
        <s v="COMPANY N" u="1"/>
        <s v="Fowler Brothers" u="1"/>
        <s v="Findlaters Yamaha 2005" u="1"/>
        <s v="Mark Heckman" u="1"/>
        <s v="Bill Cahoon Farms" u="1"/>
        <s v="Farmlands Whakatane" u="1"/>
        <s v="PGG Wrightson Cambridge" u="1"/>
        <s v="Action Safety" u="1"/>
        <s v="Thompson Lawnmowers &amp; Chainsaw" u="1"/>
        <s v="Bunnings Wellington Central" u="1"/>
        <s v="Farmlands New Plymouth" u="1"/>
        <s v="Nortec Medical" u="1"/>
        <s v="CORY  Ashburton" u="1"/>
        <s v="COMPANY O" u="1"/>
        <s v="Fruitfed Supplies Gisborne" u="1"/>
        <s v="Browns Bay Mowers &amp; Heating" u="1"/>
        <s v="Carann Ltd" u="1"/>
        <s v="Swanson Saw &amp; Mower 1990" u="1"/>
        <s v="Farmlands Alexandra" u="1"/>
        <s v="Kast Farms" u="1"/>
        <s v="MICO  Napier" u="1"/>
        <s v="Blackwoods Protector Whangarei" u="1"/>
        <s v="NZ Safety Tauranga" u="1"/>
        <s v="COMPANY P" u="1"/>
        <s v="Farmlands Gisborne" u="1"/>
        <s v="Fosters Stihl Shop" u="1"/>
        <s v="Baugher Enterprises" u="1"/>
        <s v="Tiffs Engineering Limited" u="1"/>
        <s v="HortiCentre Whangarei" u="1"/>
        <s v="Southern Workwear Gore" u="1"/>
        <s v="Joanna Jury" u="1"/>
        <s v="Aorangi Merchants" u="1"/>
        <s v="G &amp; J Swann Ltd" u="1"/>
        <s v="SES Direct Ltd" u="1"/>
        <s v="Blackwoods Protector Petone" u="1"/>
        <s v="Stihl Shop Greytown" u="1"/>
        <s v="Blackwoods Protector Avondale" u="1"/>
        <s v="Bunnings Shirley" u="1"/>
        <s v="Pine Tree Apple Orchard" u="1"/>
        <s v="Tasman Safety" u="1"/>
        <s v="Amare Hamilton" u="1"/>
        <s v="Cama Products Ltd" u="1"/>
        <s v="Levin Sawmakers 1996 Ltd" u="1"/>
        <s v="Bunnings Hamilton" u="1"/>
        <s v="COMPANY Q" u="1"/>
        <s v="PGG Wrightson Fielding" u="1"/>
        <s v="Blackwoods Protector Hamilton" u="1"/>
        <s v="CORY  Tokoroa" u="1"/>
        <s v="Farmlands Cromwell" u="1"/>
        <s v="CB Norwood Farm Machinery" u="1"/>
        <s v="Robbies Mechanical Services" u="1"/>
        <s v="Oamaru Chainsaw &amp; Mower" u="1"/>
        <s v="Bunnings Riccarton" u="1"/>
        <s v="Cory's Pukekohe" u="1"/>
        <s v="CASHSALE" u="1"/>
        <s v="CORY  Kerikeri" u="1"/>
        <s v="Eddie Smith" u="1"/>
        <s v="Woodchuck Equipment NSW" u="1"/>
        <s v="Domino Textiles" u="1"/>
        <s v="COMPANY R" u="1"/>
        <s v="Porirua Cycle &amp; Mower" u="1"/>
        <s v="Bunnings Takanini" u="1"/>
        <s v="Bunnings Mt Maunganui" u="1"/>
        <s v="POW horticulture" u="1"/>
        <s v="Adams County Nursery" u="1"/>
        <s v="HOLLABAUGH BROS." u="1"/>
        <s v="Sunrise Orchards" u="1"/>
        <s v="Rugged Valley" u="1"/>
        <s v="Farmlands Richmond" u="1"/>
        <s v="Bay Engineers Hastings" u="1"/>
        <s v="CORY  Te Rapa" u="1"/>
        <s v="Blackwoods Protector Stoke" u="1"/>
        <s v="COMPANY S" u="1"/>
        <s v="Safeworx Auckland Airport" u="1"/>
        <s v="Hayden Smith" u="1"/>
        <s v="Blackwoods Protector Rotorua" u="1"/>
        <s v="PGG Wrightson Roxburgh" u="1"/>
        <s v="CORY  Porirua" u="1"/>
        <s v="Fruitfed Supplies Richmond" u="1"/>
        <s v="Bunnings Rotorua" u="1"/>
        <s v="PGG Wrightson Lawrence" u="1"/>
        <s v="CORY  Kawerau" u="1"/>
        <s v="Talbott's Mountain Gold" u="1"/>
        <s v="Fruitfed Supplies Pukekohe" u="1"/>
        <s v="CORY  Henderson" u="1"/>
        <s v="RICE FRUIT COMPANY" u="1"/>
        <s v="Fruitfed Supplies Blenheim" u="1"/>
        <s v="Blackwoods Protector Kawerau" u="1"/>
        <s v="Woodchuck Equipment SA" u="1"/>
        <s v="COMPANY T" u="1"/>
        <s v="Tomo Saws and More Ltd" u="1"/>
        <s v="Bintec" u="1"/>
        <s v="The Metal Company (Aghire)" u="1"/>
        <s v="Active Safety NZ Limited" u="1"/>
        <s v="Stihl Shop Whakatane" u="1"/>
        <s v="PGG Wrightsons Heriot" u="1"/>
        <s v="Farmlands Blenheim" u="1"/>
        <s v="Stihl Shop Tokoroa" u="1"/>
        <s v="HortiCentre Drury" u="1"/>
        <s v="Blackwoods Protector Penrose" u="1"/>
        <s v="COMPANY U" u="1"/>
        <s v="YONDER FARMS" u="1"/>
        <s v="CORY  Taranaki St" u="1"/>
        <s v="Blackwoods Protector Tauranga" u="1"/>
        <s v="Farmlands Opotiki" u="1"/>
        <s v="Mangonui Mowers &amp; Chainsaws" u="1"/>
        <s v="Road Materials Workgear" u="1"/>
        <s v="Blackwoods Protector Timaru" u="1"/>
        <s v="Jan Langeveld" u="1"/>
        <s v="DEMARREE FARMS" u="1"/>
        <s v="Lowes Hire &amp; Engineering" u="1"/>
        <s v="Farmlands Levin" u="1"/>
        <s v="Perkins Fruit Farms" u="1"/>
        <s v="CORY  Penrose" u="1"/>
        <s v="COMPANY V" u="1"/>
        <s v="Ariens Company Pty Ltd" u="1"/>
        <s v="PGG Wrightson Amberley" u="1"/>
        <s v="Willmott's Workwear Ltd" u="1"/>
        <s v="Farmlands Cambridge/Hautapu" u="1"/>
        <s v="Shands Outdoor Power Centre" u="1"/>
        <s v="Stihl Shop Te Puke" u="1"/>
        <s v="Stihl Shop Motueka" u="1"/>
        <s v="COMPANY W" u="1"/>
        <s v="Wesfarmers -" u="1"/>
        <s v="Sugar Apple Farms" u="1"/>
        <s v="TBM (Nelson) Ltd T/A" u="1"/>
        <s v="Jay Debadts &amp; Sons" u="1"/>
        <s v="CORY  New Plymouth" u="1"/>
        <s v="Grower's Equipment Center" u="1"/>
        <s v="Tractor Lawnmower &amp; Chainsaw" u="1"/>
        <s v="Young Motors" u="1"/>
        <s v="Farmlands Whangarei" u="1"/>
        <s v="Lakewood Products" u="1"/>
        <s v="CORY  East Tamaki" u="1"/>
        <s v="COMPANY X" u="1"/>
        <s v="CORY  Rangiora" u="1"/>
        <s v="Bowman Orchards" u="1"/>
        <s v="Safety &amp; Apparel" u="1"/>
        <s v="Ray Ferri" u="1"/>
        <s v="Shaw's Wire Ropes Limited" u="1"/>
        <s v="Amare Safety" u="1"/>
        <s v="Aly Maclean Apparel Limited" u="1"/>
        <s v="Blackwoods Protector" u="1"/>
        <s v="McCallums Drycleaning" u="1"/>
        <s v="MICO  Gisborne" u="1"/>
        <s v="Bunnings Whakatane" u="1"/>
        <s v="Alterations &amp; Designer Garment" u="1"/>
        <s v="Fruitfed Supplies Levin" u="1"/>
        <s v="COMPANY Y" u="1"/>
        <s v="Fruitfed Supplies Hastings" u="1"/>
        <s v="Stihl Pty Ltd Head Office" u="1"/>
        <s v="Paragon Motorcycles" u="1"/>
        <s v="Hire Centre Wanaka" u="1"/>
        <s v="Stihl Shop Masterton" u="1"/>
        <s v="Winton Jaycees Inc" u="1"/>
        <s v="Farmlands Motueka" u="1"/>
        <s v="NZ Safety Timaru" u="1"/>
        <s v="Bay Engineers Auckland" u="1"/>
        <s v="Farmlands Kamo" u="1"/>
        <s v="Northland Farm &amp; Forestry" u="1"/>
        <s v="Bunnings Palmerston North" u="1"/>
        <s v="LR &amp; JA Smith Partnership" u="1"/>
        <s v="Echo Valley" u="1"/>
        <s v="COMPANY Z" u="1"/>
        <s v="NZ Safety Nelson" u="1"/>
        <s v="NZ Safety Napier" u="1"/>
        <s v="Farmlands Wanganui" u="1"/>
        <s v="NZ Safety New Plymouth" u="1"/>
        <s v="PGG Wrightsons Timaru" u="1"/>
        <s v="Bunnings Whangarei" u="1"/>
        <s v="Farmlands Kaitaia" u="1"/>
        <s v="CORY  Warkworth" u="1"/>
        <s v="Blackwoods Protector Albany" u="1"/>
        <s v="Taylor Mowers" u="1"/>
        <s v="Stihl Shop Rotorua" u="1"/>
        <s v="Te Aroha Mowers and Chainsaws" u="1"/>
        <s v="Garden Forest Marine" u="1"/>
        <s v="Bunnings Te Puke" u="1"/>
        <s v="Fruitfed Supplies Te Puke" u="1"/>
        <s v="NZ Safety Gisborne" u="1"/>
        <s v="NZ Safety Hamilton" u="1"/>
        <s v="Farmlands Invercargill" u="1"/>
        <s v="New Zealand Brush Co Ltd" u="1"/>
        <s v="REISTER GROWER SERVICE" u="1"/>
        <s v="Farmlands Christchurch" u="1"/>
        <s v="Acardo (Workplace Safety)" u="1"/>
        <s v="Mikes Mowers &amp; Chainsaw" u="1"/>
        <s v="MICO  Porirua" u="1"/>
        <s v="Mason Farms" u="1"/>
        <s v="Bay Trade Supplies Ltd" u="1"/>
        <s v="Trade Tested" u="1"/>
        <s v="OXLEY WRIDGE FARMS" u="1"/>
        <s v="Tammy Smith" u="1"/>
        <s v="Farmlands Kerikeri" u="1"/>
        <s v="KC Motors" u="1"/>
        <s v="Zenitec Samples" u="1"/>
        <s v="NZ Safety Palmerston North" u="1"/>
        <s v="Fruitfed Supplies Kumeu" u="1"/>
        <s v="Corys Head Office" u="1"/>
        <s v="HortiCentre Pukekohe" u="1"/>
        <s v="Papakura Lawnmowers Ltd" u="1"/>
        <s v="Valley Chainsaws &amp; Mowers" u="1"/>
        <s v="HortiCentre Tauranga" u="1"/>
        <s v="Stihl Shop Milton" u="1"/>
        <s v="CORY  Taupo" u="1"/>
        <s v="Southern Workwear" u="1"/>
        <s v="Safeworx Papakura" u="1"/>
        <s v="Claas Harvest Centre" u="1"/>
        <s v="Fruitfed Supplies Kerikeri" u="1"/>
        <s v="Monty's Mowers" u="1"/>
        <s v="Blackwoods Protector Nelson" u="1"/>
        <s v="Lawnmower &amp; Chainsaw Centre" u="1"/>
        <s v="CORY  North Shore" u="1"/>
        <s v="Farmlands Pukekohe" u="1"/>
        <s v="Otautau Tractors &amp; Machinery" u="1"/>
        <s v="Central Mowers &amp; Chainsaws" u="1"/>
        <s v="Northland Engineering Supplies" u="1"/>
        <s v="MICO  Penrose" u="1"/>
        <s v="Promotional Solutions &amp; Safety" u="1"/>
        <s v="Masson Implements" u="1"/>
        <s v="SafeBrands" u="1"/>
        <s v="CORY  Hornby" u="1"/>
        <s v="Bridenbaugh &amp; Kensinger" u="1"/>
        <s v="Leedsafe" u="1"/>
        <s v="PGG Wrightson Wanganui" u="1"/>
        <s v="Grasslands 1998 Ltd Ranui" u="1"/>
        <s v="MICO  Oamaru" u="1"/>
        <s v="Footwear and Apparel NZ Ltd" u="1"/>
        <s v="Bunnings Lyall Bay" u="1"/>
        <s v="OMC Power Equipment" u="1"/>
        <s v="MICO  Hamilton" u="1"/>
        <s v="HydroPacific Exports" u="1"/>
        <s v="Landscape and Grower Supply" u="1"/>
        <s v="Farmlands Waipukurau" u="1"/>
        <s v="ICC Parks Operations" u="1"/>
        <s v="Bunnings New Lynn" u="1"/>
        <s v="PGG Wrightson Martinborough" u="1"/>
        <s v="Farmlands Hastings" u="1"/>
        <s v="Tasman Crop Protection Renwick" u="1"/>
        <s v="Tree Crisp Orchards" u="1"/>
        <s v="Kaipara Workwear &amp; Safety" u="1"/>
        <s v="Westland Workgear" u="1"/>
        <s v="HortiCentre Massey" u="1"/>
        <s v="Wesfarmers - Head Office" u="1"/>
        <s v="Taupo Rigging Ltd T/A Terrain" u="1"/>
        <s v="Summit Tree Sales" u="1"/>
        <s v="Farmlands Matamata" u="1"/>
        <s v="NZ Safety Kilbirnie" u="1"/>
        <s v="Farmlands Wellsford" u="1"/>
        <s v="Kumeu Chainsaw &amp; Mower Service" u="1"/>
        <s v="Bunnings Porirua" u="1"/>
        <s v="Agri-Plus Ltd" u="1"/>
        <s v="Workwear &amp; Safety 2000" u="1"/>
        <s v="Farmlands Dargaville" u="1"/>
        <s v="CORY  Palmerston North" u="1"/>
        <s v="Biddy Gentleman" u="1"/>
        <s v="Bunnings Nelson" u="1"/>
        <s v="Bunnings Kaikohe" u="1"/>
        <s v="Stihl Ltd" u="1"/>
        <s v="Chrystal Bear" u="1"/>
        <s v="Brace's Orchard" u="1"/>
        <s v="Farmlands Paeroa" u="1"/>
        <s v="Mower Services Paramata" u="1"/>
        <s v="Safety at Work" u="1"/>
        <s v="COMPANY B" u="1"/>
        <s v="Whangarei Chainsaws &amp;" u="1"/>
        <s v="N. C. Equipment" u="1"/>
        <s v="Temuka Motorcycle Centre Ltd" u="1"/>
        <s v="NZ Safety Whangarei" u="1"/>
        <s v="Blackwoods Protector Blenheim" u="1"/>
        <s v="CORY  Christchurch" u="1"/>
        <s v="Fruitfed Supplies Cromwell" u="1"/>
        <s v="TRUNCALI FARMS" u="1"/>
        <s v="Cairnscorp The Canvas People" u="1"/>
        <s v="Lara Zhuraleva" u="1"/>
        <s v="COMPANY C" u="1"/>
        <s v="Stihl Shop Thames" u="1"/>
        <s v="Chainsaw &amp; Mower Services Ltd" u="1"/>
        <s v="LR &amp; JA Smith" u="1"/>
        <s v="Clarksburg Hardware" u="1"/>
        <s v="NZ Safety Glenfield" u="1"/>
        <s v="Servi DeWind" u="1"/>
        <s v="Fruitfed Supplies Motueka" u="1"/>
        <s v="KS Datthyn Farms" u="1"/>
        <s v="COMPANY D" u="1"/>
        <s v="Farmlands Te Puke" u="1"/>
        <s v="Lakeland Chainsaws &amp;" u="1"/>
        <s v="Allguard Safety &amp; Workwear" u="1"/>
        <s v="On Farm Agri Centre" u="1"/>
        <s v="Mead Mowers &amp; Chainsaws Ltd" u="1"/>
        <s v="Bunnings North Shore" u="1"/>
        <s v="Farmlands Tauranga" u="1"/>
        <s v="NZ Safety Petone" u="1"/>
        <s v="Mangawhai Small Engines" u="1"/>
        <s v="Bay Engineers Palmerston North" u="1"/>
        <s v="Bunnings Mt Roskill" u="1"/>
        <s v="Bunnings Dunedin" u="1"/>
        <s v="Lindsay Lamora" u="1"/>
        <s v="Treetools" u="1"/>
        <s v="Invercargill Education Trust" u="1"/>
        <s v="Van deWalle Farms" u="1"/>
        <s v="Mid North Honda" u="1"/>
        <s v="Roger's Orchards" u="1"/>
        <s v="NZ Safety Rotorua" u="1"/>
        <s v="Corys Silverdale" u="1"/>
        <s v="PGG Wrightson Christchurch" u="1"/>
        <s v="NZ Safety Wiri" u="1"/>
        <s v="NZ Safety Avondale" u="1"/>
        <s v="Fruitfed Supplies Alexandra" u="1"/>
        <s v="COMPANY PP" u="1"/>
        <s v="COMPANY F" u="1"/>
        <s v="CORY  Mgd Invent-Onslow St" u="1"/>
        <s v="Farmlands Otaki" u="1"/>
        <s v="Blueskin Mowers &amp; Chainsaws Lt" u="1"/>
        <s v="NZ Safety Invercargill" u="1"/>
        <s v="The Loggers Shop" u="1"/>
        <s v="Bunnings Naenae" u="1"/>
        <s v="NZ Safety Christchurch" u="1"/>
        <s v="Pivotal Irrigation Ltd" u="1"/>
        <s v="Tokoroa Power Machines" u="1"/>
        <s v="Tawa Mower Services" u="1"/>
        <s v="MICO  Hornby" u="1"/>
        <s v="COMPANY G" u="1"/>
        <s v="Action Equipment Tauranga" u="1"/>
        <s v="PowerZone Suzuki Ltd" u="1"/>
        <s v="Coastal Mowers Limited" u="1"/>
        <s v="Weld Tec Services" u="1"/>
        <s v="Safeworx Wellington" u="1"/>
        <s v="Hirepool" u="1"/>
        <s v="COMPANY H" u="1"/>
        <s v="Jim's Apple Farm" u="1"/>
        <s v="PGG Wrightson Whangarei" u="1"/>
        <s v="Bunnings Glenfield" u="1"/>
        <s v="Te Aroha Tractors &amp; Garden" u="1"/>
        <s v="Farmlands Napier" u="1"/>
        <s v="Bunnings Taupo" u="1"/>
        <s v="Len Sinclair Saws &amp; Mowers" u="1"/>
        <s v="COMPANY UU" u="1"/>
        <s v="Wilbert Fruit Farm" u="1"/>
        <s v="Mikes Chainsaws &amp; Outdoor Powe" u="1"/>
        <s v="Hansons Services" u="1"/>
        <s v="NZ Safety Hornby" u="1"/>
        <s v="COMPANY VV" u="1"/>
        <s v="Farm and Lifestyle Centre" u="1"/>
        <s v="Lory Brothers Fruit Farm" u="1"/>
        <s v="COMPANY I" u="1"/>
        <s v="NZ Safety Dunedin" u="1"/>
        <s v="COMPANY WW" u="1"/>
        <s v="PACELLO FARMS" u="1"/>
        <s v="Fruitfed Supplies Katikati" u="1"/>
        <s v="CI Safety Ltd" u="1"/>
        <s v="Bunnings Botany" u="1"/>
        <s v="Anne Willson" u="1"/>
        <s v="Bunnings Putaruru" u="1"/>
        <s v="Bunnings Mt Wellington" u="1"/>
        <s v="Farmlands Hort Hastings" u="1"/>
        <s v="Bunnings Feilding" u="1"/>
        <s v="COMPANY J" u="1"/>
        <s v="Industrial Footwear &amp; Safety" u="1"/>
        <s v="Styx Mill Clothing" u="1"/>
        <s v="Blackwoods Protector Hastings" u="1"/>
        <s v="Stihl Co Ltd" u="1"/>
        <s v="City Honda" u="1"/>
        <s v="Bunnings Blenheim" u="1"/>
        <s v="CORY  Masterton" u="1"/>
        <s v="NZ Safety Hastings" u="1"/>
        <s v="Safety Gear Company Ltd" u="1"/>
        <s v="Algoma Orchards" u="1"/>
        <s v="Workwear House (NZ) Ltd" u="1"/>
        <s v="Arne Smith" u="1"/>
        <s v="CORY  Whangarei" u="1"/>
        <s v="Windmill Farms" u="1"/>
        <s v="Feilding Chainsaw &amp;" u="1"/>
        <s v="Brett Taylor" u="1"/>
        <s v="PGG Wrightsons Takaka" u="1"/>
        <s v="Ronald Stanley" u="1"/>
        <s v="Agpro Farms" u="1"/>
        <s v="United Agri Products Ltd" u="1"/>
        <s v="McLarens Milk &amp; Water" u="1"/>
        <s v="Blackwoods Protector Dunedin" u="1"/>
        <s v="Jill McInerney" u="1"/>
        <s v="Bunnings Limited - HO" u="1"/>
        <s v="COMPANY L" u="1"/>
        <s v="Jakes Auto Electrical" u="1"/>
        <s v="Bunnings Silverdale" u="1"/>
        <s v="CORY  Greymouth" u="1"/>
        <s v="Bunnings Tokoroa" u="1"/>
        <s v="Neroli Cook" u="1"/>
        <s v="PGG Wrightson Dunedin" u="1"/>
        <s v="Bunnings Manukau" u="1"/>
        <s v="NZ Safety Penrose" u="1"/>
        <s v="DELETE" u="1"/>
        <s v="Bay Engineers Supplies" u="1"/>
        <s v="Jackson Smith" u="1"/>
        <s v="Farmlands Te Puna" u="1"/>
        <s v="NZ Safety Albany" u="1"/>
        <s v="Sentinel Pine Orchards" u="1"/>
        <s v="COMPANY M" u="1"/>
      </sharedItems>
    </cacheField>
    <cacheField name="HIST" numFmtId="0">
      <sharedItems containsString="0" containsBlank="1" containsNumber="1" containsInteger="1" minValue="1692" maxValue="141707660"/>
    </cacheField>
    <cacheField name="OPENA" numFmtId="0">
      <sharedItems containsString="0" containsBlank="1" containsNumber="1" minValue="1.44" maxValue="116396.19"/>
    </cacheField>
    <cacheField name="GRAND_TOTAL" numFmtId="0">
      <sharedItems containsString="0" containsBlank="1" containsNumber="1" minValue="406.62" maxValue="141707660"/>
    </cacheField>
    <cacheField name="CUSTOMER" numFmtId="0">
      <sharedItems containsBlank="1"/>
    </cacheField>
    <cacheField name="RU_YEAR" numFmtId="0">
      <sharedItems containsString="0" containsBlank="1" containsNumber="1" containsInteger="1" minValue="2014" maxValue="2016" count="4">
        <n v="2015"/>
        <n v="2016"/>
        <n v="2014"/>
        <m/>
      </sharedItems>
    </cacheField>
    <cacheField name="Column1"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Michelle Mercurio" refreshedDate="42486.726723263891" createdVersion="5" refreshedVersion="5" minRefreshableVersion="3" recordCount="47">
  <cacheSource type="worksheet">
    <worksheetSource ref="DY2:EE127" sheet="SALES_RU"/>
  </cacheSource>
  <cacheFields count="7">
    <cacheField name="CUSTOMER_NAME" numFmtId="0">
      <sharedItems containsBlank="1" count="866">
        <s v="HOTH BASE"/>
        <s v="TATOOINE BASE 4"/>
        <s v="BESPIN BASE"/>
        <s v="ALDERAAN AIRPORT"/>
        <s v="CORUSCANT CRATER"/>
        <s v="DAGOBAH"/>
        <s v="KAMINO CENTER"/>
        <s v="KASHYYK SHOPPING CENTRE"/>
        <s v="HOTH REBEL BASE"/>
        <s v="ENDOR BASE"/>
        <s v="DATHOMIR CRADLE"/>
        <s v="JAKKU COMPANY"/>
        <s v="GEONOSIS FACTORY"/>
        <s v="LOTHAL REBEL BASE"/>
        <s v="FELUCIA BASE"/>
        <s v="REBELS RULE!"/>
        <s v="NABOO BASE"/>
        <s v="NEW RYLOTH"/>
        <s v="UTAPAU BASE"/>
        <s v="GIANT STARSHIP"/>
        <s v="MUSTAFAAR SYSTEMS"/>
        <s v="MYGEETO BUILDERS"/>
        <s v="DEATH STAR BUILDERS"/>
        <s v="NEUTRAL MAKERS"/>
        <m/>
        <s v="Arthur Motors" u="1"/>
        <s v="Southern Motorcycles &amp; Mowers" u="1"/>
        <s v="QDL Gear Ltd" u="1"/>
        <s v="Callaghan Innovation" u="1"/>
        <s v="Farmlands Greytown" u="1"/>
        <s v="Tasman Crop Protection Motueka" u="1"/>
        <s v="Farmlands Ngatea" u="1"/>
        <s v="Friske Orchards" u="1"/>
        <s v="Firestop Forestland Ltd" u="1"/>
        <s v="Schilling Farms" u="1"/>
        <s v="PT Wisangeni Internusa" u="1"/>
        <s v="Traffic Management &amp;" u="1"/>
        <s v="Blackwoods Protector Gisborne" u="1"/>
        <s v="Bunnings Gisborne" u="1"/>
        <s v="PGG Wrightson Te Awamutu" u="1"/>
        <s v="COMPANY N" u="1"/>
        <s v="Fowler Brothers" u="1"/>
        <s v="Farmlands Trading Society" u="1"/>
        <s v="MICO  Wanaka" u="1"/>
        <s v="Bonnie Brae Fruit Farms" u="1"/>
        <s v="Mitre 10 Mega Masterton" u="1"/>
        <s v="Farmlands Fairlie" u="1"/>
        <s v="Findlaters Yamaha 2005" u="1"/>
        <s v="Blackwoods Protector Wanganui" u="1"/>
        <s v="Waffler Farms" u="1"/>
        <s v="Chainsaw &amp; Mower Service" u="1"/>
        <s v="Mark Heckman" u="1"/>
        <s v="Bill Cahoon Farms" u="1"/>
        <s v="Bio-Dream Co., Ltd" u="1"/>
        <s v="Bunnings Hawera" u="1"/>
        <s v="MICO  Victoria St" u="1"/>
        <s v="King Country Honda" u="1"/>
        <s v="Farmlands Whakatane" u="1"/>
        <s v="Canvas Plus" u="1"/>
        <s v="PGG Wrightson Cambridge" u="1"/>
        <s v="Action Safety" u="1"/>
        <s v="Thompson Lawnmowers &amp; Chainsaw" u="1"/>
        <s v="Te Rapa Mowers &amp; Chainsaws" u="1"/>
        <s v="Redwood UK" u="1"/>
        <s v="Bunnings Wellington Central" u="1"/>
        <s v="Jacks Machinery Ltd" u="1"/>
        <s v="Murupara Chainsaws" u="1"/>
        <s v="Farmlands New Plymouth" u="1"/>
        <s v="Nortec Medical" u="1"/>
        <s v="The Honda Shop" u="1"/>
        <s v="PGG Wrightson Hamilton" u="1"/>
        <s v="CORY  Ashburton" u="1"/>
        <s v="COMPANY O" u="1"/>
        <s v="MICO  Wellington Central" u="1"/>
        <s v="Fruitfed Supplies Gisborne" u="1"/>
        <s v="Browns Bay Mowers &amp; Heating" u="1"/>
        <s v="Hydralada Sales" u="1"/>
        <s v="Carann Ltd" u="1"/>
        <s v="Southland Enterprises" u="1"/>
        <s v="Swanson Saw &amp; Mower 1990" u="1"/>
        <s v="MICO  Timaru" u="1"/>
        <s v="Farmlands Alexandra" u="1"/>
        <s v="Dekker Machinery" u="1"/>
        <s v="Andrew Broad" u="1"/>
        <s v="Keyzer Fruit Farms" u="1"/>
        <s v="Kast Farms" u="1"/>
        <s v="MICO  Pukekohe" u="1"/>
        <s v="MICO  Mt Wellington" u="1"/>
        <s v="Waipara Junction Garage" u="1"/>
        <s v="MICO  Napier" u="1"/>
        <s v="Blackwoods Protector Whangarei" u="1"/>
        <s v="Stihl Shop Auckland Central" u="1"/>
        <s v="A 1 Mowers &amp; Euipment" u="1"/>
        <s v="NZ Safety Tauranga" u="1"/>
        <s v="Borchert Orchards" u="1"/>
        <s v="CORY  Gisborne" u="1"/>
        <s v="Chainsaw &amp; Mower Centre Ltd" u="1"/>
        <s v="COMPANY P" u="1"/>
        <s v="Farmlands Gisborne" u="1"/>
        <s v="Fosters Stihl Shop" u="1"/>
        <s v="Baugher Enterprises" u="1"/>
        <s v="Stihl Shop Putaruru" u="1"/>
        <s v="Tiffs Engineering Limited" u="1"/>
        <s v="HortiCentre Whangarei" u="1"/>
        <s v="Farmlands Hamilton" u="1"/>
        <s v="Southern Workwear Gore" u="1"/>
        <s v="Joanna Jury" u="1"/>
        <s v="Aorangi Merchants" u="1"/>
        <s v="G &amp; J Swann Ltd" u="1"/>
        <s v="Brita Safety" u="1"/>
        <s v="Rennhack Orchards" u="1"/>
        <s v="PGG Wrightson Whakatane" u="1"/>
        <s v="Skanwear Clothing Company" u="1"/>
        <s v="SES Direct Ltd" u="1"/>
        <s v="Smith Bros Farms" u="1"/>
        <s v="Bunnings Wanganui" u="1"/>
        <s v="Blackwoods Protector Petone" u="1"/>
        <s v="Hoopers Outdoor Power" u="1"/>
        <s v="Farmlands Taihape" u="1"/>
        <s v="Northern Rural Supplies" u="1"/>
        <s v="Bunnings Whangamata" u="1"/>
        <s v="Stihl Shop Greytown" u="1"/>
        <s v="Kaikohe Lawnmowers &amp; Chainsaws" u="1"/>
        <s v="Bloore Distributing Ltd" u="1"/>
        <s v="Blackwoods Protector Avondale" u="1"/>
        <s v="Bunnings Shirley" u="1"/>
        <s v="PGG Wrightson Kaitaia" u="1"/>
        <s v="Wakelin Engineering Ltd" u="1"/>
        <s v="Pine Tree Apple Orchard" u="1"/>
        <s v="CORY  New Lynn" u="1"/>
        <s v="PGG Wrightson Motueka" u="1"/>
        <s v="Elders Merchandise Amberley" u="1"/>
        <s v="CORY  Wanganui" u="1"/>
        <s v="Placemakers Head Office" u="1"/>
        <s v="Tasman Safety" u="1"/>
        <s v="Marlborough Mitre 10" u="1"/>
        <s v="Amare Hamilton" u="1"/>
        <s v="MICO  Invercargill" u="1"/>
        <s v="Taylor Built Ltd" u="1"/>
        <s v="Cama Products Ltd" u="1"/>
        <s v="Levin Sawmakers 1996 Ltd" u="1"/>
        <s v="Tasman Crop Protection Blenhei" u="1"/>
        <s v="MICO  Papanui" u="1"/>
        <s v="Bunnings Hamilton" u="1"/>
        <s v="COMPANY Q" u="1"/>
        <s v="PGG Wrightson Fielding" u="1"/>
        <s v="Bunnings Te Aroha" u="1"/>
        <s v="Farmlands Palmerston North" u="1"/>
        <s v="Blackwoods Protector Hamilton" u="1"/>
        <s v="CORY  Tokoroa" u="1"/>
        <s v="Tinsley Mowers" u="1"/>
        <s v="Mico New Zealand Ltd" u="1"/>
        <s v="Farmlands Cromwell" u="1"/>
        <s v="CB Norwood Farm Machinery" u="1"/>
        <s v="Robbies Mechanical Services" u="1"/>
        <s v="Oamaru Chainsaw &amp; Mower" u="1"/>
        <s v="MICO  Hastings" u="1"/>
        <s v="PGG Wrightson Otautau" u="1"/>
        <s v="MICO  Levin" u="1"/>
        <s v="Bunnings Waikanae" u="1"/>
        <s v="Bunnings Riccarton" u="1"/>
        <s v="Oamaru Motorcycles" u="1"/>
        <s v="Cory's Pukekohe" u="1"/>
        <s v="CASHSALE" u="1"/>
        <s v="Haddad Menswear" u="1"/>
        <s v="CORY  Kerikeri" u="1"/>
        <s v="Eddie Smith" u="1"/>
        <s v="Woodchuck Equipment NSW" u="1"/>
        <s v="Idea Services" u="1"/>
        <s v="Domino Textiles" u="1"/>
        <s v="COMPANY R" u="1"/>
        <s v="PGG Wrightson Thames" u="1"/>
        <s v="Porirua Cycle &amp; Mower" u="1"/>
        <s v="Bunnings Takanini" u="1"/>
        <s v="Ellmers Mowers (Husky)" u="1"/>
        <s v="PGG Wrightson Richmond" u="1"/>
        <s v="Bunnings Mt Maunganui" u="1"/>
        <s v="Craddocks Energy Centre" u="1"/>
        <s v="CORY  Rotorua" u="1"/>
        <s v="MICO  Takapuna" u="1"/>
        <s v="POW horticulture" u="1"/>
        <s v="Rustic Landscapes" u="1"/>
        <s v="Adams County Nursery" u="1"/>
        <s v="Farmlands Dannevirke" u="1"/>
        <s v="Focus Safety Ltd T/A" u="1"/>
        <s v="PGG Wrightson Porirua" u="1"/>
        <s v="Farmlands Tokoroa" u="1"/>
        <s v="The Specimen Tree Company" u="1"/>
        <s v="HOLLABAUGH BROS." u="1"/>
        <s v="Sunrise Orchards" u="1"/>
        <s v="Rugged Valley" u="1"/>
        <s v="NZ Safety Linwood" u="1"/>
        <s v="Farmlands Hawera" u="1"/>
        <s v="Farmlands Richmond" u="1"/>
        <s v="Bay Engineers Hastings" u="1"/>
        <s v="White Heron Red Barn" u="1"/>
        <s v="CORY  Te Rapa" u="1"/>
        <s v="Blackwoods Protector Stoke" u="1"/>
        <s v="COMPANY S" u="1"/>
        <s v="JBD Safety Solutions" u="1"/>
        <s v="PGG Wrightson Taupo" u="1"/>
        <s v="Kaiapoi Cycles &amp; Mowers" u="1"/>
        <s v="Safeworx Auckland Airport" u="1"/>
        <s v="Hayden Smith" u="1"/>
        <s v="MICO  Masterton" u="1"/>
        <s v="Blackwoods Protector Rotorua" u="1"/>
        <s v="Bunnings Hastings" u="1"/>
        <s v="PGG Wrightson Roxburgh" u="1"/>
        <s v="BOC (FIJI) Ltd" u="1"/>
        <s v="CORY  Counties Power" u="1"/>
        <s v="CORY  Porirua" u="1"/>
        <s v="Far North Hire" u="1"/>
        <s v="Fruitfed Supplies Richmond" u="1"/>
        <s v="Appleby's Garage" u="1"/>
        <s v="Bunnings Rotorua" u="1"/>
        <s v="MICO  Hokitika" u="1"/>
        <s v="PGG Wrightson Lawrence" u="1"/>
        <s v="CORY  Kawerau" u="1"/>
        <s v="Talbott's Mountain Gold" u="1"/>
        <s v="Motorcycle HQ" u="1"/>
        <s v="Fruitfed Supplies Pukekohe" u="1"/>
        <s v="MICO  Auckland Central" u="1"/>
        <s v="CORY  Henderson" u="1"/>
        <s v="RICE FRUIT COMPANY" u="1"/>
        <s v="Fruitfed Supplies Blenheim" u="1"/>
        <s v="Farmlands Ashburton" u="1"/>
        <s v="Blackwoods Protector Kawerau" u="1"/>
        <s v="Woodchuck Equipment SA" u="1"/>
        <s v="COMPANY T" u="1"/>
        <s v="MICO  Whangarei" u="1"/>
        <s v="CORY  Auckland Central Cook St" u="1"/>
        <s v="Tomo Saws and More Ltd" u="1"/>
        <s v="Elders Merchandise Christchurc" u="1"/>
        <s v="Bintec" u="1"/>
        <s v="Equipment Supplies Ltd" u="1"/>
        <s v="MICO  Whangamata" u="1"/>
        <s v="The Metal Company (Aghire)" u="1"/>
        <s v="Mark Hermenet Farms" u="1"/>
        <s v="Bunnings Avondale TC" u="1"/>
        <s v="Active Safety NZ Limited" u="1"/>
        <s v="Stihl Shop Whakatane" u="1"/>
        <s v="PGG Wrightsons Heriot" u="1"/>
        <s v="Farmlands Stratford" u="1"/>
        <s v="Farmlands Blenheim" u="1"/>
        <s v="Stihl Shop Tokoroa" u="1"/>
        <s v="Farmlands Rotorua" u="1"/>
        <s v="Malcolm Machinery" u="1"/>
        <s v="MICO  Paraparaumu" u="1"/>
        <s v="Fremouw &amp; Son" u="1"/>
        <s v="MICO  Hawera" u="1"/>
        <s v="HortiCentre Drury" u="1"/>
        <s v="Blackwoods Protector Penrose" u="1"/>
        <s v="COMPANY U" u="1"/>
        <s v="Farmlands Taumarunui" u="1"/>
        <s v="YONDER FARMS" u="1"/>
        <s v="MICO  Greymouth" u="1"/>
        <s v="CORY  Taranaki St" u="1"/>
        <s v="Blackwoods Protector Tauranga" u="1"/>
        <s v="Farmlands Opotiki" u="1"/>
        <s v="Mangonui Mowers &amp; Chainsaws" u="1"/>
        <s v="Road Materials Workgear" u="1"/>
        <s v="Mitre 10 Head Office" u="1"/>
        <s v="Fastlink" u="1"/>
        <s v="Blackwoods Protector Timaru" u="1"/>
        <s v="Jan Langeveld" u="1"/>
        <s v="DEMARREE FARMS" u="1"/>
        <s v="Farmlands Feilding" u="1"/>
        <s v="Lowes Hire &amp; Engineering" u="1"/>
        <s v="Farmlands Levin" u="1"/>
        <s v="Perkins Fruit Farms" u="1"/>
        <s v="CORY  Penrose" u="1"/>
        <s v="Betacraft NZ Ltd" u="1"/>
        <s v="COMPANY V" u="1"/>
        <s v="PGG Wrightson New Plymouth" u="1"/>
        <s v="Ariens Company Pty Ltd" u="1"/>
        <s v="Hokonui Suzuki" u="1"/>
        <s v="PGG Wrightson Amberley" u="1"/>
        <s v="Bunnings Gisborne TC" u="1"/>
        <s v="McCrostie Parts &amp; Machinery" u="1"/>
        <s v="Elders Direct" u="1"/>
        <s v="Small Engine Services" u="1"/>
        <s v="PF Olsen Rotorua" u="1"/>
        <s v="Willmott's Workwear Ltd" u="1"/>
        <s v="Hecton Products" u="1"/>
        <s v="Farmlands Cambridge/Hautapu" u="1"/>
        <s v="PGG Wrightson Kumeu" u="1"/>
        <s v="Shands Outdoor Power Centre" u="1"/>
        <s v="Stihl Shop Te Puke" u="1"/>
        <s v="NZ Arbortech Ltd" u="1"/>
        <s v="Stihl Shop Motueka" u="1"/>
        <s v="COMPANY W" u="1"/>
        <s v="Wesfarmers -" u="1"/>
        <s v="CORY  Nelson" u="1"/>
        <s v="Sugar Apple Farms" u="1"/>
        <s v="TBM (Nelson) Ltd T/A" u="1"/>
        <s v="Elders Merchandise Blenheim" u="1"/>
        <s v="Stewart &amp; Philippa Evans" u="1"/>
        <s v="Argyle Distributors Ltd" u="1"/>
        <s v="Farmlands Hornby" u="1"/>
        <s v="Jay Debadts &amp; Sons" u="1"/>
        <s v="CORY  New Plymouth" u="1"/>
        <s v="Safety &amp; More Ltd" u="1"/>
        <s v="Grower's Equipment Center" u="1"/>
        <s v="Tractor Lawnmower &amp; Chainsaw" u="1"/>
        <s v="Fruitfed Supplies New Plymouth" u="1"/>
        <s v="Young Motors" u="1"/>
        <s v="Farmlands Whangarei" u="1"/>
        <s v="Stihl Shop Kumeu" u="1"/>
        <s v="PT-Kalimantan Prima Services" u="1"/>
        <s v="MICO  Ashburton" u="1"/>
        <s v="Lakewood Products" u="1"/>
        <s v="Opotiki Mowers &amp; Chainsaws" u="1"/>
        <s v="Farmlands Rangiora" u="1"/>
        <s v="CORY  East Tamaki" u="1"/>
        <s v="Napier Chainsaws &amp; Mowers" u="1"/>
        <s v="Stihl Shop Whangarei" u="1"/>
        <s v="COMPANY X" u="1"/>
        <s v="On Site Safety" u="1"/>
        <s v="CORY  Rangiora" u="1"/>
        <s v="Bunnings Hornby TC" u="1"/>
        <s v="Bowman Orchards" u="1"/>
        <s v="Safety &amp; Apparel" u="1"/>
        <s v="Ray Ferri" u="1"/>
        <s v="Shaw's Wire Ropes Limited" u="1"/>
        <s v="Amare Safety" u="1"/>
        <s v="Shepherds Aghort Supplies" u="1"/>
        <s v="Aly Maclean Apparel Limited" u="1"/>
        <s v="Blackwoods Protector" u="1"/>
        <s v="McCallums Drycleaning" u="1"/>
        <s v="East Tamaki Mowers &amp; Chainsaws" u="1"/>
        <s v="MICO  Gisborne" u="1"/>
        <s v="Bunnings Whakatane" u="1"/>
        <s v="HortiCentre Hastings" u="1"/>
        <s v="Bunnings Te Awamutu" u="1"/>
        <s v="Robin Exports" u="1"/>
        <s v="Alterations &amp; Designer Garment" u="1"/>
        <s v="Ericksen Chainsaws &amp; Mowers" u="1"/>
        <s v="Fruitfed Supplies Levin" u="1"/>
        <s v="Hunterville Service Centre" u="1"/>
        <s v="Taihape Honda" u="1"/>
        <s v="Stihl Shop Nelson" u="1"/>
        <s v="COMPANY Y" u="1"/>
        <s v="Fruitfed Supplies Hastings" u="1"/>
        <s v="MICO  Takanini" u="1"/>
        <s v="Stihl Pty Ltd Head Office" u="1"/>
        <s v="Paragon Motorcycles" u="1"/>
        <s v="Hire Centre Wanaka" u="1"/>
        <s v="Stihl Shop Masterton" u="1"/>
        <s v="Winton Jaycees Inc" u="1"/>
        <s v="MICO  Albany" u="1"/>
        <s v="Farmlands Motueka" u="1"/>
        <s v="AGR ASSISTANCE" u="1"/>
        <s v="Bunnings Ashburton" u="1"/>
        <s v="MICO  New Lynn" u="1"/>
        <s v="Wilson Bro.s Ltd" u="1"/>
        <s v="Stihl Shop Hamilton" u="1"/>
        <s v="NZ Safety Timaru" u="1"/>
        <s v="Bay Engineers Auckland" u="1"/>
        <s v="MICO  Wanganui" u="1"/>
        <s v="Sandringham Mowers &amp; Heating" u="1"/>
        <s v="Farmlands Kamo" u="1"/>
        <s v="Northland Farm &amp; Forestry" u="1"/>
        <s v="Golden Garden Co." u="1"/>
        <s v="Bunnings Palmerston North" u="1"/>
        <s v="Hancock Forest" u="1"/>
        <s v="LR &amp; JA Smith Partnership" u="1"/>
        <s v="Echo Valley" u="1"/>
        <s v="Safety Plus Ltd" u="1"/>
        <s v="MICO  Tokoroa" u="1"/>
        <s v="MICO  Cambridge" u="1"/>
        <s v="Tasman Crop Protection Nelson" u="1"/>
        <s v="CORY  Blenheim" u="1"/>
        <s v="COMPANY Z" u="1"/>
        <s v="PGG Wrightson/Fruitfed" u="1"/>
        <s v="NZ Safety Nelson" u="1"/>
        <s v="PGG Wrightson Cromwell" u="1"/>
        <s v="NZ Safety Napier" u="1"/>
        <s v="PGG Wrightson Putaruru" u="1"/>
        <s v="Agricare" u="1"/>
        <s v="Farmlands Wanganui" u="1"/>
        <s v="Kaiwaka Clothing" u="1"/>
        <s v="NZ Safety New Plymouth" u="1"/>
        <s v="PGG Wrightsons Timaru" u="1"/>
        <s v="Bunnings Whangarei" u="1"/>
        <s v="Farmlands Kaitaia" u="1"/>
        <s v="CORY  Warkworth" u="1"/>
        <s v="Blackwoods Protector Albany" u="1"/>
        <s v="MICO  Kerikeri" u="1"/>
        <s v="The Tool Shed" u="1"/>
        <s v="Zenitec" u="1"/>
        <s v="Burnham Orchards" u="1"/>
        <s v="CORY  Mt Maunganui" u="1"/>
        <s v="Taylor Mowers" u="1"/>
        <s v="Stihl Shop Rotorua" u="1"/>
        <s v="Russell Thomas Chainsaws" u="1"/>
        <s v="Te Aroha Mowers and Chainsaws" u="1"/>
        <s v="Taupo Mowers &amp; Chainsaws" u="1"/>
        <s v="Garden Forest Marine" u="1"/>
        <s v="NZ Safety East Tamaki" u="1"/>
        <s v="MICO  Rotorua" u="1"/>
        <s v="Bunnings Te Puke" u="1"/>
        <s v="Pauls Lawnmowers &amp; Chainsaws" u="1"/>
        <s v="MICO  Richmond" u="1"/>
        <s v="Fruitfed Supplies Te Puke" u="1"/>
        <s v="NZ Safety Gisborne" u="1"/>
        <s v="Gardening Aids" u="1"/>
        <s v="NZ Safety Hamilton" u="1"/>
        <s v="Farmlands Invercargill" u="1"/>
        <s v="New Zealand Brush Co Ltd" u="1"/>
        <s v="MICO  Te Rapa" u="1"/>
        <s v="Huntly Honda" u="1"/>
        <s v="REISTER GROWER SERVICE" u="1"/>
        <s v="Primepac Industrial" u="1"/>
        <s v="Fortec Footwear Ltd" u="1"/>
        <s v="Farmlands Christchurch" u="1"/>
        <s v="Acardo (Workplace Safety)" u="1"/>
        <s v="Summitt Estate" u="1"/>
        <s v="Mitre 10 Wanaka" u="1"/>
        <s v="The Tractor Centre" u="1"/>
        <s v="Mikes Mowers &amp; Chainsaw" u="1"/>
        <s v="Farmlands Pahiatua" u="1"/>
        <s v="MICO  Porirua" u="1"/>
        <s v="Mason Farms" u="1"/>
        <s v="Graham Maha" u="1"/>
        <s v="Bay Trade Supplies Ltd" u="1"/>
        <s v="Fruitfed Supplies Whangarei" u="1"/>
        <s v="Fruitfed Supplies Ltd -" u="1"/>
        <s v="Trade Tested" u="1"/>
        <s v="OXLEY WRIDGE FARMS" u="1"/>
        <s v="PGG Wrightson Masterton" u="1"/>
        <s v="Tudor Distributors" u="1"/>
        <s v="Tammy Smith" u="1"/>
        <s v="Grasslands 1998 Ltd Kumeu" u="1"/>
        <s v="Farmlands Kerikeri" u="1"/>
        <s v="KC Motors" u="1"/>
        <s v="Zenitec Samples" u="1"/>
        <s v="Croads Mower &amp; Chainsaw" u="1"/>
        <s v="NZ Safety Palmerston North" u="1"/>
        <s v="Fruitfed Supplies Kumeu" u="1"/>
        <s v="Suvic" u="1"/>
        <s v="Pacific Growers Supplies" u="1"/>
        <s v="Doug Fox Farms" u="1"/>
        <s v="MICO  Henderson" u="1"/>
        <s v="Corys Head Office" u="1"/>
        <s v="HortiCentre Pukekohe" u="1"/>
        <s v="Papakura Lawnmowers Ltd" u="1"/>
        <s v="Valley Chainsaws &amp; Mowers" u="1"/>
        <s v="HortiCentre Tauranga" u="1"/>
        <s v="R &amp; L Orchard Co." u="1"/>
        <s v="Sergeant Farms" u="1"/>
        <s v="John Crane Farm" u="1"/>
        <s v="Ian Day Lifestyle Equipment" u="1"/>
        <s v="South Terrace Motors 2010 Ltd" u="1"/>
        <s v="RD1 Store" u="1"/>
        <s v="Stihl Shop Milton" u="1"/>
        <s v="CORY  Taupo" u="1"/>
        <s v="CORY  Balclutha" u="1"/>
        <s v="Southern Workwear" u="1"/>
        <s v="Safeworx Papakura" u="1"/>
        <s v="Bunnings New Plymouth TC" u="1"/>
        <s v="Viper Machinery" u="1"/>
        <s v="Farmlands Morrinsville" u="1"/>
        <s v="PGG Wrightson Katikati" u="1"/>
        <s v="0800 Onto Farm" u="1"/>
        <s v="Claas Harvest Centre" u="1"/>
        <s v="Brittain Wynyard &amp; Co Ltd" u="1"/>
        <s v="Fruitfed Supplies Kerikeri" u="1"/>
        <s v="Wellington Safety Supplies" u="1"/>
        <s v="Orange Peart Mechanical" u="1"/>
        <s v="Monty's Mowers" u="1"/>
        <s v="Blackwoods Protector Nelson" u="1"/>
        <s v="Fast Harvesting" u="1"/>
        <s v="Farmlands Hokitika" u="1"/>
        <s v="Lawnmower &amp; Chainsaw Centre" u="1"/>
        <s v="CORY  North Shore" u="1"/>
        <s v="Stihl Shop - Warkworth" u="1"/>
        <s v="Bunnings Paeroa" u="1"/>
        <s v="Owaka Motors Ltd" u="1"/>
        <s v="Farmlands Pukekohe" u="1"/>
        <s v="Otautau Tractors &amp; Machinery" u="1"/>
        <s v="Farmlands Helensville" u="1"/>
        <s v="Central Mowers &amp; Chainsaws" u="1"/>
        <s v="Blackwoods Protector Takanini" u="1"/>
        <s v="Northland Engineering Supplies" u="1"/>
        <s v="MICO  Penrose" u="1"/>
        <s v="Mower Repairs" u="1"/>
        <s v="Downs Mower &amp; Machinery" u="1"/>
        <s v="Promotional Solutions &amp; Safety" u="1"/>
        <s v="Henderson Hire" u="1"/>
        <s v="Masson Implements" u="1"/>
        <s v="SafeBrands" u="1"/>
        <s v="CORY  Hornby" u="1"/>
        <s v="Kawerau Chainsaws &amp; Mowers" u="1"/>
        <s v="CORY  Tauranga" u="1"/>
        <s v="Southern Lakes Mowers" u="1"/>
        <s v="Bridenbaugh &amp; Kensinger" u="1"/>
        <s v="Leedsafe" u="1"/>
        <s v="PGG Wrightson Wanganui" u="1"/>
        <s v="Grasslands 1998 Ltd Ranui" u="1"/>
        <s v="Wing Lee Ltd" u="1"/>
        <s v="Katikati Mowers &amp; Cycles" u="1"/>
        <s v="MICO  Oamaru" u="1"/>
        <s v="Top Workwear Ltd" u="1"/>
        <s v="Footwear and Apparel NZ Ltd" u="1"/>
        <s v="NZ Brush Co. Inc Custombuilt" u="1"/>
        <s v="Oscar Safety Shoes" u="1"/>
        <s v="PGG Wrightsons Morrinsville" u="1"/>
        <s v="Ashburton Trading Society" u="1"/>
        <s v="Bunnings Lyall Bay" u="1"/>
        <s v="Lingwood Farms Limited" u="1"/>
        <s v="OMC Power Equipment" u="1"/>
        <s v="MICO  Hamilton" u="1"/>
        <s v="Norwood Farm Centre" u="1"/>
        <s v="Elders Merchandise Head Office" u="1"/>
        <s v="HydroPacific Exports" u="1"/>
        <s v="Landscape and Grower Supply" u="1"/>
        <s v="Farmlands Waipukurau" u="1"/>
        <s v="Bundi Road Logging" u="1"/>
        <s v="Tawa Plumbing Warehouse Ltd" u="1"/>
        <s v="MICO  Whangaparaoa" u="1"/>
        <s v="Grasslands Outdoor &amp;" u="1"/>
        <s v="Bunsco Supplies Ltd" u="1"/>
        <s v="ICC Parks Operations" u="1"/>
        <s v="Bunnings New Lynn" u="1"/>
        <s v="PGG Wrightson Martinborough" u="1"/>
        <s v="Farmlands Hastings" u="1"/>
        <s v="MICO  Nelson" u="1"/>
        <s v="Aladdin Lawnmowers" u="1"/>
        <s v="Armour Safety Products 2012 Lt" u="1"/>
        <s v="Tasman Crop Protection Renwick" u="1"/>
        <s v="Stihl Shop Invercargill" u="1"/>
        <s v="Tree Crisp Orchards" u="1"/>
        <s v="MICO  New Plymouth" u="1"/>
        <s v="Davey Trees" u="1"/>
        <s v="Egmont Commercial" u="1"/>
        <s v="NZ Safety Newtown" u="1"/>
        <s v="Bunnings Limited" u="1"/>
        <s v="Kaipara Workwear &amp; Safety" u="1"/>
        <s v="Forindo Private Limited" u="1"/>
        <s v="Westland Workgear" u="1"/>
        <s v="HortiCentre Massey" u="1"/>
        <s v="Bear Mt Orchards" u="1"/>
        <s v="Wesfarmers - Head Office" u="1"/>
        <s v="Taupo Rigging Ltd T/A Terrain" u="1"/>
        <s v="Summit Tree Sales" u="1"/>
        <s v="Farmlands Matamata" u="1"/>
        <s v="MICO  East Tamaki" u="1"/>
        <s v="NZ Safety Kilbirnie" u="1"/>
        <s v="Mosgiel Mowers" u="1"/>
        <s v="Farmlands Wellsford" u="1"/>
        <s v="Smallbore Tappers" u="1"/>
        <s v="Cross Country" u="1"/>
        <s v="MICO  Rangiora" u="1"/>
        <s v="Kumeu Chainsaw &amp; Mower Service" u="1"/>
        <s v="Bunnings Porirua" u="1"/>
        <s v="Agri-Plus Ltd" u="1"/>
        <s v="Lorneville Small Engines" u="1"/>
        <s v="Workwear &amp; Safety 2000" u="1"/>
        <s v="Farmlands Dargaville" u="1"/>
        <s v="Invercargill Property Trust" u="1"/>
        <s v="CORY  Palmerston North" u="1"/>
        <s v="Biddy Gentleman" u="1"/>
        <s v="Bunnings Nelson" u="1"/>
        <s v="Four Seasons Cycles &amp; Mowers" u="1"/>
        <s v="Zenitec Holdings Limited" u="1"/>
        <s v="Company A" u="1"/>
        <s v="Farmlands Tapanui" u="1"/>
        <s v="Bunnings Kaikohe" u="1"/>
        <s v="Stihl Ltd" u="1"/>
        <s v="Zip Plumbing Plus" u="1"/>
        <s v="Outdoor Power (formally Lowes)" u="1"/>
        <s v="Trade Supplies" u="1"/>
        <s v="Chrystal Bear" u="1"/>
        <s v="CORY  Manukau" u="1"/>
        <s v="Stihl Shop Pukekohe" u="1"/>
        <s v="Firesafe Industrial Ltd" u="1"/>
        <s v="Ecomak SpA" u="1"/>
        <s v="MICO  Cromwell" u="1"/>
        <s v="Promo Safety Richmond" u="1"/>
        <s v="Redline Tractors Limited" u="1"/>
        <s v="Brace's Orchard" u="1"/>
        <s v="Farmlands Paeroa" u="1"/>
        <s v="Everedi Mowers &amp; Chainsaws" u="1"/>
        <s v="Mower Services Paramata" u="1"/>
        <s v="CORY  Queenstown" u="1"/>
        <s v="Opel Industrial Equipment" u="1"/>
        <s v="Safety at Work" u="1"/>
        <s v="MICO  Alexandra" u="1"/>
        <s v="COMPANY B" u="1"/>
        <s v="Whangarei Chainsaws &amp;" u="1"/>
        <s v="PGG Wrightson Pukekohe" u="1"/>
        <s v="Kibworth Machinery" u="1"/>
        <s v="PGG Wrightson Blenheim" u="1"/>
        <s v="MICO  Blenheim" u="1"/>
        <s v="N. C. Equipment" u="1"/>
        <s v="Mitre 10 Mega Takanini" u="1"/>
        <s v="Temuka Motorcycle Centre Ltd" u="1"/>
        <s v="Westland Engineering Supplies" u="1"/>
        <s v="NZ Safety Whangarei" u="1"/>
        <s v="Farmlands Marton" u="1"/>
        <s v="NS Rogers" u="1"/>
        <s v="MICO  Hutt City" u="1"/>
        <s v="Elders Merchandise Hastings" u="1"/>
        <s v="McLarens Rural Services Ltd" u="1"/>
        <s v="Blackwoods Protector Blenheim" u="1"/>
        <s v="Bunnings Pukekohe" u="1"/>
        <s v="Nelson Bays Chainsaws &amp; Mowers" u="1"/>
        <s v="CORY  Christchurch" u="1"/>
        <s v="Fruitfed Supplies Cromwell" u="1"/>
        <s v="Apple Vale Orchards" u="1"/>
        <s v="TRUNCALI FARMS" u="1"/>
        <s v="Jim &amp; Libby's Service Centre" u="1"/>
        <s v="MICO  Warkworth" u="1"/>
        <s v="Kamo Mower &amp; Cycle World" u="1"/>
        <s v="Cairnscorp The Canvas People" u="1"/>
        <s v="MICO  Mt Maunganui" u="1"/>
        <s v="Davidson Honda Centre" u="1"/>
        <s v="Lara Zhuraleva" u="1"/>
        <s v="COMPANY C" u="1"/>
        <s v="Queenstown Mowers &amp; Saws" u="1"/>
        <s v="Mackquinle Farms" u="1"/>
        <s v="Farmset Ltd" u="1"/>
        <s v="Regent Lawnmowers &amp; Cycles" u="1"/>
        <s v="MICO  Onehunga (Macmillan)" u="1"/>
        <s v="Stihl Shop Thames" u="1"/>
        <s v="Chainsaw &amp; Mower Services Ltd" u="1"/>
        <s v="Lawnmower &amp; Service Centre Ltd" u="1"/>
        <s v="LR &amp; JA Smith" u="1"/>
        <s v="Clarksburg Hardware" u="1"/>
        <s v="Gore Outdoor Power Centre" u="1"/>
        <s v="NZ Safety Glenfield" u="1"/>
        <s v="CORY  Dunedin" u="1"/>
        <s v="Farmlands Huntly" u="1"/>
        <s v="Servi DeWind" u="1"/>
        <s v="Fruitfed Supplies Motueka" u="1"/>
        <s v="KS Datthyn Farms" u="1"/>
        <s v="Hawkes Bay Mowers &amp; Chainsaws" u="1"/>
        <s v="COMPANY D" u="1"/>
        <s v="Farmlands Te Puke" u="1"/>
        <s v="Bunnings Silverdale TC" u="1"/>
        <s v="Bunnings New Plymouth" u="1"/>
        <s v="Lakeland Chainsaws &amp;" u="1"/>
        <s v="Placemakers - Waiheke Island" u="1"/>
        <s v="Allguard Safety &amp; Workwear" u="1"/>
        <s v="NZ Safety Greymouth" u="1"/>
        <s v="Shands Outdoor Power Belfast" u="1"/>
        <s v="Grand Perfect SDN BHD" u="1"/>
        <s v="On Farm Agri Centre" u="1"/>
        <s v="Mead Mowers &amp; Chainsaws Ltd" u="1"/>
        <s v="Transquip" u="1"/>
        <s v="Promo Safety Ashburton" u="1"/>
        <s v="Bunnings North Shore" u="1"/>
        <s v="Farmlands Tauranga" u="1"/>
        <s v="Scotts Pump &amp; Mower Service" u="1"/>
        <s v="NZ Safety Petone" u="1"/>
        <s v="Mangawhai Small Engines" u="1"/>
        <s v="Bay Engineers Palmerston North" u="1"/>
        <s v="Wairoa Motorcycles" u="1"/>
        <s v="Bunnings Mt Roskill" u="1"/>
        <s v="Bunnings Dunedin" u="1"/>
        <s v="CORY  Mt Eden" u="1"/>
        <s v="MICO  Petone" u="1"/>
        <s v="Lindsay Lamora" u="1"/>
        <s v="Treetools" u="1"/>
        <s v="Mitre 10 Mega Dunedin" u="1"/>
        <s v="Invercargill Education Trust" u="1"/>
        <s v="Mower Services Katikati" u="1"/>
        <s v="COMPANY E" u="1"/>
        <s v="Van deWalle Farms" u="1"/>
        <s v="Farmlands Opunaki" u="1"/>
        <s v="MICO  Taupo" u="1"/>
        <s v="P M Hayes" u="1"/>
        <s v="On-Site Supplies/ Highline" u="1"/>
        <s v="Fruitfed Supplies Riccarton" u="1"/>
        <s v="Wilmot Motors Ltd" u="1"/>
        <s v="Mid North Honda" u="1"/>
        <s v="Roger's Orchards" u="1"/>
        <s v="NZ Safety Rotorua" u="1"/>
        <s v="Corys Silverdale" u="1"/>
        <s v="Smiths Saw &amp; Mowers" u="1"/>
        <s v="PGG Wrightson Christchurch" u="1"/>
        <s v="NZ Safety Wiri" u="1"/>
        <s v="Madan Plastics" u="1"/>
        <s v="Winton Motorcycles" u="1"/>
        <s v="NZ Safety Avondale" u="1"/>
        <s v="Fruitfed Supplies Alexandra" u="1"/>
        <s v="COMPANY PP" u="1"/>
        <s v="Bunnings Kerikeri" u="1"/>
        <s v="COMPANY F" u="1"/>
        <s v="CORY  Mgd Invent-Onslow St" u="1"/>
        <s v="Farmlands Otaki" u="1"/>
        <s v="Transtack Equipment" u="1"/>
        <s v="Honda Warkworth" u="1"/>
        <s v="Blueskin Mowers &amp; Chainsaws Lt" u="1"/>
        <s v="NZ Safety Invercargill" u="1"/>
        <s v="The Loggers Shop" u="1"/>
        <s v="Bunnings Naenae" u="1"/>
        <s v="NZ Safety Christchurch" u="1"/>
        <s v="Farmlands Westport" u="1"/>
        <s v="CRT Society Ltd" u="1"/>
        <s v="Pivotal Irrigation Ltd" u="1"/>
        <s v="Rural &amp; Industrial Equipment" u="1"/>
        <s v="CORY  Napier" u="1"/>
        <s v="Flowtech Industrial Safety" u="1"/>
        <s v="Tokoroa Power Machines" u="1"/>
        <s v="Tawa Mower Services" u="1"/>
        <s v="MICO  Hornby" u="1"/>
        <s v="Central District Honda" u="1"/>
        <s v="COMPANY G" u="1"/>
        <s v="MICO  Tauranga" u="1"/>
        <s v="Action Equipment Tauranga" u="1"/>
        <s v="EUR 3" u="1"/>
        <s v="Stihl Shop Timaru" u="1"/>
        <s v="Protector Alsafe Head Office" u="1"/>
        <s v="Action Equipment Katikati" u="1"/>
        <s v="PowerZone Suzuki Ltd" u="1"/>
        <s v="MICO  Ngauranga Gorge" u="1"/>
        <s v="Tom Harrison &amp; Son Ltd" u="1"/>
        <s v="S &amp; L Farms" u="1"/>
        <s v="Chainsaws &amp; Mowers 2003 Ltd" u="1"/>
        <s v="PF Olsen Dunedin" u="1"/>
        <s v="Farmlands Amberley" u="1"/>
        <s v="Coastal Mowers Limited" u="1"/>
        <s v="Hewitt Motorcycles" u="1"/>
        <s v="Weld Tec Services" u="1"/>
        <s v="Taranaki Equipment Distributor" u="1"/>
        <s v="Safeworx Wellington" u="1"/>
        <s v="Farmlands Te Awamutu" u="1"/>
        <s v="Hirepool" u="1"/>
        <s v="COMPANY H" u="1"/>
        <s v="Jim's Apple Farm" u="1"/>
        <s v="Bay Engineers Supplies Hamilto" u="1"/>
        <s v="Tony Jury Motorcycles" u="1"/>
        <s v="PGG Wrightson Whangarei" u="1"/>
        <s v="CORY  Invercargill" u="1"/>
        <s v="Bunnings Glenfield" u="1"/>
        <s v="Te Aroha Tractors &amp; Garden" u="1"/>
        <s v="Farmlands Napier" u="1"/>
        <s v="Bunnings Taupo" u="1"/>
        <s v="Len Sinclair Saws &amp; Mowers" u="1"/>
        <s v="Five Cross Roads" u="1"/>
        <s v="COMPANY UU" u="1"/>
        <s v="Wilbert Fruit Farm" u="1"/>
        <s v="Hawera Hire" u="1"/>
        <s v="Total Mower Services" u="1"/>
        <s v="Edgeware Cycles &amp; Chainsaws" u="1"/>
        <s v="Riverside Mowers &amp; Machinery" u="1"/>
        <s v="Andersons Outdoor Machinery Lt" u="1"/>
        <s v="Mikes Chainsaws &amp; Outdoor Powe" u="1"/>
        <s v="ALMAC" u="1"/>
        <s v="Hansons Services" u="1"/>
        <s v="E Hayes &amp; Sons Ltd" u="1"/>
        <s v="NZ Safety Hornby" u="1"/>
        <s v="Dixon Farm Machinery" u="1"/>
        <s v="COMPANY VV" u="1"/>
        <s v="Farm and Lifestyle Centre" u="1"/>
        <s v="Fruitfed Supplies Cambridge" u="1"/>
        <s v="CORY  Hastings" u="1"/>
        <s v="Norwood Farm Machiney Centre" u="1"/>
        <s v="Lory Brothers Fruit Farm" u="1"/>
        <s v="COMPANY I" u="1"/>
        <s v="NZ Safety Dunedin" u="1"/>
        <s v="Agribusiness Training Southlan" u="1"/>
        <s v="Bay Machinery &amp; Heating" u="1"/>
        <s v="COMPANY WW" u="1"/>
        <s v="Stihl Shop Te Awamutu" u="1"/>
        <s v="Dwains Service Centre" u="1"/>
        <s v="PACELLO FARMS" u="1"/>
        <s v="Bunnings Cambridge" u="1"/>
        <s v="Fruitfed Supplies Katikati" u="1"/>
        <s v="CI Safety Ltd" u="1"/>
        <s v="Bunnings Botany" u="1"/>
        <s v="MICO  Palmerston North" u="1"/>
        <s v="KCP Co Ltd" u="1"/>
        <s v="Anne Willson" u="1"/>
        <s v="Bunnings Putaruru" u="1"/>
        <s v="Turangi Chainsaws &amp; Mowers" u="1"/>
        <s v="Fiordland Cycle &amp; Mower Centre" u="1"/>
        <s v="Bunnings Mt Wellington" u="1"/>
        <s v="Farmlands Hort Hastings" u="1"/>
        <s v="Bunnings Feilding" u="1"/>
        <s v="245 Jellicoe Street" u="1"/>
        <s v="COMPANY J" u="1"/>
        <s v="Industrial Footwear &amp; Safety" u="1"/>
        <s v="Quality Saw Sharpening" u="1"/>
        <s v="Styx Mill Clothing" u="1"/>
        <s v="Stihl Pty Ltd" u="1"/>
        <s v="MICO  Manukau" u="1"/>
        <s v="Blackwoods Protector Hastings" u="1"/>
        <s v="Stihl Co Ltd" u="1"/>
        <s v="Vanguard Safety Ltd" u="1"/>
        <s v="City Honda" u="1"/>
        <s v="Mower &amp; Chainsaw" u="1"/>
        <s v="Murray Reid" u="1"/>
        <s v="Bunnings Blenheim" u="1"/>
        <s v="CORY  Masterton" u="1"/>
        <s v="Farmlands Kurow" u="1"/>
        <s v="NZ Safety Hastings" u="1"/>
        <s v="MICO  Queenstown" u="1"/>
        <s v="Farmlands Wairoa" u="1"/>
        <s v="Kiwitub Ltd" u="1"/>
        <s v="Ruralrpm Ltd" u="1"/>
        <s v="Safety Gear Company Ltd" u="1"/>
        <s v="Key Equipment Ltd" u="1"/>
        <s v="Farmlands Masterton" u="1"/>
        <s v="COMPANY K" u="1"/>
        <s v="CORY  Lower Hutt" u="1"/>
        <s v="Cherry Lawn Fruit Farms" u="1"/>
        <s v="Algoma Orchards" u="1"/>
        <s v="PGG Wrightson Tauranga" u="1"/>
        <s v="Workwear House (NZ) Ltd" u="1"/>
        <s v="Arne Smith" u="1"/>
        <s v="Paccon Safety Apparel" u="1"/>
        <s v="Wholesafe" u="1"/>
        <s v="CORY  Whangarei" u="1"/>
        <s v="Whitianga Small Engines" u="1"/>
        <s v="Windmill Farms" u="1"/>
        <s v="Feilding Chainsaw &amp;" u="1"/>
        <s v="Skinners Mowers &amp; Marine" u="1"/>
        <s v="Brett Taylor" u="1"/>
        <s v="MICO  CF Reese" u="1"/>
        <s v="PGG Wrightson Kurow" u="1"/>
        <s v="PGG Wrightsons Takaka" u="1"/>
        <s v="Ronald Stanley" u="1"/>
        <s v="Ashurst Mower Centre" u="1"/>
        <s v="Agpro Farms" u="1"/>
        <s v="Cranford Mowers &amp; Hire" u="1"/>
        <s v="United Agri Products Ltd" u="1"/>
        <s v="Fruitfed Supplies" u="1"/>
        <s v="McLarens Milk &amp; Water" u="1"/>
        <s v="MICO  Antigua St" u="1"/>
        <s v="Blackwoods Protector Dunedin" u="1"/>
        <s v="Jill McInerney" u="1"/>
        <s v="Bunnings Limited - HO" u="1"/>
        <s v="COMPANY L" u="1"/>
        <s v="CORY  Paraparaumu" u="1"/>
        <s v="Jakes Auto Electrical" u="1"/>
        <s v="Bunnings East Tamaki TC" u="1"/>
        <s v="Central Suzuki (Husky)" u="1"/>
        <s v="Stihl Shop Tauranga" u="1"/>
        <s v="Bunnings Silverdale" u="1"/>
        <s v="CORY  Greymouth" u="1"/>
        <s v="Young Richardson &amp; Co" u="1"/>
        <s v="Kaiwaka Saddlery" u="1"/>
        <s v="Hirchmann's Limited" u="1"/>
        <s v="Bunnings Tokoroa" u="1"/>
        <s v="Neroli Cook" u="1"/>
        <s v="PGG Wrightson Dunedin" u="1"/>
        <s v="MICO  Dunedin" u="1"/>
        <s v="Bunnings Manukau" u="1"/>
        <s v="NZ Safety Penrose" u="1"/>
        <s v="DELETE" u="1"/>
        <s v="Bay Engineers Supplies" u="1"/>
        <s v="PT Sunshine Technology" u="1"/>
        <s v="Jackson Smith" u="1"/>
        <s v="Farmlands Te Puna" u="1"/>
        <s v="MICO  Whitianga" u="1"/>
        <s v="NZ Safety Albany" u="1"/>
        <s v="Geoff White Electrical" u="1"/>
        <s v="Sentinel Pine Orchards" u="1"/>
        <s v="Norwood Farm Machinery Centre" u="1"/>
        <s v="Mt Ridge Farms" u="1"/>
        <s v="COMPANY M" u="1"/>
        <s v="Marlborough Lines" u="1"/>
        <s v="Uniform NZ Ltd" u="1"/>
        <s v="Combine Country Limited" u="1"/>
      </sharedItems>
    </cacheField>
    <cacheField name="YEAR1" numFmtId="0">
      <sharedItems containsString="0" containsBlank="1" containsNumber="1" minValue="16072.38" maxValue="6639332.6200000001"/>
    </cacheField>
    <cacheField name="YEAR2" numFmtId="0">
      <sharedItems containsString="0" containsBlank="1" containsNumber="1" minValue="406.62" maxValue="141707660"/>
    </cacheField>
    <cacheField name="YEAR3" numFmtId="0">
      <sharedItems containsString="0" containsBlank="1" containsNumber="1" containsInteger="1" minValue="1560888" maxValue="1560888"/>
    </cacheField>
    <cacheField name="YEAR4" numFmtId="0">
      <sharedItems containsNonDate="0" containsString="0" containsBlank="1"/>
    </cacheField>
    <cacheField name="YEAR5" numFmtId="0">
      <sharedItems containsNonDate="0" containsString="0" containsBlank="1"/>
    </cacheField>
    <cacheField name="CUSTOMER" numFmtId="0">
      <sharedItems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Michelle Mercurio" refreshedDate="42486.726723495369" createdVersion="5" refreshedVersion="5" minRefreshableVersion="3" recordCount="27">
  <cacheSource type="worksheet">
    <worksheetSource ref="BY2:CA29" sheet="SALES_RU"/>
  </cacheSource>
  <cacheFields count="3">
    <cacheField name="SALESMAN" numFmtId="0">
      <sharedItems containsBlank="1" count="12">
        <s v=""/>
        <m/>
        <s v="PRINCESS" u="1"/>
        <s v="RM" u="1"/>
        <s v="HANS" u="1"/>
        <s v="WM" u="1"/>
        <s v="BM" u="1"/>
        <s v="HA" u="1"/>
        <s v="TM" u="1"/>
        <s v="LUKE" u="1"/>
        <s v="C3-PO" u="1"/>
        <s v="R2-D2" u="1"/>
      </sharedItems>
    </cacheField>
    <cacheField name="SALES" numFmtId="0">
      <sharedItems containsString="0" containsBlank="1" containsNumber="1" containsInteger="1" minValue="237462" maxValue="281016087"/>
    </cacheField>
    <cacheField name="RU_YEAR" numFmtId="0">
      <sharedItems containsString="0" containsBlank="1" containsNumber="1" containsInteger="1" minValue="2014" maxValue="2016" count="4">
        <n v="2014"/>
        <n v="2015"/>
        <n v="2016"/>
        <m/>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Michelle Mercurio" refreshedDate="42486.726723726853" createdVersion="5" refreshedVersion="5" minRefreshableVersion="3" recordCount="5">
  <cacheSource type="worksheet">
    <worksheetSource name="Table_Query_from_GLOBAL_RDS"/>
  </cacheSource>
  <cacheFields count="3">
    <cacheField name="CUSTOMER_NAME" numFmtId="0">
      <sharedItems count="9">
        <s v="KASHYYK SHOPPING CENTRE"/>
        <s v="HOTH REBEL BASE"/>
        <s v="DEATH STAR BUILDERS"/>
        <s v="DATHOMIR CRADLE"/>
        <s v="Woodchuck Equipment SA" u="1"/>
        <s v="Nortec Medical" u="1"/>
        <s v="Stihl Ltd" u="1"/>
        <s v="Stihl Pty Ltd Head Office" u="1"/>
        <s v="Woodchuck Equipment NSW" u="1"/>
      </sharedItems>
    </cacheField>
    <cacheField name="SALES" numFmtId="0">
      <sharedItems containsSemiMixedTypes="0" containsString="0" containsNumber="1" containsInteger="1" minValue="6532850" maxValue="141707660"/>
    </cacheField>
    <cacheField name="RU_YEAR" numFmtId="0">
      <sharedItems containsSemiMixedTypes="0" containsString="0" containsNumber="1" containsInteger="1" minValue="2015" maxValue="2016" count="2">
        <n v="2015"/>
        <n v="2016"/>
      </sharedItems>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Michelle Mercurio" refreshedDate="42486.726724074077" createdVersion="5" refreshedVersion="5" minRefreshableVersion="3" recordCount="31">
  <cacheSource type="worksheet">
    <worksheetSource ref="AJ2:AN36" sheet="SALES_RU"/>
  </cacheSource>
  <cacheFields count="5">
    <cacheField name="RU_YEAR" numFmtId="0">
      <sharedItems containsString="0" containsBlank="1" containsNumber="1" containsInteger="1" minValue="2014" maxValue="2016" count="4">
        <n v="2015"/>
        <n v="2014"/>
        <n v="2016"/>
        <m/>
      </sharedItems>
    </cacheField>
    <cacheField name="RU_MONTH" numFmtId="0">
      <sharedItems containsBlank="1"/>
    </cacheField>
    <cacheField name="GM_PERCENT" numFmtId="0">
      <sharedItems containsString="0" containsBlank="1" containsNumber="1" minValue="0" maxValue="87.24"/>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Michelle Mercurio" refreshedDate="42486.726724537039" createdVersion="5" refreshedVersion="5" minRefreshableVersion="3" recordCount="25">
  <cacheSource type="worksheet">
    <worksheetSource name="Customers"/>
  </cacheSource>
  <cacheFields count="2">
    <cacheField name="CUSTOMER_NAME" numFmtId="0">
      <sharedItems containsBlank="1" count="59">
        <m/>
        <s v="ALDERAAN AIRPORT"/>
        <s v="BESPIN BASE"/>
        <s v="CORUSCANT CRATER"/>
        <s v="DAGOBAH"/>
        <s v="DATHOMIR CRADLE"/>
        <s v="DEATH STAR BUILDERS"/>
        <s v="ENDOR BASE"/>
        <s v="FELUCIA BASE"/>
        <s v="GEONOSIS FACTORY"/>
        <s v="GIANT STARSHIP"/>
        <s v="HOTH BASE"/>
        <s v="HOTH REBEL BASE"/>
        <s v="JAKKU COMPANY"/>
        <s v="KAMINO CENTER"/>
        <s v="KASHYYK SHOPPING CENTRE"/>
        <s v="LOTHAL REBEL BASE"/>
        <s v="MUSTAFAAR SYSTEMS"/>
        <s v="MYGEETO BUILDERS"/>
        <s v="NABOO BASE"/>
        <s v="NEUTRAL MAKERS"/>
        <s v="NEW RYLOTH"/>
        <s v="REBELS RULE!"/>
        <s v="TATOOINE BASE 4"/>
        <s v="UTAPAU BASE"/>
        <s v="Bunnings Blenheim" u="1"/>
        <s v="Woodchuck Equipment NSW" u="1"/>
        <s v="NZ Safety Hornby" u="1"/>
        <s v="Blackwoods Protector" u="1"/>
        <s v="Workwear &amp; Safety 2000" u="1"/>
        <s v="Stihl Ltd" u="1"/>
        <s v="Blackwoods Protector Timaru" u="1"/>
        <s v="Blackwoods Protector Kawerau" u="1"/>
        <s v="Levin Sawmakers 1996 Ltd" u="1"/>
        <s v="NZ Safety Avondale" u="1"/>
        <s v="Nortec Medical" u="1"/>
        <s v="MICO  Penrose" u="1"/>
        <s v="Promotional Solutions &amp; Safety" u="1"/>
        <s v="Treetools" u="1"/>
        <s v="COMPANY B" u="1"/>
        <s v="Westland Workgear" u="1"/>
        <s v="Stihl Shop Tokoroa" u="1"/>
        <s v="Stihl Pty Ltd Head Office" u="1"/>
        <s v="Woodchuck Equipment SA" u="1"/>
        <s v="Kaipara Workwear &amp; Safety" u="1"/>
        <s v="Southern Workwear Gore" u="1"/>
        <s v="NZ Safety Kilbirnie" u="1"/>
        <s v="Safety at Work" u="1"/>
        <s v="Safety &amp; Apparel" u="1"/>
        <s v="OMC Power Equipment" u="1"/>
        <s v="Safeworx Papakura" u="1"/>
        <s v="Findlaters Yamaha 2005" u="1"/>
        <s v="NZ Safety New Plymouth" u="1"/>
        <s v="The Loggers Shop" u="1"/>
        <s v="CORY  Palmerston North" u="1"/>
        <s v="Wesfarmers -" u="1"/>
        <s v="COMPANY Z" u="1"/>
        <s v="COMPANY Y" u="1"/>
        <s v="Fruitfed Supplies Hastings" u="1"/>
      </sharedItems>
    </cacheField>
    <cacheField name="TOTAL_SALES" numFmtId="0">
      <sharedItems containsSemiMixedTypes="0" containsString="0" containsNumber="1" minValue="2600.9899999999998" maxValue="122933.94"/>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Michelle Mercurio" refreshedDate="42486.726724768516" createdVersion="5" refreshedVersion="5" minRefreshableVersion="3" recordCount="15">
  <cacheSource type="worksheet">
    <worksheetSource ref="Y2:AE49" sheet="QUOTE_RU3"/>
  </cacheSource>
  <cacheFields count="8">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1" maxValue="12"/>
    </cacheField>
    <cacheField name="ACTUAL" numFmtId="0">
      <sharedItems containsString="0" containsBlank="1" containsNumber="1" minValue="8129.75" maxValue="269230.86"/>
    </cacheField>
    <cacheField name="ESTIMATE" numFmtId="0">
      <sharedItems containsString="0" containsBlank="1" containsNumber="1" minValue="48" maxValue="15685.94"/>
    </cacheField>
    <cacheField name="PERCENTAGE" numFmtId="0">
      <sharedItems containsString="0" containsBlank="1" containsNumber="1" minValue="323.26" maxValue="69423.06"/>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 of Estimate" numFmtId="0" formula="ACTUAL/ESTIMATE" databaseField="0"/>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r:id="rId1" refreshedBy="Michelle Mercurio" refreshedDate="42486.726725115739" createdVersion="5" refreshedVersion="5" minRefreshableVersion="3" recordCount="15">
  <cacheSource type="worksheet">
    <worksheetSource ref="A2:G60" sheet="QUOTE_RU3"/>
  </cacheSource>
  <cacheFields count="8">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1" maxValue="12"/>
    </cacheField>
    <cacheField name="ACTUAL" numFmtId="0">
      <sharedItems containsString="0" containsBlank="1" containsNumber="1" minValue="18912.86" maxValue="747071.01"/>
    </cacheField>
    <cacheField name="ESTIMATE" numFmtId="0">
      <sharedItems containsString="0" containsBlank="1" containsNumber="1" minValue="13906.15" maxValue="1755597.02"/>
    </cacheField>
    <cacheField name="PERCENTAGE" numFmtId="0">
      <sharedItems containsString="0" containsBlank="1" containsNumber="1" minValue="7.34" maxValue="353.13"/>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 of Estimate" numFmtId="0" formula="ACTUAL/ESTIMATE" databaseField="0"/>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r:id="rId1" refreshedBy="Michelle Mercurio" refreshedDate="42486.726725578701" createdVersion="5" refreshedVersion="5" minRefreshableVersion="3" recordCount="31">
  <cacheSource type="worksheet">
    <worksheetSource ref="BF2:BK34" sheet="SALES_RU"/>
  </cacheSource>
  <cacheFields count="6">
    <cacheField name="RU_YEAR" numFmtId="0">
      <sharedItems containsString="0" containsBlank="1" containsNumber="1" containsInteger="1" minValue="2014" maxValue="2016" count="4">
        <n v="2014"/>
        <n v="2015"/>
        <n v="2016"/>
        <m/>
      </sharedItems>
    </cacheField>
    <cacheField name="SIC_CODE" numFmtId="0">
      <sharedItems containsBlank="1" count="14">
        <s v=""/>
        <m/>
        <s v="4955" u="1"/>
        <s v="5052" u="1"/>
        <s v="2" u="1"/>
        <s v="5020" u="1"/>
        <s v="5250" u="1"/>
        <s v="5080" u="1"/>
        <s v="2520" u="1"/>
        <s v="200" u="1"/>
        <s v="3711" u="1"/>
        <s v="2200" u="1"/>
        <s v="2431" u="1"/>
        <s v="5063" u="1"/>
      </sharedItems>
    </cacheField>
    <cacheField name="SALES" numFmtId="0">
      <sharedItems containsString="0" containsBlank="1" containsNumber="1" containsInteger="1" minValue="237462" maxValue="281016087"/>
    </cacheField>
    <cacheField name="RU_MONTH" numFmtId="0">
      <sharedItems containsString="0" containsBlank="1" containsNumber="1" containsInteger="1" minValue="0" maxValue="0"/>
    </cacheField>
    <cacheField name="MONTH_CHAR" numFmtId="0">
      <sharedItems containsNonDate="0" containsString="0" containsBlank="1" count="1">
        <m/>
      </sharedItems>
    </cacheField>
    <cacheField name="PERIOD"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r:id="rId1" refreshedBy="Michelle Mercurio" refreshedDate="42486.726725810186" createdVersion="5" refreshedVersion="5" minRefreshableVersion="3" recordCount="31">
  <cacheSource type="worksheet">
    <worksheetSource ref="L2:R44" sheet="SALES_RU"/>
  </cacheSource>
  <cacheFields count="8">
    <cacheField name="RU_YEAR" numFmtId="0">
      <sharedItems containsString="0" containsBlank="1" containsNumber="1" containsInteger="1" minValue="2014" maxValue="2016" count="4">
        <n v="2015"/>
        <n v="2014"/>
        <n v="2016"/>
        <m/>
      </sharedItems>
    </cacheField>
    <cacheField name="RU_MONTH" numFmtId="0">
      <sharedItems containsString="0" containsBlank="1" containsNumber="1" containsInteger="1" minValue="1" maxValue="12"/>
    </cacheField>
    <cacheField name="SALES" numFmtId="0">
      <sharedItems containsString="0" containsBlank="1" containsNumber="1" containsInteger="1" minValue="0" maxValue="36739393"/>
    </cacheField>
    <cacheField name="BUDGET" numFmtId="0">
      <sharedItems containsString="0" containsBlank="1" containsNumber="1" minValue="12675792.76" maxValue="12675792.76"/>
    </cacheField>
    <cacheField name="PER_OF_BUDGET" numFmtId="0">
      <sharedItems containsString="0" containsBlank="1" containsNumber="1" minValue="0" maxValue="289.83999999999997"/>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 of Budget" numFmtId="0" formula="SALES/BUDGET" databaseField="0"/>
  </cacheFields>
  <extLst>
    <ext xmlns:x14="http://schemas.microsoft.com/office/spreadsheetml/2009/9/main" uri="{725AE2AE-9491-48be-B2B4-4EB974FC3084}">
      <x14:pivotCacheDefinition pivotCacheId="9"/>
    </ext>
  </extLst>
</pivotCacheDefinition>
</file>

<file path=xl/pivotCache/pivotCacheDefinition24.xml><?xml version="1.0" encoding="utf-8"?>
<pivotCacheDefinition xmlns="http://schemas.openxmlformats.org/spreadsheetml/2006/main" xmlns:r="http://schemas.openxmlformats.org/officeDocument/2006/relationships" r:id="rId1" refreshedBy="Michelle Mercurio" refreshedDate="42486.726726273148" createdVersion="5" refreshedVersion="5" minRefreshableVersion="3" recordCount="15">
  <cacheSource type="worksheet">
    <worksheetSource ref="AG2:AM45" sheet="QUOTE_RU3"/>
  </cacheSource>
  <cacheFields count="8">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1" maxValue="12"/>
    </cacheField>
    <cacheField name="ACTUAL" numFmtId="0">
      <sharedItems containsString="0" containsBlank="1" containsNumber="1" minValue="8180.42" maxValue="469224.07"/>
    </cacheField>
    <cacheField name="ESTIMATE" numFmtId="0">
      <sharedItems containsString="0" containsBlank="1" containsNumber="1" minValue="7591.03" maxValue="673627.09"/>
    </cacheField>
    <cacheField name="PERCENTAGE" numFmtId="0">
      <sharedItems containsString="0" containsBlank="1" containsNumber="1" minValue="69.650000000000006" maxValue="255.63"/>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 of Estimate" numFmtId="0" formula="ACTUAL/ESTIMATE" databaseField="0"/>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r:id="rId1" refreshedBy="Michelle Mercurio" refreshedDate="42486.726726620371" createdVersion="5" refreshedVersion="5" minRefreshableVersion="3" recordCount="19">
  <cacheSource type="worksheet">
    <worksheetSource ref="B1:Z1048576" sheet="GL Data"/>
  </cacheSource>
  <cacheFields count="29">
    <cacheField name="YEAR" numFmtId="0">
      <sharedItems containsBlank="1"/>
    </cacheField>
    <cacheField name="CASH" numFmtId="0">
      <sharedItems containsString="0" containsBlank="1" containsNumber="1" minValue="-925359.28" maxValue="1037810.29"/>
    </cacheField>
    <cacheField name="RAW" numFmtId="0">
      <sharedItems containsNonDate="0" containsString="0" containsBlank="1"/>
    </cacheField>
    <cacheField name="FG" numFmtId="0">
      <sharedItems containsString="0" containsBlank="1" containsNumber="1" minValue="-3438251.23" maxValue="3528367.53"/>
    </cacheField>
    <cacheField name="WIP" numFmtId="0">
      <sharedItems containsString="0" containsBlank="1" containsNumber="1" minValue="-210195.52" maxValue="219868.12"/>
    </cacheField>
    <cacheField name="AR" numFmtId="0">
      <sharedItems containsString="0" containsBlank="1" containsNumber="1" minValue="-791649.52" maxValue="1441240.4"/>
    </cacheField>
    <cacheField name="OTHER_ASSET" numFmtId="0">
      <sharedItems containsNonDate="0" containsString="0" containsBlank="1"/>
    </cacheField>
    <cacheField name="FIXED_ASSET" numFmtId="0">
      <sharedItems containsString="0" containsBlank="1" containsNumber="1" minValue="-901.56" maxValue="0"/>
    </cacheField>
    <cacheField name="AP" numFmtId="0">
      <sharedItems containsString="0" containsBlank="1" containsNumber="1" minValue="-872611.96" maxValue="1183541.6000000001"/>
    </cacheField>
    <cacheField name="OTHER_CURRENT" numFmtId="0">
      <sharedItems containsNonDate="0" containsString="0" containsBlank="1"/>
    </cacheField>
    <cacheField name="LONG_TERM_DEBT" numFmtId="0">
      <sharedItems containsNonDate="0" containsString="0" containsBlank="1"/>
    </cacheField>
    <cacheField name="SALES" numFmtId="0">
      <sharedItems containsString="0" containsBlank="1" containsNumber="1" minValue="-1116302.69" maxValue="1672.7"/>
    </cacheField>
    <cacheField name="COGS_FREIGHT" numFmtId="0">
      <sharedItems containsNonDate="0" containsString="0" containsBlank="1"/>
    </cacheField>
    <cacheField name="COGS_LABOR" numFmtId="0">
      <sharedItems containsNonDate="0" containsString="0" containsBlank="1"/>
    </cacheField>
    <cacheField name="COGS_OUTSIDE" numFmtId="0">
      <sharedItems containsNonDate="0" containsString="0" containsBlank="1"/>
    </cacheField>
    <cacheField name="COGS_OVERHEAD" numFmtId="0">
      <sharedItems containsNonDate="0" containsString="0" containsBlank="1"/>
    </cacheField>
    <cacheField name="COGS_OTHER" numFmtId="0">
      <sharedItems containsNonDate="0" containsString="0" containsBlank="1"/>
    </cacheField>
    <cacheField name="COGS_MATERIAL" numFmtId="0">
      <sharedItems containsString="0" containsBlank="1" containsNumber="1" minValue="-11805.7" maxValue="1020429.99"/>
    </cacheField>
    <cacheField name="VARIABLE_EXPENSES" numFmtId="0">
      <sharedItems containsString="0" containsBlank="1" containsNumber="1" containsInteger="1" minValue="0" maxValue="0"/>
    </cacheField>
    <cacheField name="FIXED_EXPENSES" numFmtId="0">
      <sharedItems containsNonDate="0" containsString="0" containsBlank="1"/>
    </cacheField>
    <cacheField name="TAXES" numFmtId="0">
      <sharedItems containsString="0" containsBlank="1" containsNumber="1" minValue="0" maxValue="17354.2"/>
    </cacheField>
    <cacheField name="SHARES" numFmtId="0">
      <sharedItems containsNonDate="0" containsString="0" containsBlank="1"/>
    </cacheField>
    <cacheField name="MONTH" numFmtId="0">
      <sharedItems containsBlank="1"/>
    </cacheField>
    <cacheField name="Month2" numFmtId="0">
      <sharedItems containsBlank="1" count="13">
        <s v="Oct"/>
        <s v="Jul"/>
        <s v="Aug"/>
        <s v="Sep"/>
        <s v="Nov"/>
        <s v="Dec"/>
        <s v="Jan"/>
        <s v="Feb"/>
        <s v="Mar"/>
        <s v="Apr"/>
        <s v="May"/>
        <s v="Jun"/>
        <m/>
      </sharedItems>
    </cacheField>
    <cacheField name="Fiscal Year" numFmtId="0">
      <sharedItems containsString="0" containsBlank="1" containsNumber="1" containsInteger="1" minValue="2014" maxValue="2017" count="5">
        <n v="2014"/>
        <n v="2015"/>
        <n v="2016"/>
        <m/>
        <n v="2017" u="1"/>
      </sharedItems>
    </cacheField>
    <cacheField name="OH" numFmtId="0" formula="VARIABLE_EXPENSES+FIXED_EXPENSES" databaseField="0"/>
    <cacheField name="EBITDA" numFmtId="0" formula="SALES-(COGS_FREIGHT-COGS_LABOR-COGS_OUTSIDE-COGS_OVERHEAD-COGS_OTHER-COGS_MATERIAL-OH)" databaseField="0"/>
    <cacheField name="EBITDA % of Sales" numFmtId="0" formula="EBITDA/SALES" databaseField="0"/>
    <cacheField name="OH % of Sales" numFmtId="0" formula="OH/SALES" databaseField="0"/>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r:id="rId1" refreshedBy="Michelle Mercurio" refreshedDate="42486.726727430556" createdVersion="5" refreshedVersion="5" minRefreshableVersion="3" recordCount="16">
  <cacheSource type="worksheet">
    <worksheetSource ref="A1:G1048576" sheet="Labor Hours"/>
  </cacheSource>
  <cacheFields count="7">
    <cacheField name="ID" numFmtId="0">
      <sharedItems containsString="0" containsBlank="1" containsNumber="1" containsInteger="1" minValue="1" maxValue="15"/>
    </cacheField>
    <cacheField name="MONTH" numFmtId="0">
      <sharedItems containsBlank="1"/>
    </cacheField>
    <cacheField name="YEAR" numFmtId="0">
      <sharedItems containsBlank="1" count="6">
        <s v="2014"/>
        <s v="2015"/>
        <m/>
        <s v="1995" u="1"/>
        <s v="2016" u="1"/>
        <s v="1996" u="1"/>
      </sharedItems>
    </cacheField>
    <cacheField name="HOURS_WORKED" numFmtId="0">
      <sharedItems containsString="0" containsBlank="1" containsNumber="1" minValue="26.008299999999998" maxValue="3243.0614999999998"/>
    </cacheField>
    <cacheField name="DIRECT_INDIRECT" numFmtId="0">
      <sharedItems containsBlank="1" count="3">
        <s v="I"/>
        <s v="D"/>
        <m/>
      </sharedItems>
    </cacheField>
    <cacheField name="Month " numFmtId="0">
      <sharedItems containsBlank="1" count="13">
        <s v="Aug"/>
        <s v="Sep"/>
        <s v="Oct"/>
        <s v="Nov"/>
        <s v="Dec"/>
        <s v="Jan"/>
        <s v="Feb"/>
        <s v="Mar"/>
        <s v="Apr"/>
        <s v="May"/>
        <s v="Jun"/>
        <s v="Jul"/>
        <m/>
      </sharedItems>
    </cacheField>
    <cacheField name="Fiscal Year" numFmtId="0">
      <sharedItems containsString="0" containsBlank="1" containsNumber="1" containsInteger="1" minValue="1996" maxValue="2017" count="6">
        <n v="2015"/>
        <n v="2016"/>
        <m/>
        <n v="1997" u="1"/>
        <n v="2017" u="1"/>
        <n v="1996" u="1"/>
      </sharedItems>
    </cacheField>
  </cacheFields>
  <extLst>
    <ext xmlns:x14="http://schemas.microsoft.com/office/spreadsheetml/2009/9/main" uri="{725AE2AE-9491-48be-B2B4-4EB974FC3084}">
      <x14:pivotCacheDefinition/>
    </ext>
  </extLst>
</pivotCacheDefinition>
</file>

<file path=xl/pivotCache/pivotCacheDefinition27.xml><?xml version="1.0" encoding="utf-8"?>
<pivotCacheDefinition xmlns="http://schemas.openxmlformats.org/spreadsheetml/2006/main" xmlns:r="http://schemas.openxmlformats.org/officeDocument/2006/relationships" r:id="rId1" refreshedBy="Michelle Mercurio" refreshedDate="42486.726728472226" createdVersion="5" refreshedVersion="5" minRefreshableVersion="3" recordCount="14">
  <cacheSource type="worksheet">
    <worksheetSource ref="A1:J1048576" sheet="L2-Ind Hrs"/>
  </cacheSource>
  <cacheFields count="10">
    <cacheField name="ID" numFmtId="0">
      <sharedItems containsNonDate="0" containsString="0" containsBlank="1"/>
    </cacheField>
    <cacheField name="JOB" numFmtId="0">
      <sharedItems containsNonDate="0" containsString="0" containsBlank="1"/>
    </cacheField>
    <cacheField name="SUFFIX" numFmtId="0">
      <sharedItems containsNonDate="0" containsString="0" containsBlank="1"/>
    </cacheField>
    <cacheField name="SEQUENCE" numFmtId="0">
      <sharedItems containsNonDate="0" containsBlank="1" count="3">
        <m/>
        <s v="000200" u="1"/>
        <s v="000100" u="1"/>
      </sharedItems>
    </cacheField>
    <cacheField name="HOURS_WORKED" numFmtId="0">
      <sharedItems containsNonDate="0" containsString="0" containsBlank="1"/>
    </cacheField>
    <cacheField name="MONTH" numFmtId="0">
      <sharedItems containsNonDate="0" containsString="0" containsBlank="1"/>
    </cacheField>
    <cacheField name="YEAR" numFmtId="0">
      <sharedItems containsNonDate="0" containsBlank="1" count="2">
        <m/>
        <s v="2014" u="1"/>
      </sharedItems>
    </cacheField>
    <cacheField name="DESCRIPTION" numFmtId="0">
      <sharedItems containsNonDate="0" containsString="0" containsBlank="1"/>
    </cacheField>
    <cacheField name="Month2" numFmtId="0">
      <sharedItems containsNonDate="0" containsBlank="1" count="2">
        <m/>
        <s v="Aug" u="1"/>
      </sharedItems>
    </cacheField>
    <cacheField name="Fiscal Year" numFmtId="0">
      <sharedItems containsNonDate="0" containsString="0" containsBlank="1" containsNumber="1" containsInteger="1" minValue="2015" maxValue="2015" count="2">
        <m/>
        <n v="2015" u="1"/>
      </sharedItems>
    </cacheField>
  </cacheFields>
  <extLst>
    <ext xmlns:x14="http://schemas.microsoft.com/office/spreadsheetml/2009/9/main" uri="{725AE2AE-9491-48be-B2B4-4EB974FC3084}">
      <x14:pivotCacheDefinition/>
    </ext>
  </extLst>
</pivotCacheDefinition>
</file>

<file path=xl/pivotCache/pivotCacheDefinition28.xml><?xml version="1.0" encoding="utf-8"?>
<pivotCacheDefinition xmlns="http://schemas.openxmlformats.org/spreadsheetml/2006/main" xmlns:r="http://schemas.openxmlformats.org/officeDocument/2006/relationships" r:id="rId1" refreshedBy="Michelle Mercurio" refreshedDate="42486.726729050926" createdVersion="5" refreshedVersion="5" minRefreshableVersion="3" recordCount="10">
  <cacheSource type="worksheet">
    <worksheetSource ref="BO6:BQ16" sheet="Ratio Data"/>
  </cacheSource>
  <cacheFields count="3">
    <cacheField name="Year" numFmtId="0">
      <sharedItems containsSemiMixedTypes="0" containsString="0" containsNumber="1" containsInteger="1" minValue="2010" maxValue="2019" count="10">
        <n v="2010"/>
        <n v="2011"/>
        <n v="2012"/>
        <n v="2013"/>
        <n v="2014"/>
        <n v="2015"/>
        <n v="2016"/>
        <n v="2017"/>
        <n v="2018"/>
        <n v="2019"/>
      </sharedItems>
    </cacheField>
    <cacheField name="Inventory Turnover" numFmtId="2">
      <sharedItems containsString="0" containsBlank="1" containsNumber="1" minValue="-16.053308678150646" maxValue="65.735526649625683"/>
    </cacheField>
    <cacheField name="Target" numFmtId="0">
      <sharedItems containsString="0" containsBlank="1" containsNumber="1" minValue="1.25" maxValue="1.25"/>
    </cacheField>
  </cacheFields>
  <extLst>
    <ext xmlns:x14="http://schemas.microsoft.com/office/spreadsheetml/2009/9/main" uri="{725AE2AE-9491-48be-B2B4-4EB974FC3084}">
      <x14:pivotCacheDefinition/>
    </ext>
  </extLst>
</pivotCacheDefinition>
</file>

<file path=xl/pivotCache/pivotCacheDefinition29.xml><?xml version="1.0" encoding="utf-8"?>
<pivotCacheDefinition xmlns="http://schemas.openxmlformats.org/spreadsheetml/2006/main" xmlns:r="http://schemas.openxmlformats.org/officeDocument/2006/relationships" r:id="rId1" refreshedBy="Michelle Mercurio" refreshedDate="42486.726729398149" createdVersion="5" refreshedVersion="5" minRefreshableVersion="3" recordCount="10">
  <cacheSource type="worksheet">
    <worksheetSource ref="BK6:BL16" sheet="Ratio Data"/>
  </cacheSource>
  <cacheFields count="2">
    <cacheField name="Year" numFmtId="0">
      <sharedItems containsSemiMixedTypes="0" containsString="0" containsNumber="1" containsInteger="1" minValue="2010" maxValue="2019" count="10">
        <n v="2010"/>
        <n v="2011"/>
        <n v="2012"/>
        <n v="2013"/>
        <n v="2014"/>
        <n v="2015"/>
        <n v="2016"/>
        <n v="2017"/>
        <n v="2018"/>
        <n v="2019"/>
      </sharedItems>
    </cacheField>
    <cacheField name="Sales Growth" numFmtId="0">
      <sharedItems containsString="0" containsBlank="1" containsNumber="1" minValue="-1" maxValue="2441.3623961260237"/>
    </cacheField>
  </cacheFields>
  <extLst>
    <ext xmlns:x14="http://schemas.microsoft.com/office/spreadsheetml/2009/9/main" uri="{725AE2AE-9491-48be-B2B4-4EB974FC3084}">
      <x14:pivotCacheDefinition/>
    </ext>
  </extLst>
</pivotCacheDefinition>
</file>

<file path=xl/pivotCache/pivotCacheDefinition30.xml><?xml version="1.0" encoding="utf-8"?>
<pivotCacheDefinition xmlns="http://schemas.openxmlformats.org/spreadsheetml/2006/main" xmlns:r="http://schemas.openxmlformats.org/officeDocument/2006/relationships" r:id="rId1" refreshedBy="Michelle Mercurio" refreshedDate="42486.726729629627" createdVersion="5" refreshedVersion="5" minRefreshableVersion="3" recordCount="10">
  <cacheSource type="worksheet">
    <worksheetSource ref="BE6:BH16" sheet="Ratio Data"/>
  </cacheSource>
  <cacheFields count="4">
    <cacheField name="Year" numFmtId="0">
      <sharedItems containsSemiMixedTypes="0" containsString="0" containsNumber="1" containsInteger="1" minValue="2010" maxValue="2019" count="10">
        <n v="2010"/>
        <n v="2011"/>
        <n v="2012"/>
        <n v="2013"/>
        <n v="2014"/>
        <n v="2015"/>
        <n v="2016"/>
        <n v="2017"/>
        <n v="2018"/>
        <n v="2019"/>
      </sharedItems>
    </cacheField>
    <cacheField name="DSO" numFmtId="2">
      <sharedItems containsSemiMixedTypes="0" containsString="0" containsNumber="1" minValue="0" maxValue="157246.59114007291"/>
    </cacheField>
    <cacheField name="CC" numFmtId="2">
      <sharedItems containsSemiMixedTypes="0" containsString="0" containsNumber="1" minValue="0" maxValue="200686.46076861641"/>
    </cacheField>
    <cacheField name="CC Target" numFmtId="2">
      <sharedItems containsSemiMixedTypes="0" containsString="0" containsNumber="1" containsInteger="1" minValue="45" maxValue="45"/>
    </cacheField>
  </cacheFields>
  <extLst>
    <ext xmlns:x14="http://schemas.microsoft.com/office/spreadsheetml/2009/9/main" uri="{725AE2AE-9491-48be-B2B4-4EB974FC3084}">
      <x14:pivotCacheDefinition/>
    </ext>
  </extLst>
</pivotCacheDefinition>
</file>

<file path=xl/pivotCache/pivotCacheDefinition31.xml><?xml version="1.0" encoding="utf-8"?>
<pivotCacheDefinition xmlns="http://schemas.openxmlformats.org/spreadsheetml/2006/main" xmlns:r="http://schemas.openxmlformats.org/officeDocument/2006/relationships" r:id="rId1" refreshedBy="Michelle Mercurio" refreshedDate="42486.726729861111" createdVersion="5" refreshedVersion="5" minRefreshableVersion="3" recordCount="10">
  <cacheSource type="worksheet">
    <worksheetSource ref="AY6:BB16" sheet="Ratio Data"/>
  </cacheSource>
  <cacheFields count="4">
    <cacheField name="Year" numFmtId="0">
      <sharedItems containsSemiMixedTypes="0" containsString="0" containsNumber="1" containsInteger="1" minValue="2010" maxValue="2019" count="10">
        <n v="2010"/>
        <n v="2011"/>
        <n v="2012"/>
        <n v="2013"/>
        <n v="2014"/>
        <n v="2015"/>
        <n v="2016"/>
        <n v="2017"/>
        <n v="2018"/>
        <n v="2019"/>
      </sharedItems>
    </cacheField>
    <cacheField name="ROA" numFmtId="10">
      <sharedItems containsSemiMixedTypes="0" containsString="0" containsNumber="1" minValue="-0.59083095501729255" maxValue="0.87854473296806301"/>
    </cacheField>
    <cacheField name="ROE" numFmtId="10">
      <sharedItems containsSemiMixedTypes="0" containsString="0" containsNumber="1" containsInteger="1" minValue="0" maxValue="0"/>
    </cacheField>
    <cacheField name="ROE Target" numFmtId="10">
      <sharedItems containsSemiMixedTypes="0" containsString="0" containsNumber="1" minValue="0.255" maxValue="0.255"/>
    </cacheField>
  </cacheFields>
  <extLst>
    <ext xmlns:x14="http://schemas.microsoft.com/office/spreadsheetml/2009/9/main" uri="{725AE2AE-9491-48be-B2B4-4EB974FC3084}">
      <x14:pivotCacheDefinition/>
    </ext>
  </extLst>
</pivotCacheDefinition>
</file>

<file path=xl/pivotCache/pivotCacheDefinition32.xml><?xml version="1.0" encoding="utf-8"?>
<pivotCacheDefinition xmlns="http://schemas.openxmlformats.org/spreadsheetml/2006/main" xmlns:r="http://schemas.openxmlformats.org/officeDocument/2006/relationships" r:id="rId1" refreshedBy="Michelle Mercurio" refreshedDate="42486.726730092596" createdVersion="5" refreshedVersion="5" minRefreshableVersion="3" recordCount="28">
  <cacheSource type="worksheet">
    <worksheetSource ref="P14:U42" sheet="L3- Rev $ per-labor hr "/>
  </cacheSource>
  <cacheFields count="6">
    <cacheField name="Fiscal" numFmtId="0">
      <sharedItems containsString="0" containsBlank="1" containsNumber="1" containsInteger="1" minValue="0" maxValue="2017" count="7">
        <m/>
        <n v="2015"/>
        <n v="0"/>
        <n v="2016"/>
        <n v="1"/>
        <n v="1997" u="1"/>
        <n v="2017" u="1"/>
      </sharedItems>
    </cacheField>
    <cacheField name="Year" numFmtId="0">
      <sharedItems containsBlank="1" count="6">
        <m/>
        <s v="2014"/>
        <s v=""/>
        <s v="2015"/>
        <s v="2016" u="1"/>
        <s v="1996" u="1"/>
      </sharedItems>
    </cacheField>
    <cacheField name="Month" numFmtId="0">
      <sharedItems count="14">
        <s v=""/>
        <s v="Aug"/>
        <s v="Sep"/>
        <s v="Oct"/>
        <s v="Nov"/>
        <s v="Dec"/>
        <s v="Jan"/>
        <s v="Feb"/>
        <s v="Mar"/>
        <s v="Apr"/>
        <s v="May"/>
        <s v="Jun"/>
        <s v="Jul"/>
        <s v="(blank)"/>
      </sharedItems>
    </cacheField>
    <cacheField name="Hours Worked" numFmtId="4">
      <sharedItems containsMixedTypes="1" containsNumber="1" minValue="0" maxValue="3243.0614999999998"/>
    </cacheField>
    <cacheField name="Sales" numFmtId="0">
      <sharedItems containsBlank="1" containsMixedTypes="1" containsNumber="1" containsInteger="1" minValue="15491948" maxValue="32832337"/>
    </cacheField>
    <cacheField name="Sales per Man Hour" numFmtId="165">
      <sharedItems containsMixedTypes="1" containsNumber="1" minValue="4972.2767040832914" maxValue="25408.183959178335"/>
    </cacheField>
  </cacheFields>
  <extLst>
    <ext xmlns:x14="http://schemas.microsoft.com/office/spreadsheetml/2009/9/main" uri="{725AE2AE-9491-48be-B2B4-4EB974FC3084}">
      <x14:pivotCacheDefinition/>
    </ext>
  </extLst>
</pivotCacheDefinition>
</file>

<file path=xl/pivotCache/pivotCacheDefinition33.xml><?xml version="1.0" encoding="utf-8"?>
<pivotCacheDefinition xmlns="http://schemas.openxmlformats.org/spreadsheetml/2006/main" xmlns:r="http://schemas.openxmlformats.org/officeDocument/2006/relationships" r:id="rId1" refreshedBy="Michelle Mercurio" refreshedDate="42486.726730902781" createdVersion="5" refreshedVersion="5" minRefreshableVersion="3" recordCount="29">
  <cacheSource type="worksheet">
    <worksheetSource ref="A2:E59" sheet="P16_INV_HIST_RU"/>
  </cacheSource>
  <cacheFields count="5">
    <cacheField name="RU_YEAR" numFmtId="0">
      <sharedItems containsString="0" containsBlank="1" containsNumber="1" containsInteger="1" minValue="2014" maxValue="2016" count="4">
        <n v="2014"/>
        <n v="2015"/>
        <n v="2016"/>
        <m/>
      </sharedItems>
    </cacheField>
    <cacheField name="RU_MONTH" numFmtId="0">
      <sharedItems containsString="0" containsBlank="1" containsNumber="1" containsInteger="1" minValue="1" maxValue="12"/>
    </cacheField>
    <cacheField name="TOTAL" numFmtId="0">
      <sharedItems containsString="0" containsBlank="1" containsNumber="1" minValue="-3896.59" maxValue="1026499.36"/>
    </cacheField>
    <cacheField name="MONTH_CHAR" numFmtId="0">
      <sharedItems containsBlank="1" count="13">
        <s v="Jul"/>
        <s v="Oct"/>
        <s v="Jan"/>
        <s v="Feb"/>
        <s v="Mar"/>
        <s v="Apr"/>
        <s v="May"/>
        <s v="Jun"/>
        <s v="Aug"/>
        <s v="Sep"/>
        <s v="Nov"/>
        <s v="Dec"/>
        <m/>
      </sharedItems>
    </cacheField>
    <cacheField name="PERIOD" numFmtId="0">
      <sharedItems containsString="0" containsBlank="1" containsNumber="1" containsInteger="1" minValue="1" maxValue="12" count="13">
        <n v="12"/>
        <n v="3"/>
        <n v="6"/>
        <n v="7"/>
        <n v="8"/>
        <n v="9"/>
        <n v="10"/>
        <n v="11"/>
        <n v="1"/>
        <n v="2"/>
        <n v="4"/>
        <n v="5"/>
        <m/>
      </sharedItems>
    </cacheField>
  </cacheFields>
  <extLst>
    <ext xmlns:x14="http://schemas.microsoft.com/office/spreadsheetml/2009/9/main" uri="{725AE2AE-9491-48be-B2B4-4EB974FC3084}">
      <x14:pivotCacheDefinition/>
    </ext>
  </extLst>
</pivotCacheDefinition>
</file>

<file path=xl/pivotCache/pivotCacheDefinition34.xml><?xml version="1.0" encoding="utf-8"?>
<pivotCacheDefinition xmlns="http://schemas.openxmlformats.org/spreadsheetml/2006/main" xmlns:r="http://schemas.openxmlformats.org/officeDocument/2006/relationships" r:id="rId1" refreshedBy="Michelle Mercurio" refreshedDate="42486.726731249997" createdVersion="5" refreshedVersion="5" minRefreshableVersion="3" recordCount="641">
  <cacheSource type="worksheet">
    <worksheetSource ref="A2:H980" sheet="P1_WC_RU"/>
  </cacheSource>
  <cacheFields count="9">
    <cacheField name="WC" numFmtId="0">
      <sharedItems containsBlank="1" count="72">
        <s v="2ND1"/>
        <s v="2ND2"/>
        <s v="2ND4"/>
        <s v="3TH1"/>
        <s v="3TH2"/>
        <s v="5TH1"/>
        <s v="5TH2"/>
        <s v="AMS1"/>
        <s v="AMS2"/>
        <s v="AMS3"/>
        <s v="ATCT"/>
        <s v="BHLE"/>
        <s v="BND1"/>
        <s v="BND2"/>
        <s v="BND3"/>
        <s v="BTK1"/>
        <s v="BTK2"/>
        <s v="BTK3"/>
        <s v="BUTN"/>
        <s v="CKPS"/>
        <s v="CUT1"/>
        <s v="CVSM"/>
        <s v="DOME"/>
        <s v="EMB"/>
        <s v="EYLT"/>
        <s v="HDWF"/>
        <s v="HTPS"/>
        <s v="MCT1"/>
        <s v="MCT2"/>
        <s v="NDF1"/>
        <s v="NDF2"/>
        <s v="NDF3"/>
        <s v="NDF4"/>
        <s v="NDF5"/>
        <s v="NDF7"/>
        <s v="PCK1"/>
        <s v="PCK2"/>
        <s v="PCK3"/>
        <s v="PKPS"/>
        <s v="RVT1"/>
        <s v="RVT2"/>
        <s v="SBCT"/>
        <s v="SBTR"/>
        <s v="SFL"/>
        <s v="TFO"/>
        <s v="TPCT"/>
        <s v="VCUM"/>
        <s v="WF02"/>
        <s v="WF03"/>
        <s v="WF04"/>
        <s v="WF05"/>
        <s v="WF06"/>
        <s v="WF07"/>
        <s v="WF09"/>
        <s v="WPP1"/>
        <s v="WSTB"/>
        <s v="ZBND"/>
        <s v="2ND3"/>
        <s v="3TH3"/>
        <s v="3TH4"/>
        <s v="BND5"/>
        <s v="BRAN"/>
        <s v="CUT"/>
        <s v="MACH"/>
        <s v="NDF6"/>
        <s v="NOR"/>
        <s v="WF08"/>
        <s v="BND4"/>
        <s v="CYHD"/>
        <s v="GEN"/>
        <s v="WF10"/>
        <m/>
      </sharedItems>
    </cacheField>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1" maxValue="12"/>
    </cacheField>
    <cacheField name="HOURS_WORKED" numFmtId="0">
      <sharedItems containsString="0" containsBlank="1" containsNumber="1" minValue="0" maxValue="1811.51"/>
    </cacheField>
    <cacheField name="HOURS_AVAIL" numFmtId="0">
      <sharedItems containsString="0" containsBlank="1" containsNumber="1" minValue="5.5" maxValue="207.5"/>
    </cacheField>
    <cacheField name="WC_UTIL" numFmtId="0">
      <sharedItems containsString="0" containsBlank="1" containsNumber="1" minValue="0" maxValue="9.1199999999999992"/>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WC Utilization %2" numFmtId="0" formula="HOURS_WORKED/HOURS_AVAIL" databaseField="0"/>
  </cacheFields>
  <extLst>
    <ext xmlns:x14="http://schemas.microsoft.com/office/spreadsheetml/2009/9/main" uri="{725AE2AE-9491-48be-B2B4-4EB974FC3084}">
      <x14:pivotCacheDefinition/>
    </ext>
  </extLst>
</pivotCacheDefinition>
</file>

<file path=xl/pivotCache/pivotCacheDefinition35.xml><?xml version="1.0" encoding="utf-8"?>
<pivotCacheDefinition xmlns="http://schemas.openxmlformats.org/spreadsheetml/2006/main" xmlns:r="http://schemas.openxmlformats.org/officeDocument/2006/relationships" r:id="rId1" refreshedBy="Michelle Mercurio" refreshedDate="42486.726731712966" createdVersion="5" refreshedVersion="5" minRefreshableVersion="3" recordCount="15">
  <cacheSource type="worksheet">
    <worksheetSource ref="AB2:AI84" sheet="P1_WC_RU"/>
  </cacheSource>
  <cacheFields count="9">
    <cacheField name="WC" numFmtId="0">
      <sharedItems containsNonDate="0" containsString="0" containsBlank="1"/>
    </cacheField>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1" maxValue="12"/>
    </cacheField>
    <cacheField name="UNITS_PRODUCED" numFmtId="0">
      <sharedItems containsString="0" containsBlank="1" containsNumber="1" minValue="5113.5" maxValue="13760703"/>
    </cacheField>
    <cacheField name="UNITS_SCRAPPED" numFmtId="0">
      <sharedItems containsString="0" containsBlank="1" containsNumber="1" minValue="0" maxValue="835"/>
    </cacheField>
    <cacheField name="PERCENT_SCRAP" numFmtId="0">
      <sharedItems containsString="0" containsBlank="1" containsNumber="1" containsInteger="1" minValue="0" maxValue="0"/>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 Scrapped" numFmtId="0" formula="UNITS_SCRAPPED/UNITS_PRODUCED" databaseField="0"/>
  </cacheFields>
  <extLst>
    <ext xmlns:x14="http://schemas.microsoft.com/office/spreadsheetml/2009/9/main" uri="{725AE2AE-9491-48be-B2B4-4EB974FC3084}">
      <x14:pivotCacheDefinition/>
    </ext>
  </extLst>
</pivotCacheDefinition>
</file>

<file path=xl/pivotCache/pivotCacheDefinition36.xml><?xml version="1.0" encoding="utf-8"?>
<pivotCacheDefinition xmlns="http://schemas.openxmlformats.org/spreadsheetml/2006/main" xmlns:r="http://schemas.openxmlformats.org/officeDocument/2006/relationships" r:id="rId1" refreshedBy="Michelle Mercurio" refreshedDate="42486.726732060182" createdVersion="5" refreshedVersion="5" minRefreshableVersion="3" recordCount="15">
  <cacheSource type="worksheet">
    <worksheetSource ref="A2:F34" sheet="P4_LABOR_RU"/>
  </cacheSource>
  <cacheFields count="6">
    <cacheField name="FISCAL" numFmtId="0">
      <sharedItems containsNonDate="0" containsString="0" containsBlank="1"/>
    </cacheField>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1" maxValue="12"/>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 name="AVG_COST" numFmtId="0">
      <sharedItems containsString="0" containsBlank="1" containsNumber="1" minValue="3.37" maxValue="21.03"/>
    </cacheField>
  </cacheFields>
  <extLst>
    <ext xmlns:x14="http://schemas.microsoft.com/office/spreadsheetml/2009/9/main" uri="{725AE2AE-9491-48be-B2B4-4EB974FC3084}">
      <x14:pivotCacheDefinition/>
    </ext>
  </extLst>
</pivotCacheDefinition>
</file>

<file path=xl/pivotCache/pivotCacheDefinition37.xml><?xml version="1.0" encoding="utf-8"?>
<pivotCacheDefinition xmlns="http://schemas.openxmlformats.org/spreadsheetml/2006/main" xmlns:r="http://schemas.openxmlformats.org/officeDocument/2006/relationships" r:id="rId1" refreshedBy="Michelle Mercurio" refreshedDate="42486.726732291667" createdVersion="5" refreshedVersion="5" minRefreshableVersion="3" recordCount="30">
  <cacheSource type="worksheet">
    <worksheetSource ref="BC2:BI38" sheet="Quality_RU"/>
  </cacheSource>
  <cacheFields count="7">
    <cacheField name="RU_YEAR" numFmtId="0">
      <sharedItems containsString="0" containsBlank="1" containsNumber="1" containsInteger="1" minValue="2014" maxValue="2015" count="3">
        <n v="2014"/>
        <n v="2015"/>
        <m/>
      </sharedItems>
    </cacheField>
    <cacheField name="RU_MONTH" numFmtId="0">
      <sharedItems containsBlank="1"/>
    </cacheField>
    <cacheField name="DEPT" numFmtId="0">
      <sharedItems containsBlank="1" count="8">
        <s v=""/>
        <s v="CUT"/>
        <s v="BRAN"/>
        <s v="PROD"/>
        <s v="ADMI"/>
        <s v="PACK"/>
        <s v="GEN"/>
        <m/>
      </sharedItems>
    </cacheField>
    <cacheField name="COST" numFmtId="0">
      <sharedItems containsString="0" containsBlank="1" containsNumber="1" minValue="0.04" maxValue="20726.61"/>
    </cacheField>
    <cacheField name="QUANTITY" numFmtId="0">
      <sharedItems containsNonDate="0" containsString="0" containsBlank="1"/>
    </cacheField>
    <cacheField name="MONTH_CHAR" numFmtId="0">
      <sharedItems containsBlank="1" count="12">
        <s v="Oct"/>
        <s v="Jan"/>
        <s v="Feb"/>
        <s v="Mar"/>
        <s v="Apr"/>
        <s v="May"/>
        <s v="Jun"/>
        <s v="Aug"/>
        <s v="Sep"/>
        <s v="Nov"/>
        <s v="Dec"/>
        <m/>
      </sharedItems>
    </cacheField>
    <cacheField name="PERIOD" numFmtId="0">
      <sharedItems containsString="0" containsBlank="1" containsNumber="1" containsInteger="1" minValue="1" maxValue="11" count="12">
        <n v="3"/>
        <n v="6"/>
        <n v="7"/>
        <n v="8"/>
        <n v="9"/>
        <n v="10"/>
        <n v="11"/>
        <n v="1"/>
        <n v="2"/>
        <n v="4"/>
        <n v="5"/>
        <m/>
      </sharedItems>
    </cacheField>
  </cacheFields>
  <extLst>
    <ext xmlns:x14="http://schemas.microsoft.com/office/spreadsheetml/2009/9/main" uri="{725AE2AE-9491-48be-B2B4-4EB974FC3084}">
      <x14:pivotCacheDefinition/>
    </ext>
  </extLst>
</pivotCacheDefinition>
</file>

<file path=xl/pivotCache/pivotCacheDefinition38.xml><?xml version="1.0" encoding="utf-8"?>
<pivotCacheDefinition xmlns="http://schemas.openxmlformats.org/spreadsheetml/2006/main" xmlns:r="http://schemas.openxmlformats.org/officeDocument/2006/relationships" r:id="rId1" refreshedBy="Michelle Mercurio" refreshedDate="42486.726732523151" createdVersion="5" refreshedVersion="5" minRefreshableVersion="3" recordCount="30">
  <cacheSource type="worksheet">
    <worksheetSource ref="AE2:AK82" sheet="Quality_RU"/>
  </cacheSource>
  <cacheFields count="7">
    <cacheField name="RU_YEAR" numFmtId="0">
      <sharedItems containsString="0" containsBlank="1" containsNumber="1" containsInteger="1" minValue="2014" maxValue="2015" count="3">
        <n v="2014"/>
        <n v="2015"/>
        <m/>
      </sharedItems>
    </cacheField>
    <cacheField name="RU_MONTH" numFmtId="0">
      <sharedItems containsBlank="1"/>
    </cacheField>
    <cacheField name="CODE" numFmtId="0">
      <sharedItems containsBlank="1" count="8">
        <s v="FW"/>
        <s v="FM"/>
        <s v="ME"/>
        <s v="OE"/>
        <s v="DM"/>
        <s v="ST"/>
        <s v="BR"/>
        <m/>
      </sharedItems>
    </cacheField>
    <cacheField name="COST" numFmtId="0">
      <sharedItems containsString="0" containsBlank="1" containsNumber="1" minValue="0.04" maxValue="20362.89"/>
    </cacheField>
    <cacheField name="QUANTITY" numFmtId="0">
      <sharedItems containsString="0" containsBlank="1" containsNumber="1" containsInteger="1" minValue="1" maxValue="294"/>
    </cacheField>
    <cacheField name="MONTH_CHAR" numFmtId="0">
      <sharedItems containsBlank="1" count="12">
        <s v="Oct"/>
        <s v="Jan"/>
        <s v="Feb"/>
        <s v="Mar"/>
        <s v="Apr"/>
        <s v="May"/>
        <s v="Jun"/>
        <s v="Aug"/>
        <s v="Sep"/>
        <s v="Nov"/>
        <s v="Dec"/>
        <m/>
      </sharedItems>
    </cacheField>
    <cacheField name="PERIOD" numFmtId="0">
      <sharedItems containsString="0" containsBlank="1" containsNumber="1" containsInteger="1" minValue="1" maxValue="11" count="12">
        <n v="3"/>
        <n v="6"/>
        <n v="7"/>
        <n v="8"/>
        <n v="9"/>
        <n v="10"/>
        <n v="11"/>
        <n v="1"/>
        <n v="2"/>
        <n v="4"/>
        <n v="5"/>
        <m/>
      </sharedItems>
    </cacheField>
  </cacheFields>
  <extLst>
    <ext xmlns:x14="http://schemas.microsoft.com/office/spreadsheetml/2009/9/main" uri="{725AE2AE-9491-48be-B2B4-4EB974FC3084}">
      <x14:pivotCacheDefinition/>
    </ext>
  </extLst>
</pivotCacheDefinition>
</file>

<file path=xl/pivotCache/pivotCacheDefinition39.xml><?xml version="1.0" encoding="utf-8"?>
<pivotCacheDefinition xmlns="http://schemas.openxmlformats.org/spreadsheetml/2006/main" xmlns:r="http://schemas.openxmlformats.org/officeDocument/2006/relationships" r:id="rId1" refreshedBy="Michelle Mercurio" refreshedDate="42486.726732870367" createdVersion="5" refreshedVersion="5" minRefreshableVersion="3" recordCount="30">
  <cacheSource type="worksheet">
    <worksheetSource ref="G2:M41" sheet="Quality_RU"/>
  </cacheSource>
  <cacheFields count="7">
    <cacheField name="RU_YEAR" numFmtId="0">
      <sharedItems containsString="0" containsBlank="1" containsNumber="1" containsInteger="1" minValue="2014" maxValue="2016" count="4">
        <n v="2015"/>
        <n v="2014"/>
        <n v="2016"/>
        <m/>
      </sharedItems>
    </cacheField>
    <cacheField name="RU_MONTH" numFmtId="0">
      <sharedItems containsBlank="1"/>
    </cacheField>
    <cacheField name="SALES" numFmtId="0">
      <sharedItems containsString="0" containsBlank="1" containsNumber="1" containsInteger="1" minValue="0" maxValue="36739393"/>
    </cacheField>
    <cacheField name="REWORK" numFmtId="0">
      <sharedItems containsString="0" containsBlank="1" containsNumber="1" minValue="0.04" maxValue="20751.599999999999"/>
    </cacheField>
    <cacheField name="RW_PERCENT_SALES" numFmtId="0">
      <sharedItems containsString="0" containsBlank="1" containsNumber="1" minValue="0" maxValue="0.12"/>
    </cacheField>
    <cacheField name="MONTH_CHAR" numFmtId="0">
      <sharedItems containsBlank="1" count="13">
        <s v="Jan"/>
        <s v="Feb"/>
        <s v="Mar"/>
        <s v="Apr"/>
        <s v="May"/>
        <s v="Jun"/>
        <s v="Jul"/>
        <s v="Aug"/>
        <s v="Sep"/>
        <s v="Oct"/>
        <s v="Nov"/>
        <s v="Dec"/>
        <m/>
      </sharedItems>
    </cacheField>
    <cacheField name="PERIOD" numFmtId="0">
      <sharedItems containsString="0" containsBlank="1" containsNumber="1" containsInteger="1" minValue="1" maxValue="12" count="13">
        <n v="6"/>
        <n v="7"/>
        <n v="8"/>
        <n v="9"/>
        <n v="10"/>
        <n v="11"/>
        <n v="12"/>
        <n v="1"/>
        <n v="2"/>
        <n v="3"/>
        <n v="4"/>
        <n v="5"/>
        <m/>
      </sharedItems>
    </cacheField>
  </cacheFields>
  <extLst>
    <ext xmlns:x14="http://schemas.microsoft.com/office/spreadsheetml/2009/9/main" uri="{725AE2AE-9491-48be-B2B4-4EB974FC3084}">
      <x14:pivotCacheDefinition/>
    </ext>
  </extLst>
</pivotCacheDefinition>
</file>

<file path=xl/pivotCache/pivotCacheDefinition40.xml><?xml version="1.0" encoding="utf-8"?>
<pivotCacheDefinition xmlns="http://schemas.openxmlformats.org/spreadsheetml/2006/main" xmlns:r="http://schemas.openxmlformats.org/officeDocument/2006/relationships" r:id="rId1" refreshedBy="Michelle Mercurio" refreshedDate="42486.726733333337" createdVersion="5" refreshedVersion="5" minRefreshableVersion="3" recordCount="59">
  <cacheSource type="worksheet">
    <worksheetSource ref="O2:V80" sheet="P3_PRODUCTION_RU"/>
  </cacheSource>
  <cacheFields count="8">
    <cacheField name="FISCAL" numFmtId="0">
      <sharedItems containsNonDate="0" containsString="0" containsBlank="1"/>
    </cacheField>
    <cacheField name="RU_YEAR" numFmtId="0">
      <sharedItems containsString="0" containsBlank="1" containsNumber="1" containsInteger="1" minValue="2006" maxValue="2019" count="11">
        <n v="2006"/>
        <n v="2010"/>
        <n v="2011"/>
        <n v="2012"/>
        <n v="2013"/>
        <n v="2014"/>
        <n v="2015"/>
        <n v="2016"/>
        <n v="2017"/>
        <n v="2019"/>
        <m/>
      </sharedItems>
    </cacheField>
    <cacheField name="RU_MONTH" numFmtId="0">
      <sharedItems containsString="0" containsBlank="1" containsNumber="1" containsInteger="1" minValue="1" maxValue="12"/>
    </cacheField>
    <cacheField name="HOURS_EST" numFmtId="0">
      <sharedItems containsString="0" containsBlank="1" containsNumber="1" minValue="0" maxValue="19417.45"/>
    </cacheField>
    <cacheField name="HOURS_ACT" numFmtId="0">
      <sharedItems containsString="0" containsBlank="1" containsNumber="1" minValue="0.1" maxValue="1401.51"/>
    </cacheField>
    <cacheField name="MONTH_CHAR" numFmtId="0">
      <sharedItems containsBlank="1" count="13">
        <s v="Dec"/>
        <s v="Oct"/>
        <s v="May"/>
        <s v="Jul"/>
        <s v="Jan"/>
        <s v="Feb"/>
        <s v="Mar"/>
        <s v="Apr"/>
        <s v="Sep"/>
        <s v="Nov"/>
        <s v="Jun"/>
        <s v="Aug"/>
        <m/>
      </sharedItems>
    </cacheField>
    <cacheField name="PERIOD" numFmtId="0">
      <sharedItems containsString="0" containsBlank="1" containsNumber="1" containsInteger="1" minValue="0" maxValue="12" count="14">
        <m/>
        <n v="6"/>
        <n v="7"/>
        <n v="8"/>
        <n v="9"/>
        <n v="10"/>
        <n v="2"/>
        <n v="3"/>
        <n v="4"/>
        <n v="12"/>
        <n v="11"/>
        <n v="1"/>
        <n v="5"/>
        <n v="0" u="1"/>
      </sharedItems>
    </cacheField>
    <cacheField name="PERCENT_OF" numFmtId="0">
      <sharedItems containsString="0" containsBlank="1" containsNumber="1" minValue="0" maxValue="200"/>
    </cacheField>
  </cacheFields>
  <extLst>
    <ext xmlns:x14="http://schemas.microsoft.com/office/spreadsheetml/2009/9/main" uri="{725AE2AE-9491-48be-B2B4-4EB974FC3084}">
      <x14:pivotCacheDefinition/>
    </ext>
  </extLst>
</pivotCacheDefinition>
</file>

<file path=xl/pivotCache/pivotCacheDefinition41.xml><?xml version="1.0" encoding="utf-8"?>
<pivotCacheDefinition xmlns="http://schemas.openxmlformats.org/spreadsheetml/2006/main" xmlns:r="http://schemas.openxmlformats.org/officeDocument/2006/relationships" r:id="rId1" refreshedBy="Michelle Mercurio" refreshedDate="42486.726733564814" createdVersion="5" refreshedVersion="5" minRefreshableVersion="3" recordCount="15">
  <cacheSource type="worksheet">
    <worksheetSource ref="AF2:AJ35" sheet="QUOTE_RU1&amp;RU2"/>
  </cacheSource>
  <cacheFields count="5">
    <cacheField name="RU_YEAR" numFmtId="0">
      <sharedItems containsString="0" containsBlank="1" containsNumber="1" containsInteger="1" minValue="2015" maxValue="2016" count="3">
        <n v="2015"/>
        <n v="2016"/>
        <m/>
      </sharedItems>
    </cacheField>
    <cacheField name="RU_MONTH" numFmtId="0">
      <sharedItems containsBlank="1"/>
    </cacheField>
    <cacheField name="AVERAGE" numFmtId="0">
      <sharedItems containsString="0" containsBlank="1" containsNumber="1" containsInteger="1" minValue="41861" maxValue="42246"/>
    </cacheField>
    <cacheField name="MONTH_CHAR" numFmtId="0">
      <sharedItems containsBlank="1" count="7">
        <s v="Mar"/>
        <s v="May"/>
        <s v="Aug"/>
        <s v="Sep"/>
        <s v="Oct"/>
        <m/>
        <s v="Dec" u="1"/>
      </sharedItems>
    </cacheField>
    <cacheField name="PERIOD" numFmtId="0">
      <sharedItems containsString="0" containsBlank="1" containsNumber="1" containsInteger="1" minValue="1" maxValue="10" count="7">
        <n v="8"/>
        <n v="10"/>
        <n v="1"/>
        <n v="2"/>
        <n v="3"/>
        <m/>
        <n v="5" u="1"/>
      </sharedItems>
    </cacheField>
  </cacheFields>
  <extLst>
    <ext xmlns:x14="http://schemas.microsoft.com/office/spreadsheetml/2009/9/main" uri="{725AE2AE-9491-48be-B2B4-4EB974FC3084}">
      <x14:pivotCacheDefinition/>
    </ext>
  </extLst>
</pivotCacheDefinition>
</file>

<file path=xl/pivotCache/pivotCacheDefinition42.xml><?xml version="1.0" encoding="utf-8"?>
<pivotCacheDefinition xmlns="http://schemas.openxmlformats.org/spreadsheetml/2006/main" xmlns:r="http://schemas.openxmlformats.org/officeDocument/2006/relationships" r:id="rId1" refreshedBy="Michelle Mercurio" refreshedDate="42486.726733912037" createdVersion="5" refreshedVersion="5" minRefreshableVersion="3" recordCount="15">
  <cacheSource type="worksheet">
    <worksheetSource ref="AX2:BB28" sheet="QUOTE_RU1&amp;RU2"/>
  </cacheSource>
  <cacheFields count="5">
    <cacheField name="RU_YEAR" numFmtId="0">
      <sharedItems containsString="0" containsBlank="1" containsNumber="1" containsInteger="1" minValue="2015" maxValue="2016" count="3">
        <n v="2015"/>
        <n v="2016"/>
        <m/>
      </sharedItems>
    </cacheField>
    <cacheField name="RU_MONTH" numFmtId="0">
      <sharedItems containsBlank="1"/>
    </cacheField>
    <cacheField name="AVERAGE" numFmtId="0">
      <sharedItems containsString="0" containsBlank="1" containsNumber="1" minValue="88.09" maxValue="59500"/>
    </cacheField>
    <cacheField name="MONTH_CHAR" numFmtId="0">
      <sharedItems containsBlank="1" count="7">
        <s v="Mar"/>
        <s v="May"/>
        <s v="Aug"/>
        <s v="Sep"/>
        <s v="Oct"/>
        <m/>
        <s v="Dec" u="1"/>
      </sharedItems>
    </cacheField>
    <cacheField name="PERIOD" numFmtId="0">
      <sharedItems containsString="0" containsBlank="1" containsNumber="1" containsInteger="1" minValue="1" maxValue="10" count="7">
        <n v="8"/>
        <n v="10"/>
        <n v="1"/>
        <n v="2"/>
        <n v="3"/>
        <m/>
        <n v="5" u="1"/>
      </sharedItems>
    </cacheField>
  </cacheFields>
  <extLst>
    <ext xmlns:x14="http://schemas.microsoft.com/office/spreadsheetml/2009/9/main" uri="{725AE2AE-9491-48be-B2B4-4EB974FC3084}">
      <x14:pivotCacheDefinition/>
    </ext>
  </extLst>
</pivotCacheDefinition>
</file>

<file path=xl/pivotCache/pivotCacheDefinition43.xml><?xml version="1.0" encoding="utf-8"?>
<pivotCacheDefinition xmlns="http://schemas.openxmlformats.org/spreadsheetml/2006/main" xmlns:r="http://schemas.openxmlformats.org/officeDocument/2006/relationships" r:id="rId1" refreshedBy="Michelle Mercurio" refreshedDate="42486.72673425926" createdVersion="5" refreshedVersion="5" minRefreshableVersion="3" recordCount="20">
  <cacheSource type="worksheet">
    <worksheetSource ref="A2:J272" sheet="QUOTE_RU1&amp;RU2"/>
  </cacheSource>
  <cacheFields count="10">
    <cacheField name="RU_YEAR" numFmtId="0">
      <sharedItems containsString="0" containsBlank="1" containsNumber="1" containsInteger="1" minValue="2015" maxValue="2016" count="3">
        <n v="2015"/>
        <n v="2016"/>
        <m/>
      </sharedItems>
    </cacheField>
    <cacheField name="RU_MONTH" numFmtId="0">
      <sharedItems containsString="0" containsBlank="1" containsNumber="1" containsInteger="1" minValue="3" maxValue="10"/>
    </cacheField>
    <cacheField name="PERCENT_WON" numFmtId="0">
      <sharedItems containsString="0" containsBlank="1" containsNumber="1" minValue="71.430000000000007" maxValue="100"/>
    </cacheField>
    <cacheField name="PERCENT_LOSS" numFmtId="0">
      <sharedItems containsNonDate="0" containsString="0" containsBlank="1"/>
    </cacheField>
    <cacheField name="PERCENT_CLOSE" numFmtId="0">
      <sharedItems containsNonDate="0" containsString="0" containsBlank="1"/>
    </cacheField>
    <cacheField name="PERCENT_OPEN" numFmtId="0">
      <sharedItems containsString="0" containsBlank="1" containsNumber="1" minValue="28.57" maxValue="100"/>
    </cacheField>
    <cacheField name="CUSTOMER" numFmtId="0">
      <sharedItems containsBlank="1"/>
    </cacheField>
    <cacheField name="CUSTOMER_NAME" numFmtId="0">
      <sharedItems containsNonDate="0" containsBlank="1" count="16">
        <m/>
        <s v="CASHSALE" u="1"/>
        <s v="Stihl Pty Ltd Head Office" u="1"/>
        <s v="Stihl Ltd" u="1"/>
        <s v="Fruitfed Supplies Hastings" u="1"/>
        <s v="COMPANY B" u="1"/>
        <s v="NZ Safety Hornby" u="1"/>
        <s v="Bay Trade Supplies Ltd" u="1"/>
        <s v="Styx Mill Clothing" u="1"/>
        <s v="Woodchuck Equipment SA" u="1"/>
        <s v="COMPANY U" u="1"/>
        <s v="NZ Safety Dunedin" u="1"/>
        <s v="United Agri Products Ltd" u="1"/>
        <s v="Jackson Smith" u="1"/>
        <s v="Farmlands Trading Society" u="1"/>
        <s v="OMC Power Equipment" u="1"/>
      </sharedItems>
    </cacheField>
    <cacheField name="MONTH_CHAR" numFmtId="0">
      <sharedItems containsBlank="1" count="7">
        <s v="Oct"/>
        <s v="Sep"/>
        <s v="Aug"/>
        <s v="May"/>
        <s v="Mar"/>
        <m/>
        <s v="Dec" u="1"/>
      </sharedItems>
    </cacheField>
    <cacheField name="PERIOD" numFmtId="0">
      <sharedItems containsString="0" containsBlank="1" containsNumber="1" containsInteger="1" minValue="1" maxValue="10" count="7">
        <n v="3"/>
        <n v="2"/>
        <n v="1"/>
        <n v="10"/>
        <n v="8"/>
        <m/>
        <n v="5" u="1"/>
      </sharedItems>
    </cacheField>
  </cacheFields>
  <extLst>
    <ext xmlns:x14="http://schemas.microsoft.com/office/spreadsheetml/2009/9/main" uri="{725AE2AE-9491-48be-B2B4-4EB974FC3084}">
      <x14:pivotCacheDefinition/>
    </ext>
  </extLst>
</pivotCacheDefinition>
</file>

<file path=xl/pivotCache/pivotCacheDefinition44.xml><?xml version="1.0" encoding="utf-8"?>
<pivotCacheDefinition xmlns="http://schemas.openxmlformats.org/spreadsheetml/2006/main" xmlns:r="http://schemas.openxmlformats.org/officeDocument/2006/relationships" r:id="rId1" refreshOnLoad="1" refreshedBy="Michelle Mercurio" refreshedDate="42486.726737962963" createdVersion="5" refreshedVersion="5" minRefreshableVersion="3" recordCount="31">
  <cacheSource type="worksheet">
    <worksheetSource ref="D2:I68" sheet="SALES_RU"/>
  </cacheSource>
  <cacheFields count="6">
    <cacheField name="RU_YEAR" numFmtId="0">
      <sharedItems containsString="0" containsBlank="1" containsNumber="1" containsInteger="1" minValue="2015" maxValue="2016" count="3">
        <n v="2016"/>
        <n v="2015"/>
        <m/>
      </sharedItems>
    </cacheField>
    <cacheField name="RU_MONTH" numFmtId="0">
      <sharedItems containsString="0" containsBlank="1" containsNumber="1" containsInteger="1" minValue="1" maxValue="12"/>
    </cacheField>
    <cacheField name="OPEN_ORDER_TOTAL" numFmtId="0">
      <sharedItems containsString="0" containsBlank="1" containsNumber="1" minValue="677.7" maxValue="419068.17"/>
    </cacheField>
    <cacheField name="OPEN_ORDER_LINES" numFmtId="0">
      <sharedItems containsString="0" containsBlank="1" containsNumber="1" containsInteger="1" minValue="2" maxValue="103"/>
    </cacheField>
    <cacheField name="MONTH_CHAR" numFmtId="0">
      <sharedItems containsBlank="1" count="12">
        <s v="Jan"/>
        <s v="Feb"/>
        <s v="Mar"/>
        <s v="May"/>
        <s v="Jun"/>
        <s v="Jul"/>
        <s v="Aug"/>
        <s v="Sep"/>
        <s v="Oct"/>
        <s v="Nov"/>
        <s v="Dec"/>
        <m/>
      </sharedItems>
    </cacheField>
    <cacheField name="PERIOD" numFmtId="0">
      <sharedItems containsString="0" containsBlank="1" containsNumber="1" containsInteger="1" minValue="1" maxValue="12" count="12">
        <n v="6"/>
        <n v="7"/>
        <n v="8"/>
        <n v="10"/>
        <n v="11"/>
        <n v="12"/>
        <n v="1"/>
        <n v="2"/>
        <n v="3"/>
        <n v="4"/>
        <n v="5"/>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
  <r>
    <x v="0"/>
    <n v="9"/>
    <n v="26836.6"/>
    <n v="396.37"/>
    <x v="0"/>
    <x v="0"/>
  </r>
  <r>
    <x v="0"/>
    <n v="8"/>
    <n v="14725.6"/>
    <n v="226.76"/>
    <x v="1"/>
    <x v="1"/>
  </r>
  <r>
    <x v="1"/>
    <n v="7"/>
    <n v="35532.83"/>
    <n v="158.04"/>
    <x v="2"/>
    <x v="2"/>
  </r>
  <r>
    <x v="1"/>
    <n v="6"/>
    <n v="35700"/>
    <n v="103.17"/>
    <x v="3"/>
    <x v="3"/>
  </r>
  <r>
    <x v="1"/>
    <n v="5"/>
    <n v="22415.81"/>
    <n v="232.46"/>
    <x v="4"/>
    <x v="4"/>
  </r>
  <r>
    <x v="1"/>
    <n v="4"/>
    <n v="33034.400000000001"/>
    <n v="248.91"/>
    <x v="5"/>
    <x v="5"/>
  </r>
  <r>
    <x v="1"/>
    <n v="3"/>
    <n v="45381.45"/>
    <n v="344.37"/>
    <x v="6"/>
    <x v="6"/>
  </r>
  <r>
    <x v="1"/>
    <n v="2"/>
    <n v="26942.51"/>
    <n v="226.6"/>
    <x v="7"/>
    <x v="7"/>
  </r>
  <r>
    <x v="1"/>
    <n v="1"/>
    <n v="32271.88"/>
    <n v="299.14"/>
    <x v="8"/>
    <x v="8"/>
  </r>
  <r>
    <x v="1"/>
    <n v="12"/>
    <n v="51525.8"/>
    <n v="207.23"/>
    <x v="9"/>
    <x v="9"/>
  </r>
  <r>
    <x v="1"/>
    <n v="11"/>
    <n v="71897.05"/>
    <n v="170.31"/>
    <x v="10"/>
    <x v="10"/>
  </r>
  <r>
    <x v="1"/>
    <n v="10"/>
    <n v="32374.7"/>
    <n v="218.12"/>
    <x v="11"/>
    <x v="11"/>
  </r>
  <r>
    <x v="1"/>
    <n v="9"/>
    <n v="27052"/>
    <n v="343.44"/>
    <x v="0"/>
    <x v="0"/>
  </r>
  <r>
    <x v="1"/>
    <n v="8"/>
    <n v="36431.279999999999"/>
    <n v="334.9"/>
    <x v="1"/>
    <x v="1"/>
  </r>
  <r>
    <x v="2"/>
    <n v="7"/>
    <n v="0"/>
    <n v="0"/>
    <x v="2"/>
    <x v="2"/>
  </r>
  <r>
    <x v="2"/>
    <n v="10"/>
    <n v="520296"/>
    <n v="570.5"/>
    <x v="11"/>
    <x v="11"/>
  </r>
  <r>
    <x v="3"/>
    <m/>
    <m/>
    <m/>
    <x v="12"/>
    <x v="12"/>
  </r>
  <r>
    <x v="3"/>
    <m/>
    <m/>
    <m/>
    <x v="12"/>
    <x v="12"/>
  </r>
  <r>
    <x v="3"/>
    <m/>
    <m/>
    <m/>
    <x v="12"/>
    <x v="12"/>
  </r>
  <r>
    <x v="3"/>
    <m/>
    <m/>
    <m/>
    <x v="12"/>
    <x v="12"/>
  </r>
  <r>
    <x v="3"/>
    <m/>
    <m/>
    <m/>
    <x v="12"/>
    <x v="12"/>
  </r>
  <r>
    <x v="3"/>
    <m/>
    <m/>
    <m/>
    <x v="12"/>
    <x v="12"/>
  </r>
  <r>
    <x v="3"/>
    <m/>
    <m/>
    <m/>
    <x v="12"/>
    <x v="12"/>
  </r>
  <r>
    <x v="3"/>
    <m/>
    <m/>
    <m/>
    <x v="12"/>
    <x v="12"/>
  </r>
  <r>
    <x v="3"/>
    <m/>
    <m/>
    <m/>
    <x v="12"/>
    <x v="12"/>
  </r>
  <r>
    <x v="3"/>
    <m/>
    <m/>
    <m/>
    <x v="12"/>
    <x v="12"/>
  </r>
  <r>
    <x v="3"/>
    <m/>
    <m/>
    <m/>
    <x v="12"/>
    <x v="12"/>
  </r>
  <r>
    <x v="3"/>
    <m/>
    <m/>
    <m/>
    <x v="12"/>
    <x v="12"/>
  </r>
  <r>
    <x v="3"/>
    <m/>
    <m/>
    <m/>
    <x v="12"/>
    <x v="12"/>
  </r>
  <r>
    <x v="3"/>
    <m/>
    <m/>
    <m/>
    <x v="12"/>
    <x v="12"/>
  </r>
  <r>
    <x v="3"/>
    <m/>
    <m/>
    <m/>
    <x v="12"/>
    <x v="12"/>
  </r>
</pivotCacheRecords>
</file>

<file path=xl/pivotCache/pivotCacheRecords2.xml><?xml version="1.0" encoding="utf-8"?>
<pivotCacheRecords xmlns="http://schemas.openxmlformats.org/spreadsheetml/2006/main" xmlns:r="http://schemas.openxmlformats.org/officeDocument/2006/relationships" count="7">
  <r>
    <x v="0"/>
    <n v="25305"/>
    <n v="1352"/>
    <n v="5.3428176249753011E-2"/>
  </r>
  <r>
    <x v="1"/>
    <n v="35862"/>
    <n v="2485"/>
    <n v="6.9293402487312472E-2"/>
  </r>
  <r>
    <x v="2"/>
    <n v="42853"/>
    <n v="3852"/>
    <n v="8.9888689239959865E-2"/>
  </r>
  <r>
    <x v="3"/>
    <n v="54685"/>
    <n v="3252"/>
    <n v="5.9467861387949163E-2"/>
  </r>
  <r>
    <x v="4"/>
    <n v="65252"/>
    <n v="4525"/>
    <n v="6.9346533439588062E-2"/>
  </r>
  <r>
    <x v="5"/>
    <n v="45286"/>
    <n v="3852"/>
    <n v="8.5059400256149803E-2"/>
  </r>
  <r>
    <x v="6"/>
    <n v="35895"/>
    <n v="2856"/>
    <n v="7.9565399080651897E-2"/>
  </r>
</pivotCacheRecords>
</file>

<file path=xl/pivotCache/pivotCacheRecords3.xml><?xml version="1.0" encoding="utf-8"?>
<pivotCacheRecords xmlns="http://schemas.openxmlformats.org/spreadsheetml/2006/main" xmlns:r="http://schemas.openxmlformats.org/officeDocument/2006/relationships" count="31">
  <r>
    <x v="0"/>
    <n v="1"/>
    <n v="17814080"/>
    <n v="12675792.76"/>
    <n v="140.54"/>
    <x v="0"/>
    <n v="6"/>
  </r>
  <r>
    <x v="0"/>
    <n v="2"/>
    <n v="15491948"/>
    <n v="12675792.76"/>
    <n v="122.22"/>
    <x v="1"/>
    <n v="7"/>
  </r>
  <r>
    <x v="0"/>
    <n v="3"/>
    <n v="30904773"/>
    <n v="12675792.76"/>
    <n v="243.81"/>
    <x v="2"/>
    <n v="8"/>
  </r>
  <r>
    <x v="0"/>
    <n v="4"/>
    <n v="26460562"/>
    <n v="12675792.76"/>
    <n v="208.75"/>
    <x v="3"/>
    <n v="9"/>
  </r>
  <r>
    <x v="0"/>
    <n v="5"/>
    <n v="19456929"/>
    <n v="12675792.76"/>
    <n v="153.5"/>
    <x v="4"/>
    <n v="10"/>
  </r>
  <r>
    <x v="0"/>
    <n v="6"/>
    <n v="20813105"/>
    <n v="12675792.76"/>
    <n v="164.2"/>
    <x v="5"/>
    <n v="11"/>
  </r>
  <r>
    <x v="1"/>
    <n v="7"/>
    <n v="0"/>
    <n v="12675792.76"/>
    <n v="0"/>
    <x v="6"/>
    <n v="12"/>
  </r>
  <r>
    <x v="0"/>
    <n v="7"/>
    <n v="32832337"/>
    <n v="12675792.76"/>
    <n v="259.02"/>
    <x v="6"/>
    <n v="12"/>
  </r>
  <r>
    <x v="0"/>
    <n v="8"/>
    <n v="19818618"/>
    <n v="12675792.76"/>
    <n v="156.35"/>
    <x v="7"/>
    <n v="1"/>
  </r>
  <r>
    <x v="2"/>
    <n v="8"/>
    <n v="8157987"/>
    <n v="12675792.76"/>
    <n v="64.36"/>
    <x v="7"/>
    <n v="1"/>
  </r>
  <r>
    <x v="0"/>
    <n v="9"/>
    <n v="16312359"/>
    <n v="12675792.76"/>
    <n v="128.69"/>
    <x v="8"/>
    <n v="2"/>
  </r>
  <r>
    <x v="2"/>
    <n v="9"/>
    <n v="3005700"/>
    <n v="12675792.76"/>
    <n v="23.71"/>
    <x v="8"/>
    <n v="2"/>
  </r>
  <r>
    <x v="1"/>
    <n v="10"/>
    <n v="1560888"/>
    <n v="12675792.76"/>
    <n v="12.31"/>
    <x v="9"/>
    <n v="3"/>
  </r>
  <r>
    <x v="0"/>
    <n v="10"/>
    <n v="18162210"/>
    <n v="12675792.76"/>
    <n v="143.28"/>
    <x v="9"/>
    <n v="3"/>
  </r>
  <r>
    <x v="0"/>
    <n v="11"/>
    <n v="36739393"/>
    <n v="12675792.76"/>
    <n v="289.83999999999997"/>
    <x v="10"/>
    <n v="4"/>
  </r>
  <r>
    <x v="0"/>
    <n v="12"/>
    <n v="26690365"/>
    <n v="12675792.76"/>
    <n v="210.56"/>
    <x v="11"/>
    <n v="5"/>
  </r>
  <r>
    <x v="3"/>
    <m/>
    <m/>
    <m/>
    <m/>
    <x v="12"/>
    <m/>
  </r>
  <r>
    <x v="3"/>
    <m/>
    <m/>
    <m/>
    <m/>
    <x v="12"/>
    <m/>
  </r>
  <r>
    <x v="3"/>
    <m/>
    <m/>
    <m/>
    <m/>
    <x v="12"/>
    <m/>
  </r>
  <r>
    <x v="3"/>
    <m/>
    <m/>
    <m/>
    <m/>
    <x v="12"/>
    <m/>
  </r>
  <r>
    <x v="3"/>
    <m/>
    <m/>
    <m/>
    <m/>
    <x v="12"/>
    <m/>
  </r>
  <r>
    <x v="3"/>
    <m/>
    <m/>
    <m/>
    <m/>
    <x v="12"/>
    <m/>
  </r>
  <r>
    <x v="3"/>
    <m/>
    <m/>
    <m/>
    <m/>
    <x v="12"/>
    <m/>
  </r>
  <r>
    <x v="3"/>
    <m/>
    <m/>
    <m/>
    <m/>
    <x v="12"/>
    <m/>
  </r>
  <r>
    <x v="3"/>
    <m/>
    <m/>
    <m/>
    <m/>
    <x v="12"/>
    <m/>
  </r>
  <r>
    <x v="3"/>
    <m/>
    <m/>
    <m/>
    <m/>
    <x v="12"/>
    <m/>
  </r>
  <r>
    <x v="3"/>
    <m/>
    <m/>
    <m/>
    <m/>
    <x v="12"/>
    <m/>
  </r>
  <r>
    <x v="3"/>
    <m/>
    <m/>
    <m/>
    <m/>
    <x v="12"/>
    <m/>
  </r>
  <r>
    <x v="3"/>
    <m/>
    <m/>
    <m/>
    <m/>
    <x v="12"/>
    <m/>
  </r>
  <r>
    <x v="3"/>
    <m/>
    <m/>
    <m/>
    <m/>
    <x v="12"/>
    <m/>
  </r>
  <r>
    <x v="3"/>
    <m/>
    <m/>
    <m/>
    <m/>
    <x v="12"/>
    <m/>
  </r>
</pivotCacheRecords>
</file>

<file path=xl/pivotCache/pivotCacheRecords4.xml><?xml version="1.0" encoding="utf-8"?>
<pivotCacheRecords xmlns="http://schemas.openxmlformats.org/spreadsheetml/2006/main" xmlns:r="http://schemas.openxmlformats.org/officeDocument/2006/relationships" count="28">
  <r>
    <x v="0"/>
    <n v="1560888"/>
    <x v="0"/>
    <n v="0"/>
  </r>
  <r>
    <x v="0"/>
    <n v="271306083"/>
    <x v="1"/>
    <n v="42.31"/>
  </r>
  <r>
    <x v="1"/>
    <n v="10190596"/>
    <x v="1"/>
    <n v="28.91"/>
  </r>
  <r>
    <x v="0"/>
    <n v="10508479"/>
    <x v="2"/>
    <n v="43.11"/>
  </r>
  <r>
    <x v="1"/>
    <n v="655208"/>
    <x v="2"/>
    <n v="18.72"/>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pivotCacheRecords>
</file>

<file path=xl/pivotCache/pivotCacheRecords5.xml><?xml version="1.0" encoding="utf-8"?>
<pivotCacheRecords xmlns="http://schemas.openxmlformats.org/spreadsheetml/2006/main" xmlns:r="http://schemas.openxmlformats.org/officeDocument/2006/relationships" count="2">
  <r>
    <m/>
    <x v="0"/>
    <m/>
    <m/>
    <m/>
    <m/>
    <m/>
    <x v="0"/>
    <x v="0"/>
  </r>
  <r>
    <m/>
    <x v="0"/>
    <m/>
    <m/>
    <m/>
    <m/>
    <m/>
    <x v="0"/>
    <x v="0"/>
  </r>
</pivotCacheRecords>
</file>

<file path=xl/pivotCache/pivotCacheRecords6.xml><?xml version="1.0" encoding="utf-8"?>
<pivotCacheRecords xmlns="http://schemas.openxmlformats.org/spreadsheetml/2006/main" xmlns:r="http://schemas.openxmlformats.org/officeDocument/2006/relationships" count="22">
  <r>
    <x v="0"/>
    <x v="0"/>
    <n v="480592"/>
  </r>
  <r>
    <x v="0"/>
    <x v="1"/>
    <n v="281016087"/>
  </r>
  <r>
    <x v="1"/>
    <x v="0"/>
    <m/>
  </r>
  <r>
    <x v="1"/>
    <x v="0"/>
    <m/>
  </r>
  <r>
    <x v="1"/>
    <x v="0"/>
    <m/>
  </r>
  <r>
    <x v="1"/>
    <x v="0"/>
    <m/>
  </r>
  <r>
    <x v="1"/>
    <x v="0"/>
    <m/>
  </r>
  <r>
    <x v="1"/>
    <x v="0"/>
    <m/>
  </r>
  <r>
    <x v="1"/>
    <x v="0"/>
    <m/>
  </r>
  <r>
    <x v="1"/>
    <x v="0"/>
    <m/>
  </r>
  <r>
    <x v="1"/>
    <x v="0"/>
    <m/>
  </r>
  <r>
    <x v="1"/>
    <x v="0"/>
    <m/>
  </r>
  <r>
    <x v="1"/>
    <x v="0"/>
    <m/>
  </r>
  <r>
    <x v="1"/>
    <x v="0"/>
    <m/>
  </r>
  <r>
    <x v="1"/>
    <x v="0"/>
    <m/>
  </r>
  <r>
    <x v="1"/>
    <x v="0"/>
    <m/>
  </r>
  <r>
    <x v="1"/>
    <x v="0"/>
    <m/>
  </r>
  <r>
    <x v="1"/>
    <x v="0"/>
    <m/>
  </r>
  <r>
    <x v="1"/>
    <x v="0"/>
    <m/>
  </r>
  <r>
    <x v="1"/>
    <x v="0"/>
    <m/>
  </r>
  <r>
    <x v="1"/>
    <x v="0"/>
    <m/>
  </r>
  <r>
    <x v="1"/>
    <x v="0"/>
    <m/>
  </r>
</pivotCacheRecords>
</file>

<file path=xl/pivotCache/pivotCacheRecords7.xml><?xml version="1.0" encoding="utf-8"?>
<pivotCacheRecords xmlns="http://schemas.openxmlformats.org/spreadsheetml/2006/main" xmlns:r="http://schemas.openxmlformats.org/officeDocument/2006/relationships" count="22">
  <r>
    <x v="0"/>
    <x v="0"/>
    <n v="237462"/>
  </r>
  <r>
    <x v="0"/>
    <x v="1"/>
    <n v="10926225"/>
  </r>
  <r>
    <x v="1"/>
    <x v="0"/>
    <m/>
  </r>
  <r>
    <x v="1"/>
    <x v="0"/>
    <m/>
  </r>
  <r>
    <x v="1"/>
    <x v="0"/>
    <m/>
  </r>
  <r>
    <x v="1"/>
    <x v="0"/>
    <m/>
  </r>
  <r>
    <x v="1"/>
    <x v="0"/>
    <m/>
  </r>
  <r>
    <x v="1"/>
    <x v="0"/>
    <m/>
  </r>
  <r>
    <x v="1"/>
    <x v="0"/>
    <m/>
  </r>
  <r>
    <x v="1"/>
    <x v="0"/>
    <m/>
  </r>
  <r>
    <x v="1"/>
    <x v="0"/>
    <m/>
  </r>
  <r>
    <x v="1"/>
    <x v="0"/>
    <m/>
  </r>
  <r>
    <x v="1"/>
    <x v="0"/>
    <m/>
  </r>
  <r>
    <x v="1"/>
    <x v="0"/>
    <m/>
  </r>
  <r>
    <x v="1"/>
    <x v="0"/>
    <m/>
  </r>
  <r>
    <x v="1"/>
    <x v="0"/>
    <m/>
  </r>
  <r>
    <x v="1"/>
    <x v="0"/>
    <m/>
  </r>
  <r>
    <x v="1"/>
    <x v="0"/>
    <m/>
  </r>
  <r>
    <x v="1"/>
    <x v="0"/>
    <m/>
  </r>
  <r>
    <x v="1"/>
    <x v="0"/>
    <m/>
  </r>
  <r>
    <x v="1"/>
    <x v="0"/>
    <m/>
  </r>
  <r>
    <x v="1"/>
    <x v="0"/>
    <m/>
  </r>
</pivotCacheRecords>
</file>

<file path=xl/pivotCache/pivotCacheRecords8.xml><?xml version="1.0" encoding="utf-8"?>
<pivotCacheRecords xmlns="http://schemas.openxmlformats.org/spreadsheetml/2006/main" xmlns:r="http://schemas.openxmlformats.org/officeDocument/2006/relationships" count="3">
  <r>
    <x v="0"/>
    <m/>
    <m/>
    <x v="0"/>
    <x v="0"/>
  </r>
  <r>
    <x v="0"/>
    <m/>
    <m/>
    <x v="0"/>
    <x v="0"/>
  </r>
  <r>
    <x v="0"/>
    <m/>
    <m/>
    <x v="0"/>
    <x v="0"/>
  </r>
</pivotCacheRecords>
</file>

<file path=xl/pivotCache/pivotCacheRecords9.xml><?xml version="1.0" encoding="utf-8"?>
<pivotCacheRecords xmlns="http://schemas.openxmlformats.org/spreadsheetml/2006/main" xmlns:r="http://schemas.openxmlformats.org/officeDocument/2006/relationships" count="23">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r>
    <x v="0"/>
    <m/>
    <m/>
    <x v="0"/>
  </r>
</pivotCacheRecords>
</file>

<file path=xl/pivotCache/pivotCacheRecords10.xml><?xml version="1.0" encoding="utf-8"?>
<pivotCacheRecords xmlns="http://schemas.openxmlformats.org/spreadsheetml/2006/main" xmlns:r="http://schemas.openxmlformats.org/officeDocument/2006/relationships" count="14">
  <r>
    <x v="0"/>
    <n v="26.03"/>
    <n v="73.97"/>
    <x v="0"/>
  </r>
  <r>
    <x v="0"/>
    <n v="261.64999999999998"/>
    <n v="0"/>
    <x v="1"/>
  </r>
  <r>
    <x v="1"/>
    <m/>
    <m/>
    <x v="2"/>
  </r>
  <r>
    <x v="1"/>
    <m/>
    <m/>
    <x v="2"/>
  </r>
  <r>
    <x v="1"/>
    <m/>
    <m/>
    <x v="2"/>
  </r>
  <r>
    <x v="1"/>
    <m/>
    <m/>
    <x v="2"/>
  </r>
  <r>
    <x v="1"/>
    <m/>
    <m/>
    <x v="2"/>
  </r>
  <r>
    <x v="1"/>
    <m/>
    <m/>
    <x v="2"/>
  </r>
  <r>
    <x v="1"/>
    <m/>
    <m/>
    <x v="2"/>
  </r>
  <r>
    <x v="1"/>
    <m/>
    <m/>
    <x v="2"/>
  </r>
  <r>
    <x v="1"/>
    <m/>
    <m/>
    <x v="2"/>
  </r>
  <r>
    <x v="1"/>
    <m/>
    <m/>
    <x v="2"/>
  </r>
  <r>
    <x v="1"/>
    <m/>
    <m/>
    <x v="2"/>
  </r>
  <r>
    <x v="1"/>
    <m/>
    <m/>
    <x v="2"/>
  </r>
</pivotCacheRecords>
</file>

<file path=xl/pivotCache/pivotCacheRecords11.xml><?xml version="1.0" encoding="utf-8"?>
<pivotCacheRecords xmlns="http://schemas.openxmlformats.org/spreadsheetml/2006/main" xmlns:r="http://schemas.openxmlformats.org/officeDocument/2006/relationships" count="15">
  <r>
    <x v="0"/>
    <n v="40.39"/>
    <n v="59.61"/>
    <x v="0"/>
  </r>
  <r>
    <x v="0"/>
    <n v="191.13"/>
    <n v="0"/>
    <x v="1"/>
  </r>
  <r>
    <x v="1"/>
    <m/>
    <m/>
    <x v="2"/>
  </r>
  <r>
    <x v="1"/>
    <m/>
    <m/>
    <x v="2"/>
  </r>
  <r>
    <x v="1"/>
    <m/>
    <m/>
    <x v="2"/>
  </r>
  <r>
    <x v="1"/>
    <m/>
    <m/>
    <x v="2"/>
  </r>
  <r>
    <x v="1"/>
    <m/>
    <m/>
    <x v="2"/>
  </r>
  <r>
    <x v="1"/>
    <m/>
    <m/>
    <x v="2"/>
  </r>
  <r>
    <x v="1"/>
    <m/>
    <m/>
    <x v="2"/>
  </r>
  <r>
    <x v="1"/>
    <m/>
    <m/>
    <x v="2"/>
  </r>
  <r>
    <x v="1"/>
    <m/>
    <m/>
    <x v="2"/>
  </r>
  <r>
    <x v="1"/>
    <m/>
    <m/>
    <x v="2"/>
  </r>
  <r>
    <x v="1"/>
    <m/>
    <m/>
    <x v="2"/>
  </r>
  <r>
    <x v="1"/>
    <m/>
    <m/>
    <x v="2"/>
  </r>
  <r>
    <x v="1"/>
    <m/>
    <m/>
    <x v="2"/>
  </r>
</pivotCacheRecords>
</file>

<file path=xl/pivotCache/pivotCacheRecords12.xml><?xml version="1.0" encoding="utf-8"?>
<pivotCacheRecords xmlns="http://schemas.openxmlformats.org/spreadsheetml/2006/main" xmlns:r="http://schemas.openxmlformats.org/officeDocument/2006/relationships" count="11">
  <r>
    <x v="0"/>
    <n v="6.56"/>
    <n v="93.44"/>
    <x v="0"/>
  </r>
  <r>
    <x v="0"/>
    <n v="184.39"/>
    <n v="0"/>
    <x v="1"/>
  </r>
  <r>
    <x v="0"/>
    <n v="1.04"/>
    <n v="98.96"/>
    <x v="2"/>
  </r>
  <r>
    <x v="1"/>
    <m/>
    <m/>
    <x v="3"/>
  </r>
  <r>
    <x v="1"/>
    <m/>
    <m/>
    <x v="3"/>
  </r>
  <r>
    <x v="1"/>
    <m/>
    <m/>
    <x v="3"/>
  </r>
  <r>
    <x v="1"/>
    <m/>
    <m/>
    <x v="3"/>
  </r>
  <r>
    <x v="1"/>
    <m/>
    <m/>
    <x v="3"/>
  </r>
  <r>
    <x v="1"/>
    <m/>
    <m/>
    <x v="3"/>
  </r>
  <r>
    <x v="1"/>
    <m/>
    <m/>
    <x v="3"/>
  </r>
  <r>
    <x v="1"/>
    <m/>
    <m/>
    <x v="3"/>
  </r>
</pivotCacheRecords>
</file>

<file path=xl/pivotCache/pivotCacheRecords13.xml><?xml version="1.0" encoding="utf-8"?>
<pivotCacheRecords xmlns="http://schemas.openxmlformats.org/spreadsheetml/2006/main" xmlns:r="http://schemas.openxmlformats.org/officeDocument/2006/relationships" count="33">
  <r>
    <x v="0"/>
    <n v="1560888"/>
    <x v="0"/>
    <n v="0"/>
  </r>
  <r>
    <x v="0"/>
    <n v="271306083"/>
    <x v="1"/>
    <n v="42.31"/>
  </r>
  <r>
    <x v="1"/>
    <n v="10190596"/>
    <x v="1"/>
    <n v="28.91"/>
  </r>
  <r>
    <x v="0"/>
    <n v="10508479"/>
    <x v="2"/>
    <n v="43.11"/>
  </r>
  <r>
    <x v="1"/>
    <n v="655208"/>
    <x v="2"/>
    <n v="18.72"/>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r>
    <x v="2"/>
    <m/>
    <x v="3"/>
    <m/>
  </r>
</pivotCacheRecords>
</file>

<file path=xl/pivotCache/pivotCacheRecords14.xml><?xml version="1.0" encoding="utf-8"?>
<pivotCacheRecords xmlns="http://schemas.openxmlformats.org/spreadsheetml/2006/main" xmlns:r="http://schemas.openxmlformats.org/officeDocument/2006/relationships" count="49">
  <r>
    <x v="0"/>
    <n v="480592"/>
    <m/>
    <n v="480592"/>
    <s v="AAABBB"/>
    <x v="0"/>
    <m/>
  </r>
  <r>
    <x v="0"/>
    <n v="237462"/>
    <m/>
    <n v="237462"/>
    <s v="AAABBB"/>
    <x v="1"/>
    <m/>
  </r>
  <r>
    <x v="1"/>
    <n v="417328"/>
    <n v="1.44"/>
    <n v="417329.44"/>
    <s v="EMP001"/>
    <x v="0"/>
    <m/>
  </r>
  <r>
    <x v="1"/>
    <n v="116064"/>
    <n v="2599.5500000000002"/>
    <n v="118663.55"/>
    <s v="EMP001"/>
    <x v="1"/>
    <m/>
  </r>
  <r>
    <x v="2"/>
    <n v="1365340"/>
    <m/>
    <n v="1365340"/>
    <s v="EMP002"/>
    <x v="0"/>
    <m/>
  </r>
  <r>
    <x v="2"/>
    <n v="411709"/>
    <n v="40872.519999999997"/>
    <n v="452581.52"/>
    <s v="EMP002"/>
    <x v="1"/>
    <m/>
  </r>
  <r>
    <x v="3"/>
    <n v="451903"/>
    <m/>
    <n v="451903"/>
    <s v="EMP003"/>
    <x v="0"/>
    <m/>
  </r>
  <r>
    <x v="3"/>
    <n v="80560"/>
    <n v="53245.53"/>
    <n v="133805.53"/>
    <s v="EMP003"/>
    <x v="1"/>
    <m/>
  </r>
  <r>
    <x v="4"/>
    <n v="674679"/>
    <m/>
    <n v="674679"/>
    <s v="EMP004"/>
    <x v="0"/>
    <m/>
  </r>
  <r>
    <x v="4"/>
    <n v="101972"/>
    <n v="23501.46"/>
    <n v="125473.46"/>
    <s v="EMP004"/>
    <x v="1"/>
    <m/>
  </r>
  <r>
    <x v="5"/>
    <n v="314610"/>
    <m/>
    <n v="314610"/>
    <s v="EMP005"/>
    <x v="0"/>
    <m/>
  </r>
  <r>
    <x v="5"/>
    <n v="19232"/>
    <n v="14656.34"/>
    <n v="33888.339999999997"/>
    <s v="EMP005"/>
    <x v="1"/>
    <m/>
  </r>
  <r>
    <x v="6"/>
    <n v="465180"/>
    <n v="4927.4399999999996"/>
    <n v="470107.44"/>
    <s v="EMP006"/>
    <x v="0"/>
    <m/>
  </r>
  <r>
    <x v="6"/>
    <n v="22774"/>
    <n v="24756.36"/>
    <n v="47530.36"/>
    <s v="EMP006"/>
    <x v="1"/>
    <m/>
  </r>
  <r>
    <x v="7"/>
    <n v="1760892"/>
    <m/>
    <n v="1760892"/>
    <s v="EMP007"/>
    <x v="0"/>
    <m/>
  </r>
  <r>
    <x v="7"/>
    <n v="103480"/>
    <n v="17295.64"/>
    <n v="120775.64"/>
    <s v="EMP007"/>
    <x v="1"/>
    <m/>
  </r>
  <r>
    <x v="8"/>
    <n v="1339471"/>
    <n v="4098.0200000000004"/>
    <n v="1343569.02"/>
    <s v="EMP008"/>
    <x v="0"/>
    <m/>
  </r>
  <r>
    <x v="8"/>
    <n v="345600"/>
    <n v="1292.17"/>
    <n v="346892.17"/>
    <s v="EMP008"/>
    <x v="1"/>
    <m/>
  </r>
  <r>
    <x v="9"/>
    <n v="4123450"/>
    <m/>
    <n v="4123450"/>
    <s v="EMP009"/>
    <x v="0"/>
    <m/>
  </r>
  <r>
    <x v="9"/>
    <n v="268414"/>
    <n v="7946.13"/>
    <n v="276360.13"/>
    <s v="EMP009"/>
    <x v="1"/>
    <m/>
  </r>
  <r>
    <x v="10"/>
    <n v="27577841"/>
    <n v="2241.19"/>
    <n v="27580082.190000001"/>
    <s v="EMP010"/>
    <x v="0"/>
    <m/>
  </r>
  <r>
    <x v="10"/>
    <n v="1274928"/>
    <n v="94582.26"/>
    <n v="1369510.26"/>
    <s v="EMP010"/>
    <x v="1"/>
    <m/>
  </r>
  <r>
    <x v="11"/>
    <m/>
    <n v="21151.91"/>
    <n v="21151.91"/>
    <s v="NEU001"/>
    <x v="0"/>
    <m/>
  </r>
  <r>
    <x v="11"/>
    <m/>
    <n v="99713.23"/>
    <n v="99713.23"/>
    <s v="NEU001"/>
    <x v="1"/>
    <m/>
  </r>
  <r>
    <x v="12"/>
    <n v="141707660"/>
    <m/>
    <n v="141707660"/>
    <s v="REB001"/>
    <x v="0"/>
    <m/>
  </r>
  <r>
    <x v="12"/>
    <n v="1398141"/>
    <n v="19586.16"/>
    <n v="1417727.16"/>
    <s v="REB001"/>
    <x v="1"/>
    <m/>
  </r>
  <r>
    <x v="13"/>
    <n v="1560888"/>
    <m/>
    <n v="1560888"/>
    <s v="REB002"/>
    <x v="2"/>
    <m/>
  </r>
  <r>
    <x v="13"/>
    <n v="74128402"/>
    <n v="16451.32"/>
    <n v="74144853.319999993"/>
    <s v="REB002"/>
    <x v="0"/>
    <m/>
  </r>
  <r>
    <x v="13"/>
    <n v="6532850"/>
    <n v="106482.62"/>
    <n v="6639332.6200000001"/>
    <s v="REB002"/>
    <x v="1"/>
    <m/>
  </r>
  <r>
    <x v="14"/>
    <n v="1368756"/>
    <m/>
    <n v="1368756"/>
    <s v="REB003"/>
    <x v="0"/>
    <m/>
  </r>
  <r>
    <x v="14"/>
    <n v="56250"/>
    <n v="39274.78"/>
    <n v="95524.78"/>
    <s v="REB003"/>
    <x v="1"/>
    <m/>
  </r>
  <r>
    <x v="15"/>
    <n v="21327292"/>
    <m/>
    <n v="21327292"/>
    <s v="REB004"/>
    <x v="0"/>
    <m/>
  </r>
  <r>
    <x v="15"/>
    <n v="125126"/>
    <n v="36355.599999999999"/>
    <n v="161481.60000000001"/>
    <s v="REB004"/>
    <x v="1"/>
    <m/>
  </r>
  <r>
    <x v="16"/>
    <n v="1680008"/>
    <m/>
    <n v="1680008"/>
    <s v="REB005"/>
    <x v="0"/>
    <m/>
  </r>
  <r>
    <x v="16"/>
    <n v="1692"/>
    <n v="23652.55"/>
    <n v="25344.55"/>
    <s v="REB005"/>
    <x v="1"/>
    <m/>
  </r>
  <r>
    <x v="17"/>
    <n v="1355402"/>
    <m/>
    <n v="1355402"/>
    <s v="REB006"/>
    <x v="0"/>
    <m/>
  </r>
  <r>
    <x v="17"/>
    <n v="37832"/>
    <n v="45094.82"/>
    <n v="82926.820000000007"/>
    <s v="REB006"/>
    <x v="1"/>
    <m/>
  </r>
  <r>
    <x v="18"/>
    <m/>
    <n v="406.62"/>
    <n v="406.62"/>
    <s v="REB007"/>
    <x v="0"/>
    <m/>
  </r>
  <r>
    <x v="18"/>
    <m/>
    <n v="116396.19"/>
    <n v="116396.19"/>
    <s v="REB007"/>
    <x v="1"/>
    <m/>
  </r>
  <r>
    <x v="0"/>
    <m/>
    <n v="14319.45"/>
    <n v="14319.45"/>
    <s v="REB008"/>
    <x v="1"/>
    <m/>
  </r>
  <r>
    <x v="19"/>
    <n v="957873"/>
    <n v="677.7"/>
    <n v="958550.7"/>
    <s v="REB009"/>
    <x v="0"/>
    <m/>
  </r>
  <r>
    <x v="19"/>
    <n v="29601"/>
    <n v="5838.29"/>
    <n v="35439.29"/>
    <s v="REB009"/>
    <x v="1"/>
    <m/>
  </r>
  <r>
    <x v="20"/>
    <m/>
    <n v="59657.14"/>
    <n v="59657.14"/>
    <s v="REB011"/>
    <x v="1"/>
    <m/>
  </r>
  <r>
    <x v="21"/>
    <m/>
    <n v="2475.27"/>
    <n v="2475.27"/>
    <s v="REB012"/>
    <x v="0"/>
    <m/>
  </r>
  <r>
    <x v="21"/>
    <m/>
    <n v="16660.64"/>
    <n v="16660.64"/>
    <s v="REB012"/>
    <x v="1"/>
    <m/>
  </r>
  <r>
    <x v="22"/>
    <m/>
    <n v="16118.24"/>
    <n v="16118.24"/>
    <s v="REB013"/>
    <x v="1"/>
    <m/>
  </r>
  <r>
    <x v="23"/>
    <m/>
    <n v="52721.36"/>
    <n v="52721.36"/>
    <s v="REB014"/>
    <x v="1"/>
    <m/>
  </r>
  <r>
    <x v="24"/>
    <m/>
    <n v="16072.38"/>
    <n v="16072.38"/>
    <s v="REB015"/>
    <x v="1"/>
    <m/>
  </r>
  <r>
    <x v="0"/>
    <m/>
    <m/>
    <m/>
    <m/>
    <x v="3"/>
    <m/>
  </r>
</pivotCacheRecords>
</file>

<file path=xl/pivotCache/pivotCacheRecords15.xml><?xml version="1.0" encoding="utf-8"?>
<pivotCacheRecords xmlns="http://schemas.openxmlformats.org/spreadsheetml/2006/main" xmlns:r="http://schemas.openxmlformats.org/officeDocument/2006/relationships" count="47">
  <r>
    <x v="0"/>
    <n v="118663.55"/>
    <n v="417329.44"/>
    <m/>
    <m/>
    <m/>
    <s v="EMP001"/>
  </r>
  <r>
    <x v="1"/>
    <n v="452581.52"/>
    <n v="1365340"/>
    <m/>
    <m/>
    <m/>
    <s v="EMP002"/>
  </r>
  <r>
    <x v="2"/>
    <n v="133805.53"/>
    <n v="451903"/>
    <m/>
    <m/>
    <m/>
    <s v="EMP003"/>
  </r>
  <r>
    <x v="3"/>
    <n v="125473.46"/>
    <n v="674679"/>
    <m/>
    <m/>
    <m/>
    <s v="EMP004"/>
  </r>
  <r>
    <x v="4"/>
    <n v="33888.339999999997"/>
    <n v="314610"/>
    <m/>
    <m/>
    <m/>
    <s v="EMP005"/>
  </r>
  <r>
    <x v="5"/>
    <n v="47530.36"/>
    <n v="470107.44"/>
    <m/>
    <m/>
    <m/>
    <s v="EMP006"/>
  </r>
  <r>
    <x v="6"/>
    <n v="120775.64"/>
    <n v="1760892"/>
    <m/>
    <m/>
    <m/>
    <s v="EMP007"/>
  </r>
  <r>
    <x v="7"/>
    <n v="1417727.16"/>
    <n v="141707660"/>
    <m/>
    <m/>
    <m/>
    <s v="REB001"/>
  </r>
  <r>
    <x v="8"/>
    <n v="6639332.6200000001"/>
    <n v="74144853.319999993"/>
    <n v="1560888"/>
    <m/>
    <m/>
    <s v="REB002"/>
  </r>
  <r>
    <x v="9"/>
    <n v="95524.78"/>
    <n v="1368756"/>
    <m/>
    <m/>
    <m/>
    <s v="REB003"/>
  </r>
  <r>
    <x v="10"/>
    <n v="161481.60000000001"/>
    <n v="21327292"/>
    <m/>
    <m/>
    <m/>
    <s v="REB004"/>
  </r>
  <r>
    <x v="11"/>
    <n v="25344.55"/>
    <n v="1680008"/>
    <m/>
    <m/>
    <m/>
    <s v="REB005"/>
  </r>
  <r>
    <x v="12"/>
    <n v="82926.820000000007"/>
    <n v="1355402"/>
    <m/>
    <m/>
    <m/>
    <s v="REB006"/>
  </r>
  <r>
    <x v="13"/>
    <n v="116396.19"/>
    <n v="406.62"/>
    <m/>
    <m/>
    <m/>
    <s v="REB007"/>
  </r>
  <r>
    <x v="14"/>
    <n v="35439.29"/>
    <n v="958550.7"/>
    <m/>
    <m/>
    <m/>
    <s v="REB009"/>
  </r>
  <r>
    <x v="15"/>
    <n v="59657.14"/>
    <m/>
    <m/>
    <m/>
    <m/>
    <s v="REB011"/>
  </r>
  <r>
    <x v="16"/>
    <n v="16660.64"/>
    <n v="2475.27"/>
    <m/>
    <m/>
    <m/>
    <s v="REB012"/>
  </r>
  <r>
    <x v="17"/>
    <n v="16118.24"/>
    <m/>
    <m/>
    <m/>
    <m/>
    <s v="REB013"/>
  </r>
  <r>
    <x v="18"/>
    <n v="52721.36"/>
    <m/>
    <m/>
    <m/>
    <m/>
    <s v="REB014"/>
  </r>
  <r>
    <x v="19"/>
    <n v="16072.38"/>
    <m/>
    <m/>
    <m/>
    <m/>
    <s v="REB015"/>
  </r>
  <r>
    <x v="20"/>
    <n v="346892.17"/>
    <n v="1343569.02"/>
    <m/>
    <m/>
    <m/>
    <s v="EMP008"/>
  </r>
  <r>
    <x v="21"/>
    <n v="276360.13"/>
    <n v="4123450"/>
    <m/>
    <m/>
    <m/>
    <s v="EMP009"/>
  </r>
  <r>
    <x v="22"/>
    <n v="1369510.26"/>
    <n v="27580082.190000001"/>
    <m/>
    <m/>
    <m/>
    <s v="EMP010"/>
  </r>
  <r>
    <x v="23"/>
    <n v="99713.23"/>
    <n v="21151.91"/>
    <m/>
    <m/>
    <m/>
    <s v="NEU001"/>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r>
    <x v="24"/>
    <m/>
    <m/>
    <m/>
    <m/>
    <m/>
    <m/>
  </r>
</pivotCacheRecords>
</file>

<file path=xl/pivotCache/pivotCacheRecords16.xml><?xml version="1.0" encoding="utf-8"?>
<pivotCacheRecords xmlns="http://schemas.openxmlformats.org/spreadsheetml/2006/main" xmlns:r="http://schemas.openxmlformats.org/officeDocument/2006/relationships" count="27">
  <r>
    <x v="0"/>
    <n v="1560888"/>
    <x v="0"/>
  </r>
  <r>
    <x v="1"/>
    <n v="480592"/>
    <x v="1"/>
  </r>
  <r>
    <x v="0"/>
    <n v="281016087"/>
    <x v="1"/>
  </r>
  <r>
    <x v="1"/>
    <n v="237462"/>
    <x v="2"/>
  </r>
  <r>
    <x v="0"/>
    <n v="10926225"/>
    <x v="2"/>
  </r>
  <r>
    <x v="1"/>
    <m/>
    <x v="3"/>
  </r>
  <r>
    <x v="1"/>
    <m/>
    <x v="3"/>
  </r>
  <r>
    <x v="1"/>
    <m/>
    <x v="3"/>
  </r>
  <r>
    <x v="1"/>
    <m/>
    <x v="3"/>
  </r>
  <r>
    <x v="1"/>
    <m/>
    <x v="3"/>
  </r>
  <r>
    <x v="1"/>
    <m/>
    <x v="3"/>
  </r>
  <r>
    <x v="1"/>
    <m/>
    <x v="3"/>
  </r>
  <r>
    <x v="1"/>
    <m/>
    <x v="3"/>
  </r>
  <r>
    <x v="1"/>
    <m/>
    <x v="3"/>
  </r>
  <r>
    <x v="1"/>
    <m/>
    <x v="3"/>
  </r>
  <r>
    <x v="1"/>
    <m/>
    <x v="3"/>
  </r>
  <r>
    <x v="1"/>
    <m/>
    <x v="3"/>
  </r>
  <r>
    <x v="1"/>
    <m/>
    <x v="3"/>
  </r>
  <r>
    <x v="1"/>
    <m/>
    <x v="3"/>
  </r>
  <r>
    <x v="1"/>
    <m/>
    <x v="3"/>
  </r>
  <r>
    <x v="1"/>
    <m/>
    <x v="3"/>
  </r>
  <r>
    <x v="1"/>
    <m/>
    <x v="3"/>
  </r>
  <r>
    <x v="1"/>
    <m/>
    <x v="3"/>
  </r>
  <r>
    <x v="1"/>
    <m/>
    <x v="3"/>
  </r>
  <r>
    <x v="1"/>
    <m/>
    <x v="3"/>
  </r>
  <r>
    <x v="1"/>
    <m/>
    <x v="3"/>
  </r>
  <r>
    <x v="1"/>
    <m/>
    <x v="3"/>
  </r>
</pivotCacheRecords>
</file>

<file path=xl/pivotCache/pivotCacheRecords17.xml><?xml version="1.0" encoding="utf-8"?>
<pivotCacheRecords xmlns="http://schemas.openxmlformats.org/spreadsheetml/2006/main" xmlns:r="http://schemas.openxmlformats.org/officeDocument/2006/relationships" count="5">
  <r>
    <x v="0"/>
    <n v="141707660"/>
    <x v="0"/>
  </r>
  <r>
    <x v="1"/>
    <n v="74128402"/>
    <x v="0"/>
  </r>
  <r>
    <x v="2"/>
    <n v="27577841"/>
    <x v="0"/>
  </r>
  <r>
    <x v="3"/>
    <n v="21327292"/>
    <x v="0"/>
  </r>
  <r>
    <x v="1"/>
    <n v="6532850"/>
    <x v="1"/>
  </r>
</pivotCacheRecords>
</file>

<file path=xl/pivotCache/pivotCacheRecords18.xml><?xml version="1.0" encoding="utf-8"?>
<pivotCacheRecords xmlns="http://schemas.openxmlformats.org/spreadsheetml/2006/main" xmlns:r="http://schemas.openxmlformats.org/officeDocument/2006/relationships" count="31">
  <r>
    <x v="0"/>
    <s v="1"/>
    <n v="83.04"/>
    <x v="0"/>
    <x v="0"/>
  </r>
  <r>
    <x v="0"/>
    <s v="2"/>
    <n v="85.65"/>
    <x v="1"/>
    <x v="1"/>
  </r>
  <r>
    <x v="0"/>
    <s v="3"/>
    <n v="85.3"/>
    <x v="2"/>
    <x v="2"/>
  </r>
  <r>
    <x v="0"/>
    <s v="4"/>
    <n v="84.18"/>
    <x v="3"/>
    <x v="3"/>
  </r>
  <r>
    <x v="0"/>
    <s v="5"/>
    <n v="83.93"/>
    <x v="4"/>
    <x v="4"/>
  </r>
  <r>
    <x v="0"/>
    <s v="6"/>
    <n v="82.3"/>
    <x v="5"/>
    <x v="5"/>
  </r>
  <r>
    <x v="1"/>
    <s v="7"/>
    <n v="0"/>
    <x v="6"/>
    <x v="6"/>
  </r>
  <r>
    <x v="0"/>
    <s v="7"/>
    <n v="80.239999999999995"/>
    <x v="6"/>
    <x v="6"/>
  </r>
  <r>
    <x v="0"/>
    <s v="8"/>
    <n v="80.19"/>
    <x v="7"/>
    <x v="7"/>
  </r>
  <r>
    <x v="2"/>
    <s v="8"/>
    <n v="87.24"/>
    <x v="7"/>
    <x v="7"/>
  </r>
  <r>
    <x v="0"/>
    <s v="9"/>
    <n v="83.07"/>
    <x v="8"/>
    <x v="8"/>
  </r>
  <r>
    <x v="2"/>
    <s v="9"/>
    <n v="86.22"/>
    <x v="8"/>
    <x v="8"/>
  </r>
  <r>
    <x v="1"/>
    <s v="10"/>
    <n v="0"/>
    <x v="9"/>
    <x v="9"/>
  </r>
  <r>
    <x v="0"/>
    <s v="10"/>
    <n v="80.42"/>
    <x v="9"/>
    <x v="9"/>
  </r>
  <r>
    <x v="0"/>
    <s v="11"/>
    <n v="77.47"/>
    <x v="10"/>
    <x v="10"/>
  </r>
  <r>
    <x v="0"/>
    <s v="12"/>
    <n v="78.25"/>
    <x v="11"/>
    <x v="11"/>
  </r>
  <r>
    <x v="3"/>
    <m/>
    <m/>
    <x v="12"/>
    <x v="12"/>
  </r>
  <r>
    <x v="3"/>
    <m/>
    <m/>
    <x v="12"/>
    <x v="12"/>
  </r>
  <r>
    <x v="3"/>
    <m/>
    <m/>
    <x v="12"/>
    <x v="12"/>
  </r>
  <r>
    <x v="3"/>
    <m/>
    <m/>
    <x v="12"/>
    <x v="12"/>
  </r>
  <r>
    <x v="3"/>
    <m/>
    <m/>
    <x v="12"/>
    <x v="12"/>
  </r>
  <r>
    <x v="3"/>
    <m/>
    <m/>
    <x v="12"/>
    <x v="12"/>
  </r>
  <r>
    <x v="3"/>
    <m/>
    <m/>
    <x v="12"/>
    <x v="12"/>
  </r>
  <r>
    <x v="3"/>
    <m/>
    <m/>
    <x v="12"/>
    <x v="12"/>
  </r>
  <r>
    <x v="3"/>
    <m/>
    <m/>
    <x v="12"/>
    <x v="12"/>
  </r>
  <r>
    <x v="3"/>
    <m/>
    <m/>
    <x v="12"/>
    <x v="12"/>
  </r>
  <r>
    <x v="3"/>
    <m/>
    <m/>
    <x v="12"/>
    <x v="12"/>
  </r>
  <r>
    <x v="3"/>
    <m/>
    <m/>
    <x v="12"/>
    <x v="12"/>
  </r>
  <r>
    <x v="3"/>
    <m/>
    <m/>
    <x v="12"/>
    <x v="12"/>
  </r>
  <r>
    <x v="3"/>
    <m/>
    <m/>
    <x v="12"/>
    <x v="12"/>
  </r>
  <r>
    <x v="3"/>
    <m/>
    <m/>
    <x v="12"/>
    <x v="12"/>
  </r>
</pivotCacheRecords>
</file>

<file path=xl/pivotCache/pivotCacheRecords19.xml><?xml version="1.0" encoding="utf-8"?>
<pivotCacheRecords xmlns="http://schemas.openxmlformats.org/spreadsheetml/2006/main" xmlns:r="http://schemas.openxmlformats.org/officeDocument/2006/relationships" count="25">
  <r>
    <x v="0"/>
    <n v="14319.45"/>
  </r>
  <r>
    <x v="1"/>
    <n v="23501.46"/>
  </r>
  <r>
    <x v="2"/>
    <n v="53245.53"/>
  </r>
  <r>
    <x v="3"/>
    <n v="14656.34"/>
  </r>
  <r>
    <x v="4"/>
    <n v="29683.8"/>
  </r>
  <r>
    <x v="5"/>
    <n v="36355.599999999999"/>
  </r>
  <r>
    <x v="6"/>
    <n v="96823.45"/>
  </r>
  <r>
    <x v="7"/>
    <n v="39274.78"/>
  </r>
  <r>
    <x v="8"/>
    <n v="6515.99"/>
  </r>
  <r>
    <x v="9"/>
    <n v="45094.82"/>
  </r>
  <r>
    <x v="10"/>
    <n v="16072.38"/>
  </r>
  <r>
    <x v="11"/>
    <n v="2600.9899999999998"/>
  </r>
  <r>
    <x v="12"/>
    <n v="122933.94"/>
  </r>
  <r>
    <x v="13"/>
    <n v="23652.55"/>
  </r>
  <r>
    <x v="14"/>
    <n v="17295.64"/>
  </r>
  <r>
    <x v="15"/>
    <n v="19586.16"/>
  </r>
  <r>
    <x v="16"/>
    <n v="116802.81"/>
  </r>
  <r>
    <x v="17"/>
    <n v="5390.19"/>
  </r>
  <r>
    <x v="18"/>
    <n v="7946.13"/>
  </r>
  <r>
    <x v="19"/>
    <n v="19135.91"/>
  </r>
  <r>
    <x v="20"/>
    <n v="120865.14"/>
  </r>
  <r>
    <x v="21"/>
    <n v="16118.24"/>
  </r>
  <r>
    <x v="22"/>
    <n v="59657.14"/>
  </r>
  <r>
    <x v="23"/>
    <n v="40872.519999999997"/>
  </r>
  <r>
    <x v="24"/>
    <n v="52721.36"/>
  </r>
</pivotCacheRecords>
</file>

<file path=xl/pivotCache/pivotCacheRecords20.xml><?xml version="1.0" encoding="utf-8"?>
<pivotCacheRecords xmlns="http://schemas.openxmlformats.org/spreadsheetml/2006/main" xmlns:r="http://schemas.openxmlformats.org/officeDocument/2006/relationships" count="15">
  <r>
    <x v="0"/>
    <n v="1"/>
    <n v="15904.48"/>
    <n v="1619.85"/>
    <n v="981.84"/>
    <x v="0"/>
    <x v="0"/>
  </r>
  <r>
    <x v="0"/>
    <n v="2"/>
    <n v="164182.76999999999"/>
    <n v="5904.29"/>
    <n v="2780.73"/>
    <x v="1"/>
    <x v="1"/>
  </r>
  <r>
    <x v="0"/>
    <n v="3"/>
    <n v="55279.33"/>
    <n v="2462.2800000000002"/>
    <n v="2245.04"/>
    <x v="2"/>
    <x v="2"/>
  </r>
  <r>
    <x v="0"/>
    <n v="4"/>
    <n v="13427.02"/>
    <n v="4153.62"/>
    <n v="323.26"/>
    <x v="3"/>
    <x v="3"/>
  </r>
  <r>
    <x v="0"/>
    <n v="5"/>
    <n v="43181.24"/>
    <n v="2833.66"/>
    <n v="1523.86"/>
    <x v="4"/>
    <x v="4"/>
  </r>
  <r>
    <x v="0"/>
    <n v="6"/>
    <n v="15477.57"/>
    <n v="1811.32"/>
    <n v="854.49"/>
    <x v="5"/>
    <x v="5"/>
  </r>
  <r>
    <x v="0"/>
    <n v="7"/>
    <n v="269230.86"/>
    <n v="15685.94"/>
    <n v="1716.38"/>
    <x v="6"/>
    <x v="6"/>
  </r>
  <r>
    <x v="0"/>
    <n v="8"/>
    <n v="33323.07"/>
    <n v="48"/>
    <n v="69423.06"/>
    <x v="7"/>
    <x v="7"/>
  </r>
  <r>
    <x v="1"/>
    <n v="8"/>
    <n v="10539.27"/>
    <n v="1142.6500000000001"/>
    <n v="922.35"/>
    <x v="7"/>
    <x v="7"/>
  </r>
  <r>
    <x v="0"/>
    <n v="9"/>
    <n v="36263.07"/>
    <n v="852.25"/>
    <n v="4254.9799999999996"/>
    <x v="8"/>
    <x v="8"/>
  </r>
  <r>
    <x v="1"/>
    <n v="9"/>
    <n v="8129.75"/>
    <n v="2014.83"/>
    <n v="403.49"/>
    <x v="8"/>
    <x v="8"/>
  </r>
  <r>
    <x v="0"/>
    <n v="10"/>
    <n v="18795.72"/>
    <n v="1079.32"/>
    <n v="1741.44"/>
    <x v="9"/>
    <x v="9"/>
  </r>
  <r>
    <x v="0"/>
    <n v="11"/>
    <n v="15604.41"/>
    <n v="979.34"/>
    <n v="1593.35"/>
    <x v="10"/>
    <x v="10"/>
  </r>
  <r>
    <x v="0"/>
    <n v="12"/>
    <n v="25318.68"/>
    <n v="1189.3900000000001"/>
    <n v="2128.71"/>
    <x v="11"/>
    <x v="11"/>
  </r>
  <r>
    <x v="2"/>
    <m/>
    <m/>
    <m/>
    <m/>
    <x v="12"/>
    <x v="12"/>
  </r>
</pivotCacheRecords>
</file>

<file path=xl/pivotCache/pivotCacheRecords21.xml><?xml version="1.0" encoding="utf-8"?>
<pivotCacheRecords xmlns="http://schemas.openxmlformats.org/spreadsheetml/2006/main" xmlns:r="http://schemas.openxmlformats.org/officeDocument/2006/relationships" count="15">
  <r>
    <x v="0"/>
    <n v="1"/>
    <n v="33620.75"/>
    <n v="20400.25"/>
    <n v="164.8"/>
    <x v="0"/>
    <x v="0"/>
  </r>
  <r>
    <x v="0"/>
    <n v="2"/>
    <n v="448120.92"/>
    <n v="310917.89"/>
    <n v="144.12"/>
    <x v="1"/>
    <x v="1"/>
  </r>
  <r>
    <x v="0"/>
    <n v="3"/>
    <n v="161461.21"/>
    <n v="170431.59"/>
    <n v="94.73"/>
    <x v="2"/>
    <x v="2"/>
  </r>
  <r>
    <x v="0"/>
    <n v="4"/>
    <n v="31915.26"/>
    <n v="23851.98"/>
    <n v="133.80000000000001"/>
    <x v="3"/>
    <x v="3"/>
  </r>
  <r>
    <x v="0"/>
    <n v="5"/>
    <n v="129503.32"/>
    <n v="179213.1"/>
    <n v="72.260000000000005"/>
    <x v="4"/>
    <x v="4"/>
  </r>
  <r>
    <x v="0"/>
    <n v="6"/>
    <n v="33104.44"/>
    <n v="64636.98"/>
    <n v="51.21"/>
    <x v="5"/>
    <x v="5"/>
  </r>
  <r>
    <x v="0"/>
    <n v="7"/>
    <n v="747071.01"/>
    <n v="1755597.02"/>
    <n v="42.55"/>
    <x v="6"/>
    <x v="6"/>
  </r>
  <r>
    <x v="0"/>
    <n v="8"/>
    <n v="77366.48"/>
    <n v="21908.55"/>
    <n v="353.13"/>
    <x v="7"/>
    <x v="7"/>
  </r>
  <r>
    <x v="1"/>
    <n v="8"/>
    <n v="31849.759999999998"/>
    <n v="23613.27"/>
    <n v="134.88"/>
    <x v="7"/>
    <x v="7"/>
  </r>
  <r>
    <x v="0"/>
    <n v="9"/>
    <n v="201580.5"/>
    <n v="91521.51"/>
    <n v="220.25"/>
    <x v="8"/>
    <x v="8"/>
  </r>
  <r>
    <x v="1"/>
    <n v="9"/>
    <n v="18912.86"/>
    <n v="13906.15"/>
    <n v="136"/>
    <x v="8"/>
    <x v="8"/>
  </r>
  <r>
    <x v="0"/>
    <n v="10"/>
    <n v="27599.09"/>
    <n v="228505.85"/>
    <n v="12.07"/>
    <x v="9"/>
    <x v="9"/>
  </r>
  <r>
    <x v="0"/>
    <n v="11"/>
    <n v="26196.54"/>
    <n v="356482.81"/>
    <n v="7.34"/>
    <x v="10"/>
    <x v="10"/>
  </r>
  <r>
    <x v="0"/>
    <n v="12"/>
    <n v="44604.14"/>
    <n v="23626.87"/>
    <n v="188.78"/>
    <x v="11"/>
    <x v="11"/>
  </r>
  <r>
    <x v="2"/>
    <m/>
    <m/>
    <m/>
    <m/>
    <x v="12"/>
    <x v="12"/>
  </r>
</pivotCacheRecords>
</file>

<file path=xl/pivotCache/pivotCacheRecords22.xml><?xml version="1.0" encoding="utf-8"?>
<pivotCacheRecords xmlns="http://schemas.openxmlformats.org/spreadsheetml/2006/main" xmlns:r="http://schemas.openxmlformats.org/officeDocument/2006/relationships" count="31">
  <r>
    <x v="0"/>
    <x v="0"/>
    <n v="1560888"/>
    <n v="0"/>
    <x v="0"/>
    <x v="0"/>
  </r>
  <r>
    <x v="1"/>
    <x v="1"/>
    <n v="480592"/>
    <n v="0"/>
    <x v="0"/>
    <x v="0"/>
  </r>
  <r>
    <x v="1"/>
    <x v="0"/>
    <n v="281016087"/>
    <n v="0"/>
    <x v="0"/>
    <x v="0"/>
  </r>
  <r>
    <x v="2"/>
    <x v="1"/>
    <n v="237462"/>
    <n v="0"/>
    <x v="0"/>
    <x v="0"/>
  </r>
  <r>
    <x v="2"/>
    <x v="0"/>
    <n v="10926225"/>
    <n v="0"/>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r>
    <x v="3"/>
    <x v="1"/>
    <m/>
    <m/>
    <x v="0"/>
    <x v="0"/>
  </r>
</pivotCacheRecords>
</file>

<file path=xl/pivotCache/pivotCacheRecords23.xml><?xml version="1.0" encoding="utf-8"?>
<pivotCacheRecords xmlns="http://schemas.openxmlformats.org/spreadsheetml/2006/main" xmlns:r="http://schemas.openxmlformats.org/officeDocument/2006/relationships" count="31">
  <r>
    <x v="0"/>
    <n v="1"/>
    <n v="17814080"/>
    <n v="12675792.76"/>
    <n v="140.54"/>
    <x v="0"/>
    <x v="0"/>
  </r>
  <r>
    <x v="0"/>
    <n v="2"/>
    <n v="15491948"/>
    <n v="12675792.76"/>
    <n v="122.22"/>
    <x v="1"/>
    <x v="1"/>
  </r>
  <r>
    <x v="0"/>
    <n v="3"/>
    <n v="30904773"/>
    <n v="12675792.76"/>
    <n v="243.81"/>
    <x v="2"/>
    <x v="2"/>
  </r>
  <r>
    <x v="0"/>
    <n v="4"/>
    <n v="26460562"/>
    <n v="12675792.76"/>
    <n v="208.75"/>
    <x v="3"/>
    <x v="3"/>
  </r>
  <r>
    <x v="0"/>
    <n v="5"/>
    <n v="19456929"/>
    <n v="12675792.76"/>
    <n v="153.5"/>
    <x v="4"/>
    <x v="4"/>
  </r>
  <r>
    <x v="0"/>
    <n v="6"/>
    <n v="20813105"/>
    <n v="12675792.76"/>
    <n v="164.2"/>
    <x v="5"/>
    <x v="5"/>
  </r>
  <r>
    <x v="1"/>
    <n v="7"/>
    <n v="0"/>
    <n v="12675792.76"/>
    <n v="0"/>
    <x v="6"/>
    <x v="6"/>
  </r>
  <r>
    <x v="0"/>
    <n v="7"/>
    <n v="32832337"/>
    <n v="12675792.76"/>
    <n v="259.02"/>
    <x v="6"/>
    <x v="6"/>
  </r>
  <r>
    <x v="0"/>
    <n v="8"/>
    <n v="19818618"/>
    <n v="12675792.76"/>
    <n v="156.35"/>
    <x v="7"/>
    <x v="7"/>
  </r>
  <r>
    <x v="2"/>
    <n v="8"/>
    <n v="8157987"/>
    <n v="12675792.76"/>
    <n v="64.36"/>
    <x v="7"/>
    <x v="7"/>
  </r>
  <r>
    <x v="0"/>
    <n v="9"/>
    <n v="16312359"/>
    <n v="12675792.76"/>
    <n v="128.69"/>
    <x v="8"/>
    <x v="8"/>
  </r>
  <r>
    <x v="2"/>
    <n v="9"/>
    <n v="3005700"/>
    <n v="12675792.76"/>
    <n v="23.71"/>
    <x v="8"/>
    <x v="8"/>
  </r>
  <r>
    <x v="1"/>
    <n v="10"/>
    <n v="1560888"/>
    <n v="12675792.76"/>
    <n v="12.31"/>
    <x v="9"/>
    <x v="9"/>
  </r>
  <r>
    <x v="0"/>
    <n v="10"/>
    <n v="18162210"/>
    <n v="12675792.76"/>
    <n v="143.28"/>
    <x v="9"/>
    <x v="9"/>
  </r>
  <r>
    <x v="0"/>
    <n v="11"/>
    <n v="36739393"/>
    <n v="12675792.76"/>
    <n v="289.83999999999997"/>
    <x v="10"/>
    <x v="10"/>
  </r>
  <r>
    <x v="0"/>
    <n v="12"/>
    <n v="26690365"/>
    <n v="12675792.76"/>
    <n v="210.56"/>
    <x v="11"/>
    <x v="11"/>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pivotCacheRecords>
</file>

<file path=xl/pivotCache/pivotCacheRecords24.xml><?xml version="1.0" encoding="utf-8"?>
<pivotCacheRecords xmlns="http://schemas.openxmlformats.org/spreadsheetml/2006/main" xmlns:r="http://schemas.openxmlformats.org/officeDocument/2006/relationships" count="15">
  <r>
    <x v="0"/>
    <n v="1"/>
    <n v="17588.27"/>
    <n v="18780.400000000001"/>
    <n v="93.65"/>
    <x v="0"/>
    <x v="0"/>
  </r>
  <r>
    <x v="0"/>
    <n v="2"/>
    <n v="282243.55"/>
    <n v="281132.56"/>
    <n v="100.39"/>
    <x v="1"/>
    <x v="1"/>
  </r>
  <r>
    <x v="0"/>
    <n v="3"/>
    <n v="104758.63"/>
    <n v="106784.31"/>
    <n v="98.1"/>
    <x v="2"/>
    <x v="2"/>
  </r>
  <r>
    <x v="0"/>
    <n v="4"/>
    <n v="17678.919999999998"/>
    <n v="16262.59"/>
    <n v="108.7"/>
    <x v="3"/>
    <x v="3"/>
  </r>
  <r>
    <x v="0"/>
    <n v="5"/>
    <n v="86268.44"/>
    <n v="90269.39"/>
    <n v="95.56"/>
    <x v="4"/>
    <x v="4"/>
  </r>
  <r>
    <x v="0"/>
    <n v="6"/>
    <n v="15280.63"/>
    <n v="21674.82"/>
    <n v="70.489999999999995"/>
    <x v="5"/>
    <x v="5"/>
  </r>
  <r>
    <x v="0"/>
    <n v="7"/>
    <n v="469224.07"/>
    <n v="673627.09"/>
    <n v="69.650000000000006"/>
    <x v="6"/>
    <x v="6"/>
  </r>
  <r>
    <x v="0"/>
    <n v="8"/>
    <n v="43280.98"/>
    <n v="20874.3"/>
    <n v="207.34"/>
    <x v="7"/>
    <x v="7"/>
  </r>
  <r>
    <x v="1"/>
    <n v="8"/>
    <n v="20562.13"/>
    <n v="21870.62"/>
    <n v="94.01"/>
    <x v="7"/>
    <x v="7"/>
  </r>
  <r>
    <x v="0"/>
    <n v="9"/>
    <n v="163596.14000000001"/>
    <n v="63995.95"/>
    <n v="255.63"/>
    <x v="8"/>
    <x v="8"/>
  </r>
  <r>
    <x v="1"/>
    <n v="9"/>
    <n v="10004.49"/>
    <n v="11328.82"/>
    <n v="88.31"/>
    <x v="8"/>
    <x v="8"/>
  </r>
  <r>
    <x v="0"/>
    <n v="10"/>
    <n v="8180.42"/>
    <n v="7591.03"/>
    <n v="107.76"/>
    <x v="9"/>
    <x v="9"/>
  </r>
  <r>
    <x v="0"/>
    <n v="11"/>
    <n v="9457.0499999999993"/>
    <n v="11615.97"/>
    <n v="81.41"/>
    <x v="10"/>
    <x v="10"/>
  </r>
  <r>
    <x v="0"/>
    <n v="12"/>
    <n v="18740.78"/>
    <n v="22062.48"/>
    <n v="84.94"/>
    <x v="11"/>
    <x v="11"/>
  </r>
  <r>
    <x v="2"/>
    <m/>
    <m/>
    <m/>
    <m/>
    <x v="12"/>
    <x v="12"/>
  </r>
</pivotCacheRecords>
</file>

<file path=xl/pivotCache/pivotCacheRecords25.xml><?xml version="1.0" encoding="utf-8"?>
<pivotCacheRecords xmlns="http://schemas.openxmlformats.org/spreadsheetml/2006/main" xmlns:r="http://schemas.openxmlformats.org/officeDocument/2006/relationships" count="19">
  <r>
    <s v="2013"/>
    <n v="2010"/>
    <m/>
    <m/>
    <m/>
    <n v="0"/>
    <m/>
    <m/>
    <n v="-11566.55"/>
    <m/>
    <m/>
    <n v="-1672.7"/>
    <m/>
    <m/>
    <m/>
    <m/>
    <m/>
    <n v="11805.69"/>
    <m/>
    <m/>
    <m/>
    <m/>
    <s v="10"/>
    <x v="0"/>
    <x v="0"/>
  </r>
  <r>
    <s v="2014"/>
    <n v="-2010"/>
    <m/>
    <m/>
    <m/>
    <m/>
    <m/>
    <m/>
    <n v="11566.57"/>
    <m/>
    <m/>
    <n v="1672.7"/>
    <m/>
    <m/>
    <m/>
    <m/>
    <m/>
    <n v="-11805.7"/>
    <m/>
    <m/>
    <m/>
    <m/>
    <s v="7"/>
    <x v="1"/>
    <x v="1"/>
  </r>
  <r>
    <s v="2014"/>
    <n v="241319.03"/>
    <m/>
    <n v="-3438251.23"/>
    <n v="-210195.52"/>
    <n v="71484.240000000005"/>
    <m/>
    <n v="-901.56"/>
    <n v="365180.42"/>
    <m/>
    <m/>
    <n v="-704035.17"/>
    <m/>
    <m/>
    <m/>
    <m/>
    <m/>
    <n v="344730.12"/>
    <n v="0"/>
    <m/>
    <m/>
    <m/>
    <s v="8"/>
    <x v="2"/>
    <x v="1"/>
  </r>
  <r>
    <s v="2014"/>
    <n v="654840.06999999995"/>
    <m/>
    <n v="2234.9899999999998"/>
    <n v="1969.3"/>
    <n v="-454472.52"/>
    <m/>
    <m/>
    <n v="166674.64999999997"/>
    <m/>
    <m/>
    <n v="-899510.01"/>
    <m/>
    <m/>
    <m/>
    <m/>
    <m/>
    <n v="651655.16"/>
    <m/>
    <m/>
    <m/>
    <m/>
    <s v="9"/>
    <x v="3"/>
    <x v="1"/>
  </r>
  <r>
    <s v="2014"/>
    <n v="-663358.18999999994"/>
    <m/>
    <m/>
    <n v="1129.24"/>
    <n v="424906.84"/>
    <m/>
    <m/>
    <n v="-872611.96"/>
    <m/>
    <m/>
    <n v="-967433.74"/>
    <m/>
    <m/>
    <m/>
    <m/>
    <m/>
    <n v="700677.2"/>
    <m/>
    <m/>
    <n v="13180.35"/>
    <m/>
    <s v="10"/>
    <x v="0"/>
    <x v="1"/>
  </r>
  <r>
    <s v="2014"/>
    <n v="75793.42"/>
    <m/>
    <m/>
    <n v="380.16"/>
    <n v="174217.62"/>
    <m/>
    <m/>
    <n v="229328.01"/>
    <m/>
    <m/>
    <n v="-823560.37"/>
    <m/>
    <m/>
    <m/>
    <m/>
    <m/>
    <n v="437341.18"/>
    <m/>
    <m/>
    <m/>
    <m/>
    <s v="11"/>
    <x v="4"/>
    <x v="1"/>
  </r>
  <r>
    <s v="2014"/>
    <n v="125218.47"/>
    <m/>
    <m/>
    <n v="2231.79"/>
    <n v="-748.53"/>
    <m/>
    <m/>
    <n v="196123.41"/>
    <m/>
    <m/>
    <n v="-692472.99"/>
    <m/>
    <m/>
    <m/>
    <m/>
    <m/>
    <n v="193668.26"/>
    <m/>
    <m/>
    <m/>
    <m/>
    <s v="12"/>
    <x v="5"/>
    <x v="1"/>
  </r>
  <r>
    <s v="2015"/>
    <n v="136634.4"/>
    <m/>
    <n v="1777.48"/>
    <n v="685.24"/>
    <n v="-378072.31"/>
    <m/>
    <m/>
    <n v="466811.56999999995"/>
    <m/>
    <m/>
    <n v="-769791.86"/>
    <m/>
    <m/>
    <m/>
    <m/>
    <m/>
    <n v="239765.79"/>
    <m/>
    <m/>
    <n v="13758.95"/>
    <m/>
    <s v="1"/>
    <x v="6"/>
    <x v="2"/>
  </r>
  <r>
    <s v="2015"/>
    <n v="-343408.17"/>
    <m/>
    <n v="5547.09"/>
    <n v="2969.96"/>
    <n v="257121.93"/>
    <m/>
    <m/>
    <n v="-477290.52"/>
    <m/>
    <m/>
    <n v="-885249"/>
    <m/>
    <m/>
    <m/>
    <m/>
    <m/>
    <n v="533173.39"/>
    <m/>
    <m/>
    <m/>
    <m/>
    <s v="2"/>
    <x v="7"/>
    <x v="2"/>
  </r>
  <r>
    <s v="2015"/>
    <n v="171337.56"/>
    <m/>
    <n v="155.52000000000001"/>
    <n v="1581.46"/>
    <n v="304250.86"/>
    <m/>
    <m/>
    <n v="-836138.85000000009"/>
    <m/>
    <m/>
    <n v="-1116302.69"/>
    <m/>
    <m/>
    <m/>
    <m/>
    <m/>
    <n v="1020429.99"/>
    <m/>
    <m/>
    <m/>
    <m/>
    <s v="3"/>
    <x v="8"/>
    <x v="2"/>
  </r>
  <r>
    <s v="2015"/>
    <n v="-925359.28"/>
    <m/>
    <n v="0"/>
    <m/>
    <n v="326788.59000000003"/>
    <m/>
    <m/>
    <n v="-449510.66000000003"/>
    <m/>
    <m/>
    <n v="-838769.71"/>
    <m/>
    <m/>
    <m/>
    <m/>
    <m/>
    <n v="221548.52"/>
    <m/>
    <m/>
    <m/>
    <m/>
    <s v="4"/>
    <x v="9"/>
    <x v="2"/>
  </r>
  <r>
    <s v="2015"/>
    <n v="442864.78"/>
    <m/>
    <n v="870.1"/>
    <n v="518.4"/>
    <n v="-395675.37"/>
    <m/>
    <m/>
    <n v="707401.73"/>
    <m/>
    <m/>
    <n v="-956743.61"/>
    <m/>
    <m/>
    <m/>
    <m/>
    <m/>
    <n v="506783.89"/>
    <m/>
    <m/>
    <n v="15677.17"/>
    <m/>
    <s v="5"/>
    <x v="10"/>
    <x v="2"/>
  </r>
  <r>
    <s v="2015"/>
    <n v="408263.45"/>
    <m/>
    <n v="2021.76"/>
    <n v="2604.88"/>
    <n v="-515149.26"/>
    <m/>
    <m/>
    <n v="597859.88"/>
    <m/>
    <m/>
    <n v="-644140.36"/>
    <m/>
    <m/>
    <m/>
    <m/>
    <m/>
    <n v="191572.27"/>
    <m/>
    <m/>
    <m/>
    <m/>
    <s v="6"/>
    <x v="11"/>
    <x v="2"/>
  </r>
  <r>
    <s v="2015"/>
    <n v="-354650.27"/>
    <m/>
    <n v="3528367.53"/>
    <n v="-23743.22"/>
    <n v="784333.9"/>
    <m/>
    <m/>
    <n v="-678170.74"/>
    <m/>
    <m/>
    <n v="-1053782.92"/>
    <m/>
    <m/>
    <m/>
    <m/>
    <m/>
    <n v="625469.69999999995"/>
    <m/>
    <m/>
    <n v="17354.2"/>
    <m/>
    <s v="7"/>
    <x v="1"/>
    <x v="2"/>
  </r>
  <r>
    <s v="2015"/>
    <n v="1037810.29"/>
    <m/>
    <m/>
    <n v="2586.33"/>
    <n v="-791649.52"/>
    <m/>
    <m/>
    <n v="1183541.6000000001"/>
    <m/>
    <m/>
    <n v="-649684.92000000004"/>
    <m/>
    <m/>
    <m/>
    <m/>
    <m/>
    <n v="339350.08"/>
    <m/>
    <m/>
    <m/>
    <m/>
    <s v="8"/>
    <x v="2"/>
    <x v="2"/>
  </r>
  <r>
    <s v="2015"/>
    <m/>
    <m/>
    <m/>
    <m/>
    <n v="194194.19"/>
    <m/>
    <m/>
    <m/>
    <m/>
    <m/>
    <n v="-177282.91"/>
    <m/>
    <m/>
    <m/>
    <m/>
    <m/>
    <m/>
    <m/>
    <m/>
    <m/>
    <m/>
    <s v="9"/>
    <x v="3"/>
    <x v="2"/>
  </r>
  <r>
    <s v="2013"/>
    <n v="-394682.76"/>
    <m/>
    <n v="3438251.22"/>
    <n v="219868.12"/>
    <n v="1441240.4"/>
    <m/>
    <n v="0"/>
    <n v="-836483.56"/>
    <m/>
    <m/>
    <n v="0"/>
    <m/>
    <m/>
    <m/>
    <m/>
    <m/>
    <n v="0"/>
    <n v="0"/>
    <m/>
    <n v="0"/>
    <m/>
    <s v="0"/>
    <x v="6"/>
    <x v="0"/>
  </r>
  <r>
    <m/>
    <m/>
    <m/>
    <m/>
    <m/>
    <m/>
    <m/>
    <m/>
    <m/>
    <m/>
    <m/>
    <m/>
    <m/>
    <m/>
    <m/>
    <m/>
    <m/>
    <m/>
    <m/>
    <m/>
    <m/>
    <m/>
    <m/>
    <x v="12"/>
    <x v="3"/>
  </r>
  <r>
    <m/>
    <m/>
    <m/>
    <m/>
    <m/>
    <m/>
    <m/>
    <m/>
    <m/>
    <m/>
    <m/>
    <m/>
    <m/>
    <m/>
    <m/>
    <m/>
    <m/>
    <m/>
    <m/>
    <m/>
    <m/>
    <m/>
    <m/>
    <x v="12"/>
    <x v="3"/>
  </r>
</pivotCacheRecords>
</file>

<file path=xl/pivotCache/pivotCacheRecords26.xml><?xml version="1.0" encoding="utf-8"?>
<pivotCacheRecords xmlns="http://schemas.openxmlformats.org/spreadsheetml/2006/main" xmlns:r="http://schemas.openxmlformats.org/officeDocument/2006/relationships" count="16">
  <r>
    <n v="1"/>
    <s v="08"/>
    <x v="0"/>
    <n v="26.008299999999998"/>
    <x v="0"/>
    <x v="0"/>
    <x v="0"/>
  </r>
  <r>
    <n v="2"/>
    <s v="08"/>
    <x v="0"/>
    <n v="2657.5299"/>
    <x v="1"/>
    <x v="0"/>
    <x v="0"/>
  </r>
  <r>
    <n v="3"/>
    <s v="09"/>
    <x v="0"/>
    <n v="3193.3189000000002"/>
    <x v="1"/>
    <x v="1"/>
    <x v="0"/>
  </r>
  <r>
    <n v="4"/>
    <s v="10"/>
    <x v="0"/>
    <n v="3050.9739"/>
    <x v="1"/>
    <x v="2"/>
    <x v="0"/>
  </r>
  <r>
    <n v="5"/>
    <s v="11"/>
    <x v="0"/>
    <n v="2743.8771999999999"/>
    <x v="1"/>
    <x v="3"/>
    <x v="0"/>
  </r>
  <r>
    <n v="6"/>
    <s v="12"/>
    <x v="0"/>
    <n v="2658.7049999999999"/>
    <x v="1"/>
    <x v="4"/>
    <x v="0"/>
  </r>
  <r>
    <n v="7"/>
    <s v="01"/>
    <x v="1"/>
    <n v="2786.5284999999999"/>
    <x v="1"/>
    <x v="5"/>
    <x v="1"/>
  </r>
  <r>
    <n v="8"/>
    <s v="02"/>
    <x v="1"/>
    <n v="3115.6649000000002"/>
    <x v="1"/>
    <x v="6"/>
    <x v="1"/>
  </r>
  <r>
    <n v="9"/>
    <s v="03"/>
    <x v="1"/>
    <n v="3241.1259"/>
    <x v="1"/>
    <x v="7"/>
    <x v="1"/>
  </r>
  <r>
    <n v="10"/>
    <s v="04"/>
    <x v="1"/>
    <n v="2474.5731999999998"/>
    <x v="1"/>
    <x v="8"/>
    <x v="1"/>
  </r>
  <r>
    <n v="11"/>
    <s v="05"/>
    <x v="1"/>
    <n v="3129.7665000000002"/>
    <x v="1"/>
    <x v="9"/>
    <x v="1"/>
  </r>
  <r>
    <n v="12"/>
    <s v="06"/>
    <x v="1"/>
    <n v="3162.5088999999998"/>
    <x v="1"/>
    <x v="10"/>
    <x v="1"/>
  </r>
  <r>
    <n v="13"/>
    <s v="07"/>
    <x v="1"/>
    <n v="3243.0614999999998"/>
    <x v="1"/>
    <x v="11"/>
    <x v="1"/>
  </r>
  <r>
    <n v="14"/>
    <s v="08"/>
    <x v="1"/>
    <n v="2271.3180000000002"/>
    <x v="1"/>
    <x v="0"/>
    <x v="1"/>
  </r>
  <r>
    <n v="15"/>
    <s v="09"/>
    <x v="1"/>
    <n v="642.01199999999994"/>
    <x v="1"/>
    <x v="1"/>
    <x v="1"/>
  </r>
  <r>
    <m/>
    <m/>
    <x v="2"/>
    <m/>
    <x v="2"/>
    <x v="12"/>
    <x v="2"/>
  </r>
</pivotCacheRecords>
</file>

<file path=xl/pivotCache/pivotCacheRecords27.xml><?xml version="1.0" encoding="utf-8"?>
<pivotCacheRecords xmlns="http://schemas.openxmlformats.org/spreadsheetml/2006/main" xmlns:r="http://schemas.openxmlformats.org/officeDocument/2006/relationships" count="14">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r>
    <m/>
    <m/>
    <m/>
    <x v="0"/>
    <m/>
    <m/>
    <x v="0"/>
    <m/>
    <x v="0"/>
    <x v="0"/>
  </r>
</pivotCacheRecords>
</file>

<file path=xl/pivotCache/pivotCacheRecords28.xml><?xml version="1.0" encoding="utf-8"?>
<pivotCacheRecords xmlns="http://schemas.openxmlformats.org/spreadsheetml/2006/main" xmlns:r="http://schemas.openxmlformats.org/officeDocument/2006/relationships" count="10">
  <r>
    <x v="0"/>
    <m/>
    <m/>
  </r>
  <r>
    <x v="1"/>
    <n v="0"/>
    <n v="1.25"/>
  </r>
  <r>
    <x v="2"/>
    <n v="0"/>
    <n v="1.25"/>
  </r>
  <r>
    <x v="3"/>
    <n v="0"/>
    <n v="1.25"/>
  </r>
  <r>
    <x v="4"/>
    <n v="1.6136283295776785E-3"/>
    <n v="1.25"/>
  </r>
  <r>
    <x v="5"/>
    <n v="65.735526649625683"/>
    <n v="1.25"/>
  </r>
  <r>
    <x v="6"/>
    <n v="-16.053308678150646"/>
    <n v="1.25"/>
  </r>
  <r>
    <x v="7"/>
    <n v="0"/>
    <n v="1.25"/>
  </r>
  <r>
    <x v="8"/>
    <n v="0"/>
    <n v="1.25"/>
  </r>
  <r>
    <x v="9"/>
    <n v="0"/>
    <n v="1.25"/>
  </r>
</pivotCacheRecords>
</file>

<file path=xl/pivotCache/pivotCacheRecords29.xml><?xml version="1.0" encoding="utf-8"?>
<pivotCacheRecords xmlns="http://schemas.openxmlformats.org/spreadsheetml/2006/main" xmlns:r="http://schemas.openxmlformats.org/officeDocument/2006/relationships" count="10">
  <r>
    <x v="0"/>
    <m/>
  </r>
  <r>
    <x v="1"/>
    <n v="0"/>
  </r>
  <r>
    <x v="2"/>
    <n v="0"/>
  </r>
  <r>
    <x v="3"/>
    <n v="0"/>
  </r>
  <r>
    <x v="4"/>
    <n v="0"/>
  </r>
  <r>
    <x v="5"/>
    <n v="2441.3623961260237"/>
  </r>
  <r>
    <x v="6"/>
    <n v="0.73590171419728112"/>
  </r>
  <r>
    <x v="7"/>
    <n v="-1"/>
  </r>
  <r>
    <x v="8"/>
    <n v="0"/>
  </r>
  <r>
    <x v="9"/>
    <n v="0"/>
  </r>
</pivotCacheRecords>
</file>

<file path=xl/pivotCache/pivotCacheRecords30.xml><?xml version="1.0" encoding="utf-8"?>
<pivotCacheRecords xmlns="http://schemas.openxmlformats.org/spreadsheetml/2006/main" xmlns:r="http://schemas.openxmlformats.org/officeDocument/2006/relationships" count="10">
  <r>
    <x v="0"/>
    <n v="0"/>
    <n v="0"/>
    <n v="45"/>
  </r>
  <r>
    <x v="1"/>
    <n v="0"/>
    <n v="0"/>
    <n v="45"/>
  </r>
  <r>
    <x v="2"/>
    <n v="0"/>
    <n v="0"/>
    <n v="45"/>
  </r>
  <r>
    <x v="3"/>
    <n v="0"/>
    <n v="0"/>
    <n v="45"/>
  </r>
  <r>
    <x v="4"/>
    <n v="157246.59114007291"/>
    <n v="200686.46076861641"/>
    <n v="45"/>
  </r>
  <r>
    <x v="5"/>
    <n v="74.004770767427843"/>
    <n v="16.159003561100427"/>
    <n v="45"/>
  </r>
  <r>
    <x v="6"/>
    <n v="3.9390211099972088E-2"/>
    <n v="24.660205131735914"/>
    <n v="45"/>
  </r>
  <r>
    <x v="7"/>
    <n v="0"/>
    <n v="0"/>
    <n v="45"/>
  </r>
  <r>
    <x v="8"/>
    <n v="0"/>
    <n v="0"/>
    <n v="45"/>
  </r>
  <r>
    <x v="9"/>
    <n v="0"/>
    <n v="0"/>
    <n v="45"/>
  </r>
</pivotCacheRecords>
</file>

<file path=xl/pivotCache/pivotCacheRecords31.xml><?xml version="1.0" encoding="utf-8"?>
<pivotCacheRecords xmlns="http://schemas.openxmlformats.org/spreadsheetml/2006/main" xmlns:r="http://schemas.openxmlformats.org/officeDocument/2006/relationships" count="10">
  <r>
    <x v="0"/>
    <n v="0"/>
    <n v="0"/>
    <n v="0.255"/>
  </r>
  <r>
    <x v="1"/>
    <n v="0"/>
    <n v="0"/>
    <n v="0.255"/>
  </r>
  <r>
    <x v="2"/>
    <n v="0"/>
    <n v="0"/>
    <n v="0.255"/>
  </r>
  <r>
    <x v="3"/>
    <n v="0"/>
    <n v="0"/>
    <n v="0.255"/>
  </r>
  <r>
    <x v="4"/>
    <n v="-2.1528922664833766E-3"/>
    <n v="0"/>
    <n v="0.255"/>
  </r>
  <r>
    <x v="5"/>
    <n v="-0.59083095501729255"/>
    <n v="0"/>
    <n v="0.255"/>
  </r>
  <r>
    <x v="6"/>
    <n v="0.87854473296806301"/>
    <n v="0"/>
    <n v="0.255"/>
  </r>
  <r>
    <x v="7"/>
    <n v="0"/>
    <n v="0"/>
    <n v="0.255"/>
  </r>
  <r>
    <x v="8"/>
    <n v="0"/>
    <n v="0"/>
    <n v="0.255"/>
  </r>
  <r>
    <x v="9"/>
    <n v="0"/>
    <n v="0"/>
    <n v="0.255"/>
  </r>
</pivotCacheRecords>
</file>

<file path=xl/pivotCache/pivotCacheRecords32.xml><?xml version="1.0" encoding="utf-8"?>
<pivotCacheRecords xmlns="http://schemas.openxmlformats.org/spreadsheetml/2006/main" xmlns:r="http://schemas.openxmlformats.org/officeDocument/2006/relationships" count="28">
  <r>
    <x v="0"/>
    <x v="0"/>
    <x v="0"/>
    <s v=""/>
    <m/>
    <s v=""/>
  </r>
  <r>
    <x v="1"/>
    <x v="1"/>
    <x v="1"/>
    <n v="2683.5382"/>
    <e v="#N/A"/>
    <s v=""/>
  </r>
  <r>
    <x v="1"/>
    <x v="1"/>
    <x v="2"/>
    <n v="3193.3189000000002"/>
    <e v="#N/A"/>
    <s v=""/>
  </r>
  <r>
    <x v="1"/>
    <x v="1"/>
    <x v="3"/>
    <n v="3050.9739"/>
    <e v="#N/A"/>
    <s v=""/>
  </r>
  <r>
    <x v="1"/>
    <x v="1"/>
    <x v="4"/>
    <n v="2743.8771999999999"/>
    <e v="#N/A"/>
    <s v=""/>
  </r>
  <r>
    <x v="1"/>
    <x v="1"/>
    <x v="5"/>
    <n v="2658.7049999999999"/>
    <e v="#N/A"/>
    <s v=""/>
  </r>
  <r>
    <x v="2"/>
    <x v="2"/>
    <x v="0"/>
    <s v=""/>
    <s v=""/>
    <s v=""/>
  </r>
  <r>
    <x v="2"/>
    <x v="2"/>
    <x v="0"/>
    <s v=""/>
    <s v=""/>
    <s v=""/>
  </r>
  <r>
    <x v="3"/>
    <x v="3"/>
    <x v="6"/>
    <n v="2786.5284999999999"/>
    <e v="#N/A"/>
    <s v=""/>
  </r>
  <r>
    <x v="3"/>
    <x v="3"/>
    <x v="7"/>
    <n v="3115.6649000000002"/>
    <n v="15491948"/>
    <n v="4972.2767040832914"/>
  </r>
  <r>
    <x v="3"/>
    <x v="3"/>
    <x v="8"/>
    <n v="3241.1259"/>
    <n v="30904773"/>
    <n v="9535.1967043304303"/>
  </r>
  <r>
    <x v="3"/>
    <x v="3"/>
    <x v="9"/>
    <n v="2474.5731999999998"/>
    <n v="26460562"/>
    <n v="10692.980106630106"/>
  </r>
  <r>
    <x v="3"/>
    <x v="3"/>
    <x v="10"/>
    <n v="3129.7665000000002"/>
    <n v="19456929"/>
    <n v="6216.7350184111174"/>
  </r>
  <r>
    <x v="3"/>
    <x v="3"/>
    <x v="11"/>
    <n v="3162.5088999999998"/>
    <n v="20813105"/>
    <n v="6581.2004513252123"/>
  </r>
  <r>
    <x v="3"/>
    <x v="3"/>
    <x v="12"/>
    <n v="3243.0614999999998"/>
    <n v="32832337"/>
    <n v="10123.871224767092"/>
  </r>
  <r>
    <x v="4"/>
    <x v="0"/>
    <x v="0"/>
    <s v=""/>
    <m/>
    <s v=""/>
  </r>
  <r>
    <x v="3"/>
    <x v="3"/>
    <x v="2"/>
    <n v="642.01199999999994"/>
    <n v="16312359"/>
    <n v="25408.183959178335"/>
  </r>
  <r>
    <x v="2"/>
    <x v="3"/>
    <x v="13"/>
    <n v="0"/>
    <e v="#N/A"/>
    <s v=""/>
  </r>
  <r>
    <x v="2"/>
    <x v="3"/>
    <x v="13"/>
    <n v="0"/>
    <e v="#N/A"/>
    <s v=""/>
  </r>
  <r>
    <x v="2"/>
    <x v="3"/>
    <x v="13"/>
    <n v="0"/>
    <e v="#N/A"/>
    <s v=""/>
  </r>
  <r>
    <x v="2"/>
    <x v="2"/>
    <x v="0"/>
    <s v=""/>
    <s v=""/>
    <s v=""/>
  </r>
  <r>
    <x v="0"/>
    <x v="2"/>
    <x v="0"/>
    <s v=""/>
    <s v=""/>
    <s v=""/>
  </r>
  <r>
    <x v="0"/>
    <x v="2"/>
    <x v="0"/>
    <s v=""/>
    <s v=""/>
    <s v=""/>
  </r>
  <r>
    <x v="0"/>
    <x v="2"/>
    <x v="0"/>
    <s v=""/>
    <s v=""/>
    <s v=""/>
  </r>
  <r>
    <x v="0"/>
    <x v="2"/>
    <x v="0"/>
    <s v=""/>
    <s v=""/>
    <s v=""/>
  </r>
  <r>
    <x v="0"/>
    <x v="2"/>
    <x v="0"/>
    <s v=""/>
    <s v=""/>
    <s v=""/>
  </r>
  <r>
    <x v="0"/>
    <x v="2"/>
    <x v="0"/>
    <s v=""/>
    <s v=""/>
    <s v=""/>
  </r>
  <r>
    <x v="0"/>
    <x v="2"/>
    <x v="0"/>
    <s v=""/>
    <s v=""/>
    <s v=""/>
  </r>
</pivotCacheRecords>
</file>

<file path=xl/pivotCache/pivotCacheRecords33.xml><?xml version="1.0" encoding="utf-8"?>
<pivotCacheRecords xmlns="http://schemas.openxmlformats.org/spreadsheetml/2006/main" xmlns:r="http://schemas.openxmlformats.org/officeDocument/2006/relationships" count="29">
  <r>
    <x v="0"/>
    <n v="7"/>
    <n v="12855.28"/>
    <x v="0"/>
    <x v="0"/>
  </r>
  <r>
    <x v="0"/>
    <n v="10"/>
    <n v="4354.38"/>
    <x v="1"/>
    <x v="1"/>
  </r>
  <r>
    <x v="1"/>
    <n v="1"/>
    <n v="448.87"/>
    <x v="2"/>
    <x v="2"/>
  </r>
  <r>
    <x v="1"/>
    <n v="2"/>
    <n v="1586.53"/>
    <x v="3"/>
    <x v="3"/>
  </r>
  <r>
    <x v="1"/>
    <n v="3"/>
    <n v="-1203.6300000000001"/>
    <x v="4"/>
    <x v="4"/>
  </r>
  <r>
    <x v="1"/>
    <n v="4"/>
    <n v="97.42"/>
    <x v="5"/>
    <x v="5"/>
  </r>
  <r>
    <x v="1"/>
    <n v="5"/>
    <n v="537.46"/>
    <x v="6"/>
    <x v="6"/>
  </r>
  <r>
    <x v="1"/>
    <n v="6"/>
    <n v="406.49"/>
    <x v="7"/>
    <x v="7"/>
  </r>
  <r>
    <x v="1"/>
    <n v="7"/>
    <n v="-2921.5"/>
    <x v="0"/>
    <x v="0"/>
  </r>
  <r>
    <x v="1"/>
    <n v="8"/>
    <n v="1026499.36"/>
    <x v="8"/>
    <x v="8"/>
  </r>
  <r>
    <x v="1"/>
    <n v="9"/>
    <n v="7235.16"/>
    <x v="9"/>
    <x v="9"/>
  </r>
  <r>
    <x v="1"/>
    <n v="10"/>
    <n v="6099.54"/>
    <x v="1"/>
    <x v="1"/>
  </r>
  <r>
    <x v="1"/>
    <n v="11"/>
    <n v="-3896.59"/>
    <x v="10"/>
    <x v="10"/>
  </r>
  <r>
    <x v="1"/>
    <n v="12"/>
    <n v="62635.360000000001"/>
    <x v="11"/>
    <x v="11"/>
  </r>
  <r>
    <x v="2"/>
    <n v="8"/>
    <n v="-1348.18"/>
    <x v="8"/>
    <x v="8"/>
  </r>
  <r>
    <x v="2"/>
    <n v="9"/>
    <n v="98.29"/>
    <x v="9"/>
    <x v="9"/>
  </r>
  <r>
    <x v="3"/>
    <m/>
    <m/>
    <x v="12"/>
    <x v="12"/>
  </r>
  <r>
    <x v="3"/>
    <m/>
    <m/>
    <x v="12"/>
    <x v="12"/>
  </r>
  <r>
    <x v="3"/>
    <m/>
    <m/>
    <x v="12"/>
    <x v="12"/>
  </r>
  <r>
    <x v="3"/>
    <m/>
    <m/>
    <x v="12"/>
    <x v="12"/>
  </r>
  <r>
    <x v="3"/>
    <m/>
    <m/>
    <x v="12"/>
    <x v="12"/>
  </r>
  <r>
    <x v="3"/>
    <m/>
    <m/>
    <x v="12"/>
    <x v="12"/>
  </r>
  <r>
    <x v="3"/>
    <m/>
    <m/>
    <x v="12"/>
    <x v="12"/>
  </r>
  <r>
    <x v="3"/>
    <m/>
    <m/>
    <x v="12"/>
    <x v="12"/>
  </r>
  <r>
    <x v="3"/>
    <m/>
    <m/>
    <x v="12"/>
    <x v="12"/>
  </r>
  <r>
    <x v="3"/>
    <m/>
    <m/>
    <x v="12"/>
    <x v="12"/>
  </r>
  <r>
    <x v="3"/>
    <m/>
    <m/>
    <x v="12"/>
    <x v="12"/>
  </r>
  <r>
    <x v="3"/>
    <m/>
    <m/>
    <x v="12"/>
    <x v="12"/>
  </r>
  <r>
    <x v="3"/>
    <m/>
    <m/>
    <x v="12"/>
    <x v="12"/>
  </r>
</pivotCacheRecords>
</file>

<file path=xl/pivotCache/pivotCacheRecords34.xml><?xml version="1.0" encoding="utf-8"?>
<pivotCacheRecords xmlns="http://schemas.openxmlformats.org/spreadsheetml/2006/main" xmlns:r="http://schemas.openxmlformats.org/officeDocument/2006/relationships" count="641">
  <r>
    <x v="0"/>
    <x v="0"/>
    <n v="1"/>
    <n v="98.09"/>
    <n v="136.5"/>
    <n v="0.71"/>
    <x v="0"/>
    <x v="0"/>
  </r>
  <r>
    <x v="1"/>
    <x v="0"/>
    <n v="1"/>
    <n v="6.39"/>
    <n v="35.5"/>
    <n v="0.18"/>
    <x v="0"/>
    <x v="0"/>
  </r>
  <r>
    <x v="2"/>
    <x v="0"/>
    <n v="1"/>
    <n v="9.49"/>
    <n v="20"/>
    <n v="0.47"/>
    <x v="0"/>
    <x v="0"/>
  </r>
  <r>
    <x v="3"/>
    <x v="0"/>
    <n v="1"/>
    <n v="42.2"/>
    <n v="125.5"/>
    <n v="0.33"/>
    <x v="0"/>
    <x v="0"/>
  </r>
  <r>
    <x v="4"/>
    <x v="0"/>
    <n v="1"/>
    <n v="5.7"/>
    <n v="30"/>
    <n v="0.19"/>
    <x v="0"/>
    <x v="0"/>
  </r>
  <r>
    <x v="5"/>
    <x v="0"/>
    <n v="1"/>
    <n v="38.200000000000003"/>
    <n v="105.5"/>
    <n v="0.36"/>
    <x v="0"/>
    <x v="0"/>
  </r>
  <r>
    <x v="6"/>
    <x v="0"/>
    <n v="1"/>
    <n v="2.0099999999999998"/>
    <n v="5.5"/>
    <n v="0.36"/>
    <x v="0"/>
    <x v="0"/>
  </r>
  <r>
    <x v="7"/>
    <x v="0"/>
    <n v="1"/>
    <n v="10.88"/>
    <n v="30"/>
    <n v="0.36"/>
    <x v="0"/>
    <x v="0"/>
  </r>
  <r>
    <x v="8"/>
    <x v="0"/>
    <n v="1"/>
    <n v="161.83000000000001"/>
    <n v="137.5"/>
    <n v="1.17"/>
    <x v="0"/>
    <x v="0"/>
  </r>
  <r>
    <x v="9"/>
    <x v="0"/>
    <n v="1"/>
    <n v="13.3"/>
    <n v="30"/>
    <n v="0.44"/>
    <x v="0"/>
    <x v="0"/>
  </r>
  <r>
    <x v="10"/>
    <x v="0"/>
    <n v="1"/>
    <n v="56.84"/>
    <n v="136.5"/>
    <n v="0.41"/>
    <x v="0"/>
    <x v="0"/>
  </r>
  <r>
    <x v="11"/>
    <x v="0"/>
    <n v="1"/>
    <n v="12.99"/>
    <n v="91"/>
    <n v="0.14000000000000001"/>
    <x v="0"/>
    <x v="0"/>
  </r>
  <r>
    <x v="12"/>
    <x v="0"/>
    <n v="1"/>
    <n v="83.68"/>
    <n v="156.5"/>
    <n v="0.53"/>
    <x v="0"/>
    <x v="0"/>
  </r>
  <r>
    <x v="13"/>
    <x v="0"/>
    <n v="1"/>
    <n v="3.93"/>
    <n v="15.5"/>
    <n v="0.25"/>
    <x v="0"/>
    <x v="0"/>
  </r>
  <r>
    <x v="14"/>
    <x v="0"/>
    <n v="1"/>
    <n v="0.7"/>
    <n v="10"/>
    <n v="7.0000000000000007E-2"/>
    <x v="0"/>
    <x v="0"/>
  </r>
  <r>
    <x v="15"/>
    <x v="0"/>
    <n v="1"/>
    <n v="90.78"/>
    <n v="162"/>
    <n v="0.56000000000000005"/>
    <x v="0"/>
    <x v="0"/>
  </r>
  <r>
    <x v="16"/>
    <x v="0"/>
    <n v="1"/>
    <n v="21.79"/>
    <n v="101"/>
    <n v="0.21"/>
    <x v="0"/>
    <x v="0"/>
  </r>
  <r>
    <x v="17"/>
    <x v="0"/>
    <n v="1"/>
    <n v="30.56"/>
    <n v="61"/>
    <n v="0.5"/>
    <x v="0"/>
    <x v="0"/>
  </r>
  <r>
    <x v="18"/>
    <x v="0"/>
    <n v="1"/>
    <n v="17.690000000000001"/>
    <n v="81"/>
    <n v="0.21"/>
    <x v="0"/>
    <x v="0"/>
  </r>
  <r>
    <x v="19"/>
    <x v="0"/>
    <n v="1"/>
    <n v="46.51"/>
    <n v="91"/>
    <n v="0.51"/>
    <x v="0"/>
    <x v="0"/>
  </r>
  <r>
    <x v="20"/>
    <x v="0"/>
    <n v="1"/>
    <n v="165.24"/>
    <n v="162"/>
    <n v="1.02"/>
    <x v="0"/>
    <x v="0"/>
  </r>
  <r>
    <x v="21"/>
    <x v="0"/>
    <n v="1"/>
    <n v="1.65"/>
    <n v="10"/>
    <n v="0.16"/>
    <x v="0"/>
    <x v="0"/>
  </r>
  <r>
    <x v="22"/>
    <x v="0"/>
    <n v="1"/>
    <n v="6.39"/>
    <n v="20"/>
    <n v="0.31"/>
    <x v="0"/>
    <x v="0"/>
  </r>
  <r>
    <x v="23"/>
    <x v="0"/>
    <n v="1"/>
    <n v="46.24"/>
    <n v="100"/>
    <n v="0.46"/>
    <x v="0"/>
    <x v="0"/>
  </r>
  <r>
    <x v="24"/>
    <x v="0"/>
    <n v="1"/>
    <n v="6.16"/>
    <n v="40"/>
    <n v="0.15"/>
    <x v="0"/>
    <x v="0"/>
  </r>
  <r>
    <x v="25"/>
    <x v="0"/>
    <n v="1"/>
    <n v="57.11"/>
    <n v="101"/>
    <n v="0.56000000000000005"/>
    <x v="0"/>
    <x v="0"/>
  </r>
  <r>
    <x v="26"/>
    <x v="0"/>
    <n v="1"/>
    <n v="67.650000000000006"/>
    <n v="120"/>
    <n v="0.56000000000000005"/>
    <x v="0"/>
    <x v="0"/>
  </r>
  <r>
    <x v="27"/>
    <x v="0"/>
    <n v="1"/>
    <n v="6.22"/>
    <n v="30"/>
    <n v="0.2"/>
    <x v="0"/>
    <x v="0"/>
  </r>
  <r>
    <x v="28"/>
    <x v="0"/>
    <n v="1"/>
    <n v="34.4"/>
    <n v="40"/>
    <n v="0.86"/>
    <x v="0"/>
    <x v="0"/>
  </r>
  <r>
    <x v="29"/>
    <x v="0"/>
    <n v="1"/>
    <n v="259.54000000000002"/>
    <n v="162"/>
    <n v="1.6"/>
    <x v="0"/>
    <x v="0"/>
  </r>
  <r>
    <x v="30"/>
    <x v="0"/>
    <n v="1"/>
    <n v="76.739999999999995"/>
    <n v="111"/>
    <n v="0.69"/>
    <x v="0"/>
    <x v="0"/>
  </r>
  <r>
    <x v="31"/>
    <x v="0"/>
    <n v="1"/>
    <n v="25.31"/>
    <n v="111"/>
    <n v="0.22"/>
    <x v="0"/>
    <x v="0"/>
  </r>
  <r>
    <x v="32"/>
    <x v="0"/>
    <n v="1"/>
    <n v="13.43"/>
    <n v="35.5"/>
    <n v="0.37"/>
    <x v="0"/>
    <x v="0"/>
  </r>
  <r>
    <x v="33"/>
    <x v="0"/>
    <n v="1"/>
    <n v="15.35"/>
    <n v="25.5"/>
    <n v="0.6"/>
    <x v="0"/>
    <x v="0"/>
  </r>
  <r>
    <x v="34"/>
    <x v="0"/>
    <n v="1"/>
    <n v="5.98"/>
    <n v="15.5"/>
    <n v="0.38"/>
    <x v="0"/>
    <x v="0"/>
  </r>
  <r>
    <x v="35"/>
    <x v="0"/>
    <n v="1"/>
    <n v="154.9"/>
    <n v="162"/>
    <n v="0.95"/>
    <x v="0"/>
    <x v="0"/>
  </r>
  <r>
    <x v="36"/>
    <x v="0"/>
    <n v="1"/>
    <n v="28.27"/>
    <n v="116.5"/>
    <n v="0.24"/>
    <x v="0"/>
    <x v="0"/>
  </r>
  <r>
    <x v="37"/>
    <x v="0"/>
    <n v="1"/>
    <n v="16.93"/>
    <n v="86.5"/>
    <n v="0.19"/>
    <x v="0"/>
    <x v="0"/>
  </r>
  <r>
    <x v="38"/>
    <x v="0"/>
    <n v="1"/>
    <n v="1.1499999999999999"/>
    <n v="10"/>
    <n v="0.11"/>
    <x v="0"/>
    <x v="0"/>
  </r>
  <r>
    <x v="39"/>
    <x v="0"/>
    <n v="1"/>
    <n v="3.79"/>
    <n v="25.5"/>
    <n v="0.14000000000000001"/>
    <x v="0"/>
    <x v="0"/>
  </r>
  <r>
    <x v="40"/>
    <x v="0"/>
    <n v="1"/>
    <n v="14.19"/>
    <n v="91"/>
    <n v="0.15"/>
    <x v="0"/>
    <x v="0"/>
  </r>
  <r>
    <x v="41"/>
    <x v="0"/>
    <n v="1"/>
    <n v="11.8"/>
    <n v="30"/>
    <n v="0.39"/>
    <x v="0"/>
    <x v="0"/>
  </r>
  <r>
    <x v="42"/>
    <x v="0"/>
    <n v="1"/>
    <n v="0.96"/>
    <n v="30"/>
    <n v="0.03"/>
    <x v="0"/>
    <x v="0"/>
  </r>
  <r>
    <x v="43"/>
    <x v="0"/>
    <n v="1"/>
    <n v="234.15"/>
    <n v="162"/>
    <n v="1.44"/>
    <x v="0"/>
    <x v="0"/>
  </r>
  <r>
    <x v="44"/>
    <x v="0"/>
    <n v="1"/>
    <n v="158.38"/>
    <n v="162"/>
    <n v="0.97"/>
    <x v="0"/>
    <x v="0"/>
  </r>
  <r>
    <x v="45"/>
    <x v="0"/>
    <n v="1"/>
    <n v="32.32"/>
    <n v="105.5"/>
    <n v="0.3"/>
    <x v="0"/>
    <x v="0"/>
  </r>
  <r>
    <x v="46"/>
    <x v="0"/>
    <n v="1"/>
    <n v="18.34"/>
    <n v="99.5"/>
    <n v="0.18"/>
    <x v="0"/>
    <x v="0"/>
  </r>
  <r>
    <x v="47"/>
    <x v="0"/>
    <n v="1"/>
    <n v="339.05"/>
    <n v="162"/>
    <n v="2.09"/>
    <x v="0"/>
    <x v="0"/>
  </r>
  <r>
    <x v="48"/>
    <x v="0"/>
    <n v="1"/>
    <n v="112.07"/>
    <n v="152"/>
    <n v="0.73"/>
    <x v="0"/>
    <x v="0"/>
  </r>
  <r>
    <x v="49"/>
    <x v="0"/>
    <n v="1"/>
    <n v="146.71"/>
    <n v="142"/>
    <n v="1.03"/>
    <x v="0"/>
    <x v="0"/>
  </r>
  <r>
    <x v="50"/>
    <x v="0"/>
    <n v="1"/>
    <n v="34.32"/>
    <n v="75.5"/>
    <n v="0.45"/>
    <x v="0"/>
    <x v="0"/>
  </r>
  <r>
    <x v="51"/>
    <x v="0"/>
    <n v="1"/>
    <n v="7"/>
    <n v="50"/>
    <n v="0.14000000000000001"/>
    <x v="0"/>
    <x v="0"/>
  </r>
  <r>
    <x v="52"/>
    <x v="0"/>
    <n v="1"/>
    <n v="0.31"/>
    <n v="10"/>
    <n v="0.03"/>
    <x v="0"/>
    <x v="0"/>
  </r>
  <r>
    <x v="53"/>
    <x v="0"/>
    <n v="1"/>
    <n v="4.1399999999999997"/>
    <n v="10"/>
    <n v="0.41"/>
    <x v="0"/>
    <x v="0"/>
  </r>
  <r>
    <x v="54"/>
    <x v="0"/>
    <n v="1"/>
    <n v="0.05"/>
    <n v="10"/>
    <n v="0"/>
    <x v="0"/>
    <x v="0"/>
  </r>
  <r>
    <x v="55"/>
    <x v="0"/>
    <n v="1"/>
    <n v="14.77"/>
    <n v="85.5"/>
    <n v="0.17"/>
    <x v="0"/>
    <x v="0"/>
  </r>
  <r>
    <x v="56"/>
    <x v="0"/>
    <n v="1"/>
    <n v="100.94"/>
    <n v="116.5"/>
    <n v="0.86"/>
    <x v="0"/>
    <x v="0"/>
  </r>
  <r>
    <x v="0"/>
    <x v="0"/>
    <n v="2"/>
    <n v="114.04"/>
    <n v="166.5"/>
    <n v="0.68"/>
    <x v="1"/>
    <x v="1"/>
  </r>
  <r>
    <x v="1"/>
    <x v="0"/>
    <n v="2"/>
    <n v="8.86"/>
    <n v="65.5"/>
    <n v="0.13"/>
    <x v="1"/>
    <x v="1"/>
  </r>
  <r>
    <x v="57"/>
    <x v="0"/>
    <n v="2"/>
    <n v="4.16"/>
    <n v="40"/>
    <n v="0.1"/>
    <x v="1"/>
    <x v="1"/>
  </r>
  <r>
    <x v="3"/>
    <x v="0"/>
    <n v="2"/>
    <n v="31.65"/>
    <n v="141"/>
    <n v="0.22"/>
    <x v="1"/>
    <x v="1"/>
  </r>
  <r>
    <x v="4"/>
    <x v="0"/>
    <n v="2"/>
    <n v="4.37"/>
    <n v="65.5"/>
    <n v="0.06"/>
    <x v="1"/>
    <x v="1"/>
  </r>
  <r>
    <x v="58"/>
    <x v="0"/>
    <n v="2"/>
    <n v="1.1499999999999999"/>
    <n v="10"/>
    <n v="0.11"/>
    <x v="1"/>
    <x v="1"/>
  </r>
  <r>
    <x v="59"/>
    <x v="0"/>
    <n v="2"/>
    <n v="0.13"/>
    <n v="10"/>
    <n v="0.01"/>
    <x v="1"/>
    <x v="1"/>
  </r>
  <r>
    <x v="5"/>
    <x v="0"/>
    <n v="2"/>
    <n v="38.26"/>
    <n v="85.5"/>
    <n v="0.44"/>
    <x v="1"/>
    <x v="1"/>
  </r>
  <r>
    <x v="6"/>
    <x v="0"/>
    <n v="2"/>
    <n v="10.86"/>
    <n v="65.5"/>
    <n v="0.16"/>
    <x v="1"/>
    <x v="1"/>
  </r>
  <r>
    <x v="7"/>
    <x v="0"/>
    <n v="2"/>
    <n v="15.73"/>
    <n v="60"/>
    <n v="0.26"/>
    <x v="1"/>
    <x v="1"/>
  </r>
  <r>
    <x v="8"/>
    <x v="0"/>
    <n v="2"/>
    <n v="258.20999999999998"/>
    <n v="152.5"/>
    <n v="1.69"/>
    <x v="1"/>
    <x v="1"/>
  </r>
  <r>
    <x v="9"/>
    <x v="0"/>
    <n v="2"/>
    <n v="15.58"/>
    <n v="15"/>
    <n v="1.03"/>
    <x v="1"/>
    <x v="1"/>
  </r>
  <r>
    <x v="10"/>
    <x v="0"/>
    <n v="2"/>
    <n v="130.12"/>
    <n v="151"/>
    <n v="0.86"/>
    <x v="1"/>
    <x v="1"/>
  </r>
  <r>
    <x v="11"/>
    <x v="0"/>
    <n v="2"/>
    <n v="27.38"/>
    <n v="131"/>
    <n v="0.2"/>
    <x v="1"/>
    <x v="1"/>
  </r>
  <r>
    <x v="12"/>
    <x v="0"/>
    <n v="2"/>
    <n v="109.19"/>
    <n v="166.5"/>
    <n v="0.65"/>
    <x v="1"/>
    <x v="1"/>
  </r>
  <r>
    <x v="13"/>
    <x v="0"/>
    <n v="2"/>
    <n v="7.2"/>
    <n v="45.5"/>
    <n v="0.15"/>
    <x v="1"/>
    <x v="1"/>
  </r>
  <r>
    <x v="14"/>
    <x v="0"/>
    <n v="2"/>
    <n v="0.45"/>
    <n v="10"/>
    <n v="0.04"/>
    <x v="1"/>
    <x v="1"/>
  </r>
  <r>
    <x v="60"/>
    <x v="0"/>
    <n v="2"/>
    <n v="0.28000000000000003"/>
    <n v="10"/>
    <n v="0.02"/>
    <x v="1"/>
    <x v="1"/>
  </r>
  <r>
    <x v="61"/>
    <x v="0"/>
    <n v="2"/>
    <n v="16.43"/>
    <n v="28.5"/>
    <n v="0.56999999999999995"/>
    <x v="1"/>
    <x v="1"/>
  </r>
  <r>
    <x v="15"/>
    <x v="0"/>
    <n v="2"/>
    <n v="109.68"/>
    <n v="176.5"/>
    <n v="0.62"/>
    <x v="1"/>
    <x v="1"/>
  </r>
  <r>
    <x v="16"/>
    <x v="0"/>
    <n v="2"/>
    <n v="15.24"/>
    <n v="86.5"/>
    <n v="0.17"/>
    <x v="1"/>
    <x v="1"/>
  </r>
  <r>
    <x v="17"/>
    <x v="0"/>
    <n v="2"/>
    <n v="22.55"/>
    <n v="105.5"/>
    <n v="0.21"/>
    <x v="1"/>
    <x v="1"/>
  </r>
  <r>
    <x v="18"/>
    <x v="0"/>
    <n v="2"/>
    <n v="31"/>
    <n v="131"/>
    <n v="0.23"/>
    <x v="1"/>
    <x v="1"/>
  </r>
  <r>
    <x v="19"/>
    <x v="0"/>
    <n v="2"/>
    <n v="3.86"/>
    <n v="70"/>
    <n v="0.05"/>
    <x v="1"/>
    <x v="1"/>
  </r>
  <r>
    <x v="62"/>
    <x v="0"/>
    <n v="2"/>
    <n v="13.74"/>
    <n v="43.5"/>
    <n v="0.31"/>
    <x v="1"/>
    <x v="1"/>
  </r>
  <r>
    <x v="20"/>
    <x v="0"/>
    <n v="2"/>
    <n v="149.79"/>
    <n v="156.5"/>
    <n v="0.95"/>
    <x v="1"/>
    <x v="1"/>
  </r>
  <r>
    <x v="21"/>
    <x v="0"/>
    <n v="2"/>
    <n v="11.79"/>
    <n v="45.5"/>
    <n v="0.25"/>
    <x v="1"/>
    <x v="1"/>
  </r>
  <r>
    <x v="22"/>
    <x v="0"/>
    <n v="2"/>
    <n v="8.1300000000000008"/>
    <n v="40"/>
    <n v="0.2"/>
    <x v="1"/>
    <x v="1"/>
  </r>
  <r>
    <x v="23"/>
    <x v="0"/>
    <n v="2"/>
    <n v="81.510000000000005"/>
    <n v="150"/>
    <n v="0.54"/>
    <x v="1"/>
    <x v="1"/>
  </r>
  <r>
    <x v="24"/>
    <x v="0"/>
    <n v="2"/>
    <n v="0.15"/>
    <n v="20"/>
    <n v="0"/>
    <x v="1"/>
    <x v="1"/>
  </r>
  <r>
    <x v="25"/>
    <x v="0"/>
    <n v="2"/>
    <n v="19.899999999999999"/>
    <n v="20"/>
    <n v="0.99"/>
    <x v="1"/>
    <x v="1"/>
  </r>
  <r>
    <x v="26"/>
    <x v="0"/>
    <n v="2"/>
    <n v="45.9"/>
    <n v="140"/>
    <n v="0.32"/>
    <x v="1"/>
    <x v="1"/>
  </r>
  <r>
    <x v="63"/>
    <x v="0"/>
    <n v="2"/>
    <n v="7.96"/>
    <n v="19"/>
    <n v="0.41"/>
    <x v="1"/>
    <x v="1"/>
  </r>
  <r>
    <x v="27"/>
    <x v="0"/>
    <n v="2"/>
    <n v="2.96"/>
    <n v="15.5"/>
    <n v="0.19"/>
    <x v="1"/>
    <x v="1"/>
  </r>
  <r>
    <x v="28"/>
    <x v="0"/>
    <n v="2"/>
    <n v="0.33"/>
    <n v="5.5"/>
    <n v="0.06"/>
    <x v="1"/>
    <x v="1"/>
  </r>
  <r>
    <x v="29"/>
    <x v="0"/>
    <n v="2"/>
    <n v="239.25"/>
    <n v="176.5"/>
    <n v="1.35"/>
    <x v="1"/>
    <x v="1"/>
  </r>
  <r>
    <x v="30"/>
    <x v="0"/>
    <n v="2"/>
    <n v="40.799999999999997"/>
    <n v="105.5"/>
    <n v="0.38"/>
    <x v="1"/>
    <x v="1"/>
  </r>
  <r>
    <x v="31"/>
    <x v="0"/>
    <n v="2"/>
    <n v="54.8"/>
    <n v="131"/>
    <n v="0.41"/>
    <x v="1"/>
    <x v="1"/>
  </r>
  <r>
    <x v="32"/>
    <x v="0"/>
    <n v="2"/>
    <n v="59.31"/>
    <n v="91"/>
    <n v="0.65"/>
    <x v="1"/>
    <x v="1"/>
  </r>
  <r>
    <x v="33"/>
    <x v="0"/>
    <n v="2"/>
    <n v="34.24"/>
    <n v="101"/>
    <n v="0.33"/>
    <x v="1"/>
    <x v="1"/>
  </r>
  <r>
    <x v="64"/>
    <x v="0"/>
    <n v="2"/>
    <n v="46.71"/>
    <n v="55.5"/>
    <n v="0.84"/>
    <x v="1"/>
    <x v="1"/>
  </r>
  <r>
    <x v="34"/>
    <x v="0"/>
    <n v="2"/>
    <n v="0.62"/>
    <n v="21"/>
    <n v="0.02"/>
    <x v="1"/>
    <x v="1"/>
  </r>
  <r>
    <x v="65"/>
    <x v="0"/>
    <n v="2"/>
    <n v="5.19"/>
    <n v="24.5"/>
    <n v="0.21"/>
    <x v="1"/>
    <x v="1"/>
  </r>
  <r>
    <x v="35"/>
    <x v="0"/>
    <n v="2"/>
    <n v="158.6"/>
    <n v="176.5"/>
    <n v="0.89"/>
    <x v="1"/>
    <x v="1"/>
  </r>
  <r>
    <x v="36"/>
    <x v="0"/>
    <n v="2"/>
    <n v="39.65"/>
    <n v="151"/>
    <n v="0.26"/>
    <x v="1"/>
    <x v="1"/>
  </r>
  <r>
    <x v="37"/>
    <x v="0"/>
    <n v="2"/>
    <n v="8.68"/>
    <n v="65.5"/>
    <n v="0.13"/>
    <x v="1"/>
    <x v="1"/>
  </r>
  <r>
    <x v="38"/>
    <x v="0"/>
    <n v="2"/>
    <n v="1.05"/>
    <n v="10"/>
    <n v="0.1"/>
    <x v="1"/>
    <x v="1"/>
  </r>
  <r>
    <x v="39"/>
    <x v="0"/>
    <n v="2"/>
    <n v="0"/>
    <n v="5.5"/>
    <n v="0"/>
    <x v="1"/>
    <x v="1"/>
  </r>
  <r>
    <x v="40"/>
    <x v="0"/>
    <n v="2"/>
    <n v="0.17"/>
    <n v="50"/>
    <n v="0"/>
    <x v="1"/>
    <x v="1"/>
  </r>
  <r>
    <x v="41"/>
    <x v="0"/>
    <n v="2"/>
    <n v="10.25"/>
    <n v="28.5"/>
    <n v="0.35"/>
    <x v="1"/>
    <x v="1"/>
  </r>
  <r>
    <x v="42"/>
    <x v="0"/>
    <n v="2"/>
    <n v="0.06"/>
    <n v="19"/>
    <n v="0"/>
    <x v="1"/>
    <x v="1"/>
  </r>
  <r>
    <x v="43"/>
    <x v="0"/>
    <n v="2"/>
    <n v="147.44999999999999"/>
    <n v="156.5"/>
    <n v="0.94"/>
    <x v="1"/>
    <x v="1"/>
  </r>
  <r>
    <x v="44"/>
    <x v="0"/>
    <n v="2"/>
    <n v="169.85"/>
    <n v="171"/>
    <n v="0.99"/>
    <x v="1"/>
    <x v="1"/>
  </r>
  <r>
    <x v="45"/>
    <x v="0"/>
    <n v="2"/>
    <n v="29.64"/>
    <n v="121"/>
    <n v="0.24"/>
    <x v="1"/>
    <x v="1"/>
  </r>
  <r>
    <x v="46"/>
    <x v="0"/>
    <n v="2"/>
    <n v="26.38"/>
    <n v="117"/>
    <n v="0.22"/>
    <x v="1"/>
    <x v="1"/>
  </r>
  <r>
    <x v="47"/>
    <x v="0"/>
    <n v="2"/>
    <n v="455.14"/>
    <n v="176.5"/>
    <n v="2.57"/>
    <x v="1"/>
    <x v="1"/>
  </r>
  <r>
    <x v="48"/>
    <x v="0"/>
    <n v="2"/>
    <n v="94.16"/>
    <n v="151"/>
    <n v="0.62"/>
    <x v="1"/>
    <x v="1"/>
  </r>
  <r>
    <x v="49"/>
    <x v="0"/>
    <n v="2"/>
    <n v="101.38"/>
    <n v="121"/>
    <n v="0.83"/>
    <x v="1"/>
    <x v="1"/>
  </r>
  <r>
    <x v="50"/>
    <x v="0"/>
    <n v="2"/>
    <n v="32.799999999999997"/>
    <n v="75.5"/>
    <n v="0.43"/>
    <x v="1"/>
    <x v="1"/>
  </r>
  <r>
    <x v="51"/>
    <x v="0"/>
    <n v="2"/>
    <n v="0.42"/>
    <n v="10"/>
    <n v="0.04"/>
    <x v="1"/>
    <x v="1"/>
  </r>
  <r>
    <x v="52"/>
    <x v="0"/>
    <n v="2"/>
    <n v="6.82"/>
    <n v="10"/>
    <n v="0.68"/>
    <x v="1"/>
    <x v="1"/>
  </r>
  <r>
    <x v="66"/>
    <x v="0"/>
    <n v="2"/>
    <n v="6.46"/>
    <n v="20"/>
    <n v="0.32"/>
    <x v="1"/>
    <x v="1"/>
  </r>
  <r>
    <x v="53"/>
    <x v="0"/>
    <n v="2"/>
    <n v="5.37"/>
    <n v="20"/>
    <n v="0.26"/>
    <x v="1"/>
    <x v="1"/>
  </r>
  <r>
    <x v="54"/>
    <x v="0"/>
    <n v="2"/>
    <n v="0.52"/>
    <n v="10"/>
    <n v="0.05"/>
    <x v="1"/>
    <x v="1"/>
  </r>
  <r>
    <x v="55"/>
    <x v="0"/>
    <n v="2"/>
    <n v="25.49"/>
    <n v="115.5"/>
    <n v="0.22"/>
    <x v="1"/>
    <x v="1"/>
  </r>
  <r>
    <x v="56"/>
    <x v="0"/>
    <n v="2"/>
    <n v="164.32"/>
    <n v="176.5"/>
    <n v="0.93"/>
    <x v="1"/>
    <x v="1"/>
  </r>
  <r>
    <x v="0"/>
    <x v="0"/>
    <n v="3"/>
    <n v="76.5"/>
    <n v="115.5"/>
    <n v="0.66"/>
    <x v="2"/>
    <x v="2"/>
  </r>
  <r>
    <x v="1"/>
    <x v="0"/>
    <n v="3"/>
    <n v="8.85"/>
    <n v="30"/>
    <n v="0.28999999999999998"/>
    <x v="2"/>
    <x v="2"/>
  </r>
  <r>
    <x v="57"/>
    <x v="0"/>
    <n v="3"/>
    <n v="2.93"/>
    <n v="25.5"/>
    <n v="0.11"/>
    <x v="2"/>
    <x v="2"/>
  </r>
  <r>
    <x v="2"/>
    <x v="0"/>
    <n v="3"/>
    <n v="2.44"/>
    <n v="20"/>
    <n v="0.12"/>
    <x v="2"/>
    <x v="2"/>
  </r>
  <r>
    <x v="3"/>
    <x v="0"/>
    <n v="3"/>
    <n v="37.39"/>
    <n v="91"/>
    <n v="0.41"/>
    <x v="2"/>
    <x v="2"/>
  </r>
  <r>
    <x v="4"/>
    <x v="0"/>
    <n v="3"/>
    <n v="4.74"/>
    <n v="5.5"/>
    <n v="0.86"/>
    <x v="2"/>
    <x v="2"/>
  </r>
  <r>
    <x v="59"/>
    <x v="0"/>
    <n v="3"/>
    <n v="0.45"/>
    <n v="10"/>
    <n v="0.04"/>
    <x v="2"/>
    <x v="2"/>
  </r>
  <r>
    <x v="5"/>
    <x v="0"/>
    <n v="3"/>
    <n v="28.13"/>
    <n v="75.5"/>
    <n v="0.37"/>
    <x v="2"/>
    <x v="2"/>
  </r>
  <r>
    <x v="6"/>
    <x v="0"/>
    <n v="3"/>
    <n v="5.76"/>
    <n v="35.5"/>
    <n v="0.16"/>
    <x v="2"/>
    <x v="2"/>
  </r>
  <r>
    <x v="7"/>
    <x v="0"/>
    <n v="3"/>
    <n v="3.16"/>
    <n v="20"/>
    <n v="0.15"/>
    <x v="2"/>
    <x v="2"/>
  </r>
  <r>
    <x v="8"/>
    <x v="0"/>
    <n v="3"/>
    <n v="216.95"/>
    <n v="173"/>
    <n v="1.25"/>
    <x v="2"/>
    <x v="2"/>
  </r>
  <r>
    <x v="9"/>
    <x v="0"/>
    <n v="3"/>
    <n v="1.04"/>
    <n v="20.5"/>
    <n v="0.05"/>
    <x v="2"/>
    <x v="2"/>
  </r>
  <r>
    <x v="10"/>
    <x v="0"/>
    <n v="3"/>
    <n v="29.75"/>
    <n v="155.5"/>
    <n v="0.19"/>
    <x v="2"/>
    <x v="2"/>
  </r>
  <r>
    <x v="11"/>
    <x v="0"/>
    <n v="3"/>
    <n v="8.85"/>
    <n v="55.5"/>
    <n v="0.15"/>
    <x v="2"/>
    <x v="2"/>
  </r>
  <r>
    <x v="12"/>
    <x v="0"/>
    <n v="3"/>
    <n v="107.56"/>
    <n v="196.5"/>
    <n v="0.54"/>
    <x v="2"/>
    <x v="2"/>
  </r>
  <r>
    <x v="13"/>
    <x v="0"/>
    <n v="3"/>
    <n v="28.49"/>
    <n v="75.5"/>
    <n v="0.37"/>
    <x v="2"/>
    <x v="2"/>
  </r>
  <r>
    <x v="14"/>
    <x v="0"/>
    <n v="3"/>
    <n v="3.51"/>
    <n v="30"/>
    <n v="0.11"/>
    <x v="2"/>
    <x v="2"/>
  </r>
  <r>
    <x v="67"/>
    <x v="0"/>
    <n v="3"/>
    <n v="4.53"/>
    <n v="20"/>
    <n v="0.22"/>
    <x v="2"/>
    <x v="2"/>
  </r>
  <r>
    <x v="61"/>
    <x v="0"/>
    <n v="3"/>
    <n v="187.2"/>
    <n v="176.5"/>
    <n v="1.06"/>
    <x v="2"/>
    <x v="2"/>
  </r>
  <r>
    <x v="15"/>
    <x v="0"/>
    <n v="3"/>
    <n v="41.67"/>
    <n v="105.5"/>
    <n v="0.39"/>
    <x v="2"/>
    <x v="2"/>
  </r>
  <r>
    <x v="16"/>
    <x v="0"/>
    <n v="3"/>
    <n v="13.78"/>
    <n v="40"/>
    <n v="0.34"/>
    <x v="2"/>
    <x v="2"/>
  </r>
  <r>
    <x v="17"/>
    <x v="0"/>
    <n v="3"/>
    <n v="44.58"/>
    <n v="151"/>
    <n v="0.28999999999999998"/>
    <x v="2"/>
    <x v="2"/>
  </r>
  <r>
    <x v="18"/>
    <x v="0"/>
    <n v="3"/>
    <n v="14.95"/>
    <n v="55.5"/>
    <n v="0.26"/>
    <x v="2"/>
    <x v="2"/>
  </r>
  <r>
    <x v="19"/>
    <x v="0"/>
    <n v="3"/>
    <n v="12.57"/>
    <n v="40"/>
    <n v="0.31"/>
    <x v="2"/>
    <x v="2"/>
  </r>
  <r>
    <x v="62"/>
    <x v="0"/>
    <n v="3"/>
    <n v="154.22"/>
    <n v="182"/>
    <n v="0.84"/>
    <x v="2"/>
    <x v="2"/>
  </r>
  <r>
    <x v="20"/>
    <x v="0"/>
    <n v="3"/>
    <n v="56.85"/>
    <n v="185.5"/>
    <n v="0.3"/>
    <x v="2"/>
    <x v="2"/>
  </r>
  <r>
    <x v="21"/>
    <x v="0"/>
    <n v="3"/>
    <n v="0.71"/>
    <n v="20"/>
    <n v="0.03"/>
    <x v="2"/>
    <x v="2"/>
  </r>
  <r>
    <x v="68"/>
    <x v="0"/>
    <n v="3"/>
    <n v="2.9"/>
    <n v="20"/>
    <n v="0.14000000000000001"/>
    <x v="2"/>
    <x v="2"/>
  </r>
  <r>
    <x v="23"/>
    <x v="0"/>
    <n v="3"/>
    <n v="19.11"/>
    <n v="70"/>
    <n v="0.27"/>
    <x v="2"/>
    <x v="2"/>
  </r>
  <r>
    <x v="69"/>
    <x v="0"/>
    <n v="3"/>
    <n v="0.02"/>
    <n v="9.5"/>
    <n v="0"/>
    <x v="2"/>
    <x v="2"/>
  </r>
  <r>
    <x v="26"/>
    <x v="0"/>
    <n v="3"/>
    <n v="5.88"/>
    <n v="90"/>
    <n v="0.06"/>
    <x v="2"/>
    <x v="2"/>
  </r>
  <r>
    <x v="63"/>
    <x v="0"/>
    <n v="3"/>
    <n v="937.54"/>
    <n v="193"/>
    <n v="4.8499999999999996"/>
    <x v="2"/>
    <x v="2"/>
  </r>
  <r>
    <x v="29"/>
    <x v="0"/>
    <n v="3"/>
    <n v="114.31"/>
    <n v="196.5"/>
    <n v="0.57999999999999996"/>
    <x v="2"/>
    <x v="2"/>
  </r>
  <r>
    <x v="30"/>
    <x v="0"/>
    <n v="3"/>
    <n v="25.62"/>
    <n v="80"/>
    <n v="0.32"/>
    <x v="2"/>
    <x v="2"/>
  </r>
  <r>
    <x v="31"/>
    <x v="0"/>
    <n v="3"/>
    <n v="21.14"/>
    <n v="65.5"/>
    <n v="0.32"/>
    <x v="2"/>
    <x v="2"/>
  </r>
  <r>
    <x v="32"/>
    <x v="0"/>
    <n v="3"/>
    <n v="20.39"/>
    <n v="41"/>
    <n v="0.49"/>
    <x v="2"/>
    <x v="2"/>
  </r>
  <r>
    <x v="33"/>
    <x v="0"/>
    <n v="3"/>
    <n v="28.56"/>
    <n v="61"/>
    <n v="0.46"/>
    <x v="2"/>
    <x v="2"/>
  </r>
  <r>
    <x v="64"/>
    <x v="0"/>
    <n v="3"/>
    <n v="41.41"/>
    <n v="91"/>
    <n v="0.45"/>
    <x v="2"/>
    <x v="2"/>
  </r>
  <r>
    <x v="34"/>
    <x v="0"/>
    <n v="3"/>
    <n v="49.51"/>
    <n v="91"/>
    <n v="0.54"/>
    <x v="2"/>
    <x v="2"/>
  </r>
  <r>
    <x v="65"/>
    <x v="0"/>
    <n v="3"/>
    <n v="107.35"/>
    <n v="159"/>
    <n v="0.67"/>
    <x v="2"/>
    <x v="2"/>
  </r>
  <r>
    <x v="35"/>
    <x v="0"/>
    <n v="3"/>
    <n v="236.62"/>
    <n v="192"/>
    <n v="1.23"/>
    <x v="2"/>
    <x v="2"/>
  </r>
  <r>
    <x v="36"/>
    <x v="0"/>
    <n v="3"/>
    <n v="88.69"/>
    <n v="176.5"/>
    <n v="0.5"/>
    <x v="2"/>
    <x v="2"/>
  </r>
  <r>
    <x v="37"/>
    <x v="0"/>
    <n v="3"/>
    <n v="32.53"/>
    <n v="125.5"/>
    <n v="0.25"/>
    <x v="2"/>
    <x v="2"/>
  </r>
  <r>
    <x v="41"/>
    <x v="0"/>
    <n v="3"/>
    <n v="7.46"/>
    <n v="20.5"/>
    <n v="0.36"/>
    <x v="2"/>
    <x v="2"/>
  </r>
  <r>
    <x v="43"/>
    <x v="0"/>
    <n v="3"/>
    <n v="27.56"/>
    <n v="101"/>
    <n v="0.27"/>
    <x v="2"/>
    <x v="2"/>
  </r>
  <r>
    <x v="44"/>
    <x v="0"/>
    <n v="3"/>
    <n v="83.01"/>
    <n v="191"/>
    <n v="0.43"/>
    <x v="2"/>
    <x v="2"/>
  </r>
  <r>
    <x v="45"/>
    <x v="0"/>
    <n v="3"/>
    <n v="9.25"/>
    <n v="121"/>
    <n v="7.0000000000000007E-2"/>
    <x v="2"/>
    <x v="2"/>
  </r>
  <r>
    <x v="46"/>
    <x v="0"/>
    <n v="3"/>
    <n v="11.56"/>
    <n v="121"/>
    <n v="0.09"/>
    <x v="2"/>
    <x v="2"/>
  </r>
  <r>
    <x v="47"/>
    <x v="0"/>
    <n v="3"/>
    <n v="276.04000000000002"/>
    <n v="196.5"/>
    <n v="1.4"/>
    <x v="2"/>
    <x v="2"/>
  </r>
  <r>
    <x v="48"/>
    <x v="0"/>
    <n v="3"/>
    <n v="13.78"/>
    <n v="75.5"/>
    <n v="0.18"/>
    <x v="2"/>
    <x v="2"/>
  </r>
  <r>
    <x v="49"/>
    <x v="0"/>
    <n v="3"/>
    <n v="32.5"/>
    <n v="65.5"/>
    <n v="0.49"/>
    <x v="2"/>
    <x v="2"/>
  </r>
  <r>
    <x v="50"/>
    <x v="0"/>
    <n v="3"/>
    <n v="2.89"/>
    <n v="30"/>
    <n v="0.09"/>
    <x v="2"/>
    <x v="2"/>
  </r>
  <r>
    <x v="51"/>
    <x v="0"/>
    <n v="3"/>
    <n v="18.68"/>
    <n v="45.5"/>
    <n v="0.41"/>
    <x v="2"/>
    <x v="2"/>
  </r>
  <r>
    <x v="52"/>
    <x v="0"/>
    <n v="3"/>
    <n v="30.56"/>
    <n v="40"/>
    <n v="0.76"/>
    <x v="2"/>
    <x v="2"/>
  </r>
  <r>
    <x v="66"/>
    <x v="0"/>
    <n v="3"/>
    <n v="5.94"/>
    <n v="20"/>
    <n v="0.28999999999999998"/>
    <x v="2"/>
    <x v="2"/>
  </r>
  <r>
    <x v="53"/>
    <x v="0"/>
    <n v="3"/>
    <n v="1.1000000000000001"/>
    <n v="20"/>
    <n v="0.05"/>
    <x v="2"/>
    <x v="2"/>
  </r>
  <r>
    <x v="70"/>
    <x v="0"/>
    <n v="3"/>
    <n v="11.67"/>
    <n v="25.5"/>
    <n v="0.45"/>
    <x v="2"/>
    <x v="2"/>
  </r>
  <r>
    <x v="55"/>
    <x v="0"/>
    <n v="3"/>
    <n v="16.5"/>
    <n v="55.5"/>
    <n v="0.28999999999999998"/>
    <x v="2"/>
    <x v="2"/>
  </r>
  <r>
    <x v="56"/>
    <x v="0"/>
    <n v="3"/>
    <n v="59.85"/>
    <n v="105.5"/>
    <n v="0.56000000000000005"/>
    <x v="2"/>
    <x v="2"/>
  </r>
  <r>
    <x v="0"/>
    <x v="0"/>
    <n v="4"/>
    <n v="10.89"/>
    <n v="40"/>
    <n v="0.27"/>
    <x v="3"/>
    <x v="3"/>
  </r>
  <r>
    <x v="1"/>
    <x v="0"/>
    <n v="4"/>
    <n v="5.75"/>
    <n v="20"/>
    <n v="0.28000000000000003"/>
    <x v="3"/>
    <x v="3"/>
  </r>
  <r>
    <x v="57"/>
    <x v="0"/>
    <n v="4"/>
    <n v="3.81"/>
    <n v="10"/>
    <n v="0.38"/>
    <x v="3"/>
    <x v="3"/>
  </r>
  <r>
    <x v="3"/>
    <x v="0"/>
    <n v="4"/>
    <n v="9.0500000000000007"/>
    <n v="60"/>
    <n v="0.15"/>
    <x v="3"/>
    <x v="3"/>
  </r>
  <r>
    <x v="4"/>
    <x v="0"/>
    <n v="4"/>
    <n v="0.63"/>
    <n v="10"/>
    <n v="0.06"/>
    <x v="3"/>
    <x v="3"/>
  </r>
  <r>
    <x v="5"/>
    <x v="0"/>
    <n v="4"/>
    <n v="0"/>
    <n v="10"/>
    <n v="0"/>
    <x v="3"/>
    <x v="3"/>
  </r>
  <r>
    <x v="7"/>
    <x v="0"/>
    <n v="4"/>
    <n v="6.51"/>
    <n v="25.5"/>
    <n v="0.25"/>
    <x v="3"/>
    <x v="3"/>
  </r>
  <r>
    <x v="8"/>
    <x v="0"/>
    <n v="4"/>
    <n v="132.88"/>
    <n v="136"/>
    <n v="0.97"/>
    <x v="3"/>
    <x v="3"/>
  </r>
  <r>
    <x v="9"/>
    <x v="0"/>
    <n v="4"/>
    <n v="8.4499999999999993"/>
    <n v="53"/>
    <n v="0.15"/>
    <x v="3"/>
    <x v="3"/>
  </r>
  <r>
    <x v="10"/>
    <x v="0"/>
    <n v="4"/>
    <n v="11.83"/>
    <n v="80"/>
    <n v="0.14000000000000001"/>
    <x v="3"/>
    <x v="3"/>
  </r>
  <r>
    <x v="11"/>
    <x v="0"/>
    <n v="4"/>
    <n v="2.34"/>
    <n v="10"/>
    <n v="0.23"/>
    <x v="3"/>
    <x v="3"/>
  </r>
  <r>
    <x v="12"/>
    <x v="0"/>
    <n v="4"/>
    <n v="12.83"/>
    <n v="91"/>
    <n v="0.14000000000000001"/>
    <x v="3"/>
    <x v="3"/>
  </r>
  <r>
    <x v="13"/>
    <x v="0"/>
    <n v="4"/>
    <n v="1.2"/>
    <n v="20"/>
    <n v="0.06"/>
    <x v="3"/>
    <x v="3"/>
  </r>
  <r>
    <x v="61"/>
    <x v="0"/>
    <n v="4"/>
    <n v="113.91"/>
    <n v="134.5"/>
    <n v="0.84"/>
    <x v="3"/>
    <x v="3"/>
  </r>
  <r>
    <x v="15"/>
    <x v="0"/>
    <n v="4"/>
    <n v="45.77"/>
    <n v="81"/>
    <n v="0.56000000000000005"/>
    <x v="3"/>
    <x v="3"/>
  </r>
  <r>
    <x v="17"/>
    <x v="0"/>
    <n v="4"/>
    <n v="8.41"/>
    <n v="40"/>
    <n v="0.21"/>
    <x v="3"/>
    <x v="3"/>
  </r>
  <r>
    <x v="62"/>
    <x v="0"/>
    <n v="4"/>
    <n v="109.52"/>
    <n v="125"/>
    <n v="0.87"/>
    <x v="3"/>
    <x v="3"/>
  </r>
  <r>
    <x v="20"/>
    <x v="0"/>
    <n v="4"/>
    <n v="39.21"/>
    <n v="85.5"/>
    <n v="0.45"/>
    <x v="3"/>
    <x v="3"/>
  </r>
  <r>
    <x v="23"/>
    <x v="0"/>
    <n v="4"/>
    <n v="4.46"/>
    <n v="45.5"/>
    <n v="0.09"/>
    <x v="3"/>
    <x v="3"/>
  </r>
  <r>
    <x v="69"/>
    <x v="0"/>
    <n v="4"/>
    <n v="2.38"/>
    <n v="5.5"/>
    <n v="0.43"/>
    <x v="3"/>
    <x v="3"/>
  </r>
  <r>
    <x v="26"/>
    <x v="0"/>
    <n v="4"/>
    <n v="8.1999999999999993"/>
    <n v="30"/>
    <n v="0.27"/>
    <x v="3"/>
    <x v="3"/>
  </r>
  <r>
    <x v="63"/>
    <x v="0"/>
    <n v="4"/>
    <n v="1139.1600000000001"/>
    <n v="159"/>
    <n v="7.16"/>
    <x v="3"/>
    <x v="3"/>
  </r>
  <r>
    <x v="29"/>
    <x v="0"/>
    <n v="4"/>
    <n v="32.020000000000003"/>
    <n v="115.5"/>
    <n v="0.27"/>
    <x v="3"/>
    <x v="3"/>
  </r>
  <r>
    <x v="30"/>
    <x v="0"/>
    <n v="4"/>
    <n v="7.76"/>
    <n v="40"/>
    <n v="0.19"/>
    <x v="3"/>
    <x v="3"/>
  </r>
  <r>
    <x v="33"/>
    <x v="0"/>
    <n v="4"/>
    <n v="0.56999999999999995"/>
    <n v="20"/>
    <n v="0.02"/>
    <x v="3"/>
    <x v="3"/>
  </r>
  <r>
    <x v="64"/>
    <x v="0"/>
    <n v="4"/>
    <n v="10.37"/>
    <n v="20"/>
    <n v="0.51"/>
    <x v="3"/>
    <x v="3"/>
  </r>
  <r>
    <x v="65"/>
    <x v="0"/>
    <n v="4"/>
    <n v="244.4"/>
    <n v="159"/>
    <n v="1.53"/>
    <x v="3"/>
    <x v="3"/>
  </r>
  <r>
    <x v="35"/>
    <x v="0"/>
    <n v="4"/>
    <n v="237.5"/>
    <n v="166.5"/>
    <n v="1.42"/>
    <x v="3"/>
    <x v="3"/>
  </r>
  <r>
    <x v="36"/>
    <x v="0"/>
    <n v="4"/>
    <n v="9.44"/>
    <n v="60"/>
    <n v="0.15"/>
    <x v="3"/>
    <x v="3"/>
  </r>
  <r>
    <x v="37"/>
    <x v="0"/>
    <n v="4"/>
    <n v="12.98"/>
    <n v="60"/>
    <n v="0.21"/>
    <x v="3"/>
    <x v="3"/>
  </r>
  <r>
    <x v="41"/>
    <x v="0"/>
    <n v="4"/>
    <n v="7.67"/>
    <n v="49"/>
    <n v="0.15"/>
    <x v="3"/>
    <x v="3"/>
  </r>
  <r>
    <x v="42"/>
    <x v="0"/>
    <n v="4"/>
    <n v="1.85"/>
    <n v="9.5"/>
    <n v="0.19"/>
    <x v="3"/>
    <x v="3"/>
  </r>
  <r>
    <x v="43"/>
    <x v="0"/>
    <n v="4"/>
    <n v="20"/>
    <n v="75.5"/>
    <n v="0.26"/>
    <x v="3"/>
    <x v="3"/>
  </r>
  <r>
    <x v="44"/>
    <x v="0"/>
    <n v="4"/>
    <n v="23.8"/>
    <n v="115.5"/>
    <n v="0.2"/>
    <x v="3"/>
    <x v="3"/>
  </r>
  <r>
    <x v="45"/>
    <x v="0"/>
    <n v="4"/>
    <n v="0.89"/>
    <n v="10"/>
    <n v="0.08"/>
    <x v="3"/>
    <x v="3"/>
  </r>
  <r>
    <x v="46"/>
    <x v="0"/>
    <n v="4"/>
    <n v="17.5"/>
    <n v="87"/>
    <n v="0.2"/>
    <x v="3"/>
    <x v="3"/>
  </r>
  <r>
    <x v="47"/>
    <x v="0"/>
    <n v="4"/>
    <n v="139.35"/>
    <n v="166.5"/>
    <n v="0.83"/>
    <x v="3"/>
    <x v="3"/>
  </r>
  <r>
    <x v="48"/>
    <x v="0"/>
    <n v="4"/>
    <n v="7.78"/>
    <n v="40"/>
    <n v="0.19"/>
    <x v="3"/>
    <x v="3"/>
  </r>
  <r>
    <x v="49"/>
    <x v="0"/>
    <n v="4"/>
    <n v="1.39"/>
    <n v="20"/>
    <n v="0.06"/>
    <x v="3"/>
    <x v="3"/>
  </r>
  <r>
    <x v="50"/>
    <x v="0"/>
    <n v="4"/>
    <n v="8.2899999999999991"/>
    <n v="40"/>
    <n v="0.2"/>
    <x v="3"/>
    <x v="3"/>
  </r>
  <r>
    <x v="51"/>
    <x v="0"/>
    <n v="4"/>
    <n v="3.1"/>
    <n v="10"/>
    <n v="0.31"/>
    <x v="3"/>
    <x v="3"/>
  </r>
  <r>
    <x v="52"/>
    <x v="0"/>
    <n v="4"/>
    <n v="1.1200000000000001"/>
    <n v="10"/>
    <n v="0.11"/>
    <x v="3"/>
    <x v="3"/>
  </r>
  <r>
    <x v="66"/>
    <x v="0"/>
    <n v="4"/>
    <n v="0"/>
    <n v="10"/>
    <n v="0"/>
    <x v="3"/>
    <x v="3"/>
  </r>
  <r>
    <x v="53"/>
    <x v="0"/>
    <n v="4"/>
    <n v="0.05"/>
    <n v="10"/>
    <n v="0"/>
    <x v="3"/>
    <x v="3"/>
  </r>
  <r>
    <x v="56"/>
    <x v="0"/>
    <n v="4"/>
    <n v="5.89"/>
    <n v="25.5"/>
    <n v="0.23"/>
    <x v="3"/>
    <x v="3"/>
  </r>
  <r>
    <x v="3"/>
    <x v="0"/>
    <n v="5"/>
    <n v="16.86"/>
    <n v="20"/>
    <n v="0.84"/>
    <x v="4"/>
    <x v="4"/>
  </r>
  <r>
    <x v="8"/>
    <x v="0"/>
    <n v="5"/>
    <n v="87.23"/>
    <n v="98"/>
    <n v="0.89"/>
    <x v="4"/>
    <x v="4"/>
  </r>
  <r>
    <x v="9"/>
    <x v="0"/>
    <n v="5"/>
    <n v="19.149999999999999"/>
    <n v="30"/>
    <n v="0.63"/>
    <x v="4"/>
    <x v="4"/>
  </r>
  <r>
    <x v="10"/>
    <x v="0"/>
    <n v="5"/>
    <n v="11.14"/>
    <n v="105.5"/>
    <n v="0.1"/>
    <x v="4"/>
    <x v="4"/>
  </r>
  <r>
    <x v="11"/>
    <x v="0"/>
    <n v="5"/>
    <n v="3.76"/>
    <n v="15.5"/>
    <n v="0.24"/>
    <x v="4"/>
    <x v="4"/>
  </r>
  <r>
    <x v="12"/>
    <x v="0"/>
    <n v="5"/>
    <n v="11.3"/>
    <n v="85.5"/>
    <n v="0.13"/>
    <x v="4"/>
    <x v="4"/>
  </r>
  <r>
    <x v="61"/>
    <x v="0"/>
    <n v="5"/>
    <n v="224.51"/>
    <n v="179.5"/>
    <n v="1.25"/>
    <x v="4"/>
    <x v="4"/>
  </r>
  <r>
    <x v="15"/>
    <x v="0"/>
    <n v="5"/>
    <n v="48.72"/>
    <n v="95.5"/>
    <n v="0.51"/>
    <x v="4"/>
    <x v="4"/>
  </r>
  <r>
    <x v="16"/>
    <x v="0"/>
    <n v="5"/>
    <n v="23.82"/>
    <n v="20"/>
    <n v="1.19"/>
    <x v="4"/>
    <x v="4"/>
  </r>
  <r>
    <x v="17"/>
    <x v="0"/>
    <n v="5"/>
    <n v="6.48"/>
    <n v="5.5"/>
    <n v="1.17"/>
    <x v="4"/>
    <x v="4"/>
  </r>
  <r>
    <x v="62"/>
    <x v="0"/>
    <n v="5"/>
    <n v="139.78"/>
    <n v="170"/>
    <n v="0.82"/>
    <x v="4"/>
    <x v="4"/>
  </r>
  <r>
    <x v="20"/>
    <x v="0"/>
    <n v="5"/>
    <n v="115.24"/>
    <n v="156.5"/>
    <n v="0.73"/>
    <x v="4"/>
    <x v="4"/>
  </r>
  <r>
    <x v="22"/>
    <x v="0"/>
    <n v="5"/>
    <n v="1.86"/>
    <n v="10"/>
    <n v="0.18"/>
    <x v="4"/>
    <x v="4"/>
  </r>
  <r>
    <x v="23"/>
    <x v="0"/>
    <n v="5"/>
    <n v="0.23"/>
    <n v="10"/>
    <n v="0.02"/>
    <x v="4"/>
    <x v="4"/>
  </r>
  <r>
    <x v="69"/>
    <x v="0"/>
    <n v="5"/>
    <n v="7.84"/>
    <n v="19"/>
    <n v="0.41"/>
    <x v="4"/>
    <x v="4"/>
  </r>
  <r>
    <x v="63"/>
    <x v="0"/>
    <n v="5"/>
    <n v="1517.65"/>
    <n v="179.5"/>
    <n v="8.4499999999999993"/>
    <x v="4"/>
    <x v="4"/>
  </r>
  <r>
    <x v="29"/>
    <x v="0"/>
    <n v="5"/>
    <n v="20.99"/>
    <n v="71"/>
    <n v="0.28999999999999998"/>
    <x v="4"/>
    <x v="4"/>
  </r>
  <r>
    <x v="65"/>
    <x v="0"/>
    <n v="5"/>
    <n v="498.79"/>
    <n v="179.5"/>
    <n v="2.77"/>
    <x v="4"/>
    <x v="4"/>
  </r>
  <r>
    <x v="35"/>
    <x v="0"/>
    <n v="5"/>
    <n v="232.28"/>
    <n v="187.5"/>
    <n v="1.23"/>
    <x v="4"/>
    <x v="4"/>
  </r>
  <r>
    <x v="36"/>
    <x v="0"/>
    <n v="5"/>
    <n v="10.47"/>
    <n v="25.5"/>
    <n v="0.41"/>
    <x v="4"/>
    <x v="4"/>
  </r>
  <r>
    <x v="37"/>
    <x v="0"/>
    <n v="5"/>
    <n v="7.65"/>
    <n v="21"/>
    <n v="0.36"/>
    <x v="4"/>
    <x v="4"/>
  </r>
  <r>
    <x v="41"/>
    <x v="0"/>
    <n v="5"/>
    <n v="7.38"/>
    <n v="39.5"/>
    <n v="0.18"/>
    <x v="4"/>
    <x v="4"/>
  </r>
  <r>
    <x v="43"/>
    <x v="0"/>
    <n v="5"/>
    <n v="22.13"/>
    <n v="106.5"/>
    <n v="0.2"/>
    <x v="4"/>
    <x v="4"/>
  </r>
  <r>
    <x v="44"/>
    <x v="0"/>
    <n v="5"/>
    <n v="21.72"/>
    <n v="85.5"/>
    <n v="0.25"/>
    <x v="4"/>
    <x v="4"/>
  </r>
  <r>
    <x v="45"/>
    <x v="0"/>
    <n v="5"/>
    <n v="3.41"/>
    <n v="15.5"/>
    <n v="0.22"/>
    <x v="4"/>
    <x v="4"/>
  </r>
  <r>
    <x v="46"/>
    <x v="0"/>
    <n v="5"/>
    <n v="10.93"/>
    <n v="45"/>
    <n v="0.24"/>
    <x v="4"/>
    <x v="4"/>
  </r>
  <r>
    <x v="47"/>
    <x v="0"/>
    <n v="5"/>
    <n v="92.34"/>
    <n v="132"/>
    <n v="0.69"/>
    <x v="4"/>
    <x v="4"/>
  </r>
  <r>
    <x v="48"/>
    <x v="0"/>
    <n v="5"/>
    <n v="4.6100000000000003"/>
    <n v="15.5"/>
    <n v="0.28999999999999998"/>
    <x v="4"/>
    <x v="4"/>
  </r>
  <r>
    <x v="49"/>
    <x v="0"/>
    <n v="5"/>
    <n v="0.95"/>
    <n v="15.5"/>
    <n v="0.06"/>
    <x v="4"/>
    <x v="4"/>
  </r>
  <r>
    <x v="50"/>
    <x v="0"/>
    <n v="5"/>
    <n v="4.01"/>
    <n v="35.5"/>
    <n v="0.11"/>
    <x v="4"/>
    <x v="4"/>
  </r>
  <r>
    <x v="51"/>
    <x v="0"/>
    <n v="5"/>
    <n v="6.14"/>
    <n v="30"/>
    <n v="0.2"/>
    <x v="4"/>
    <x v="4"/>
  </r>
  <r>
    <x v="52"/>
    <x v="0"/>
    <n v="5"/>
    <n v="0.26"/>
    <n v="5.5"/>
    <n v="0.04"/>
    <x v="4"/>
    <x v="4"/>
  </r>
  <r>
    <x v="66"/>
    <x v="0"/>
    <n v="5"/>
    <n v="1.78"/>
    <n v="10"/>
    <n v="0.17"/>
    <x v="4"/>
    <x v="4"/>
  </r>
  <r>
    <x v="70"/>
    <x v="0"/>
    <n v="5"/>
    <n v="2.13"/>
    <n v="20"/>
    <n v="0.1"/>
    <x v="4"/>
    <x v="4"/>
  </r>
  <r>
    <x v="55"/>
    <x v="0"/>
    <n v="5"/>
    <n v="4.3600000000000003"/>
    <n v="20"/>
    <n v="0.21"/>
    <x v="4"/>
    <x v="4"/>
  </r>
  <r>
    <x v="56"/>
    <x v="0"/>
    <n v="5"/>
    <n v="8.18"/>
    <n v="35.5"/>
    <n v="0.23"/>
    <x v="4"/>
    <x v="4"/>
  </r>
  <r>
    <x v="0"/>
    <x v="0"/>
    <n v="6"/>
    <n v="5.57"/>
    <n v="25.5"/>
    <n v="0.21"/>
    <x v="5"/>
    <x v="5"/>
  </r>
  <r>
    <x v="1"/>
    <x v="0"/>
    <n v="6"/>
    <n v="0.96"/>
    <n v="5.5"/>
    <n v="0.17"/>
    <x v="5"/>
    <x v="5"/>
  </r>
  <r>
    <x v="3"/>
    <x v="0"/>
    <n v="6"/>
    <n v="0.91"/>
    <n v="15.5"/>
    <n v="0.05"/>
    <x v="5"/>
    <x v="5"/>
  </r>
  <r>
    <x v="5"/>
    <x v="0"/>
    <n v="6"/>
    <n v="12.29"/>
    <n v="25.5"/>
    <n v="0.48"/>
    <x v="5"/>
    <x v="5"/>
  </r>
  <r>
    <x v="8"/>
    <x v="0"/>
    <n v="6"/>
    <n v="36.29"/>
    <n v="62.5"/>
    <n v="0.57999999999999996"/>
    <x v="5"/>
    <x v="5"/>
  </r>
  <r>
    <x v="9"/>
    <x v="0"/>
    <n v="6"/>
    <n v="0.63"/>
    <n v="5.5"/>
    <n v="0.11"/>
    <x v="5"/>
    <x v="5"/>
  </r>
  <r>
    <x v="10"/>
    <x v="0"/>
    <n v="6"/>
    <n v="16.260000000000002"/>
    <n v="40"/>
    <n v="0.4"/>
    <x v="5"/>
    <x v="5"/>
  </r>
  <r>
    <x v="12"/>
    <x v="0"/>
    <n v="6"/>
    <n v="16.8"/>
    <n v="35.5"/>
    <n v="0.47"/>
    <x v="5"/>
    <x v="5"/>
  </r>
  <r>
    <x v="61"/>
    <x v="0"/>
    <n v="6"/>
    <n v="269.63"/>
    <n v="174"/>
    <n v="1.54"/>
    <x v="5"/>
    <x v="5"/>
  </r>
  <r>
    <x v="15"/>
    <x v="0"/>
    <n v="6"/>
    <n v="87.97"/>
    <n v="111"/>
    <n v="0.79"/>
    <x v="5"/>
    <x v="5"/>
  </r>
  <r>
    <x v="16"/>
    <x v="0"/>
    <n v="6"/>
    <n v="27.84"/>
    <n v="30"/>
    <n v="0.92"/>
    <x v="5"/>
    <x v="5"/>
  </r>
  <r>
    <x v="17"/>
    <x v="0"/>
    <n v="6"/>
    <n v="11.15"/>
    <n v="20"/>
    <n v="0.55000000000000004"/>
    <x v="5"/>
    <x v="5"/>
  </r>
  <r>
    <x v="18"/>
    <x v="0"/>
    <n v="6"/>
    <n v="0.36"/>
    <n v="10"/>
    <n v="0.03"/>
    <x v="5"/>
    <x v="5"/>
  </r>
  <r>
    <x v="19"/>
    <x v="0"/>
    <n v="6"/>
    <n v="6.38"/>
    <n v="5.5"/>
    <n v="1.1599999999999999"/>
    <x v="5"/>
    <x v="5"/>
  </r>
  <r>
    <x v="62"/>
    <x v="0"/>
    <n v="6"/>
    <n v="117.41"/>
    <n v="155"/>
    <n v="0.75"/>
    <x v="5"/>
    <x v="5"/>
  </r>
  <r>
    <x v="20"/>
    <x v="0"/>
    <n v="6"/>
    <n v="53.05"/>
    <n v="101"/>
    <n v="0.52"/>
    <x v="5"/>
    <x v="5"/>
  </r>
  <r>
    <x v="22"/>
    <x v="0"/>
    <n v="6"/>
    <n v="3.09"/>
    <n v="10"/>
    <n v="0.3"/>
    <x v="5"/>
    <x v="5"/>
  </r>
  <r>
    <x v="23"/>
    <x v="0"/>
    <n v="6"/>
    <n v="42.38"/>
    <n v="105.5"/>
    <n v="0.4"/>
    <x v="5"/>
    <x v="5"/>
  </r>
  <r>
    <x v="26"/>
    <x v="0"/>
    <n v="6"/>
    <n v="5.5"/>
    <n v="15.5"/>
    <n v="0.35"/>
    <x v="5"/>
    <x v="5"/>
  </r>
  <r>
    <x v="63"/>
    <x v="0"/>
    <n v="6"/>
    <n v="1564.83"/>
    <n v="183.5"/>
    <n v="8.52"/>
    <x v="5"/>
    <x v="5"/>
  </r>
  <r>
    <x v="29"/>
    <x v="0"/>
    <n v="6"/>
    <n v="9.36"/>
    <n v="35.5"/>
    <n v="0.26"/>
    <x v="5"/>
    <x v="5"/>
  </r>
  <r>
    <x v="31"/>
    <x v="0"/>
    <n v="6"/>
    <n v="2.08"/>
    <n v="5.5"/>
    <n v="0.37"/>
    <x v="5"/>
    <x v="5"/>
  </r>
  <r>
    <x v="32"/>
    <x v="0"/>
    <n v="6"/>
    <n v="3.95"/>
    <n v="5.5"/>
    <n v="0.71"/>
    <x v="5"/>
    <x v="5"/>
  </r>
  <r>
    <x v="65"/>
    <x v="0"/>
    <n v="6"/>
    <n v="482.85"/>
    <n v="183.5"/>
    <n v="2.63"/>
    <x v="5"/>
    <x v="5"/>
  </r>
  <r>
    <x v="35"/>
    <x v="0"/>
    <n v="6"/>
    <n v="227.16"/>
    <n v="192"/>
    <n v="1.18"/>
    <x v="5"/>
    <x v="5"/>
  </r>
  <r>
    <x v="36"/>
    <x v="0"/>
    <n v="6"/>
    <n v="6.49"/>
    <n v="21"/>
    <n v="0.3"/>
    <x v="5"/>
    <x v="5"/>
  </r>
  <r>
    <x v="37"/>
    <x v="0"/>
    <n v="6"/>
    <n v="1.8"/>
    <n v="5.5"/>
    <n v="0.32"/>
    <x v="5"/>
    <x v="5"/>
  </r>
  <r>
    <x v="39"/>
    <x v="0"/>
    <n v="6"/>
    <n v="3.32"/>
    <n v="5.5"/>
    <n v="0.6"/>
    <x v="5"/>
    <x v="5"/>
  </r>
  <r>
    <x v="41"/>
    <x v="0"/>
    <n v="6"/>
    <n v="9.69"/>
    <n v="30"/>
    <n v="0.32"/>
    <x v="5"/>
    <x v="5"/>
  </r>
  <r>
    <x v="43"/>
    <x v="0"/>
    <n v="6"/>
    <n v="150.74"/>
    <n v="41"/>
    <n v="3.67"/>
    <x v="5"/>
    <x v="5"/>
  </r>
  <r>
    <x v="44"/>
    <x v="0"/>
    <n v="6"/>
    <n v="49.26"/>
    <n v="96.5"/>
    <n v="0.51"/>
    <x v="5"/>
    <x v="5"/>
  </r>
  <r>
    <x v="45"/>
    <x v="0"/>
    <n v="6"/>
    <n v="0.91"/>
    <n v="10"/>
    <n v="0.09"/>
    <x v="5"/>
    <x v="5"/>
  </r>
  <r>
    <x v="46"/>
    <x v="0"/>
    <n v="6"/>
    <n v="3.73"/>
    <n v="15"/>
    <n v="0.24"/>
    <x v="5"/>
    <x v="5"/>
  </r>
  <r>
    <x v="47"/>
    <x v="0"/>
    <n v="6"/>
    <n v="7.11"/>
    <n v="10"/>
    <n v="0.71"/>
    <x v="5"/>
    <x v="5"/>
  </r>
  <r>
    <x v="48"/>
    <x v="0"/>
    <n v="6"/>
    <n v="0.24"/>
    <n v="10"/>
    <n v="0.02"/>
    <x v="5"/>
    <x v="5"/>
  </r>
  <r>
    <x v="50"/>
    <x v="0"/>
    <n v="6"/>
    <n v="3.15"/>
    <n v="10"/>
    <n v="0.31"/>
    <x v="5"/>
    <x v="5"/>
  </r>
  <r>
    <x v="51"/>
    <x v="0"/>
    <n v="6"/>
    <n v="2.97"/>
    <n v="10"/>
    <n v="0.28999999999999998"/>
    <x v="5"/>
    <x v="5"/>
  </r>
  <r>
    <x v="55"/>
    <x v="0"/>
    <n v="6"/>
    <n v="3.12"/>
    <n v="15.5"/>
    <n v="0.2"/>
    <x v="5"/>
    <x v="5"/>
  </r>
  <r>
    <x v="0"/>
    <x v="0"/>
    <n v="7"/>
    <n v="11.71"/>
    <n v="35.5"/>
    <n v="0.32"/>
    <x v="6"/>
    <x v="6"/>
  </r>
  <r>
    <x v="57"/>
    <x v="0"/>
    <n v="7"/>
    <n v="0.81"/>
    <n v="10"/>
    <n v="0.08"/>
    <x v="6"/>
    <x v="6"/>
  </r>
  <r>
    <x v="8"/>
    <x v="0"/>
    <n v="7"/>
    <n v="11.33"/>
    <n v="20.5"/>
    <n v="0.55000000000000004"/>
    <x v="6"/>
    <x v="6"/>
  </r>
  <r>
    <x v="10"/>
    <x v="0"/>
    <n v="7"/>
    <n v="0.49"/>
    <n v="10"/>
    <n v="0.04"/>
    <x v="6"/>
    <x v="6"/>
  </r>
  <r>
    <x v="12"/>
    <x v="0"/>
    <n v="7"/>
    <n v="5.64"/>
    <n v="30"/>
    <n v="0.18"/>
    <x v="6"/>
    <x v="6"/>
  </r>
  <r>
    <x v="13"/>
    <x v="0"/>
    <n v="7"/>
    <n v="2.62"/>
    <n v="15.5"/>
    <n v="0.16"/>
    <x v="6"/>
    <x v="6"/>
  </r>
  <r>
    <x v="61"/>
    <x v="0"/>
    <n v="7"/>
    <n v="316.13"/>
    <n v="198.5"/>
    <n v="1.59"/>
    <x v="6"/>
    <x v="6"/>
  </r>
  <r>
    <x v="15"/>
    <x v="0"/>
    <n v="7"/>
    <n v="47.63"/>
    <n v="111"/>
    <n v="0.42"/>
    <x v="6"/>
    <x v="6"/>
  </r>
  <r>
    <x v="17"/>
    <x v="0"/>
    <n v="7"/>
    <n v="20.22"/>
    <n v="30"/>
    <n v="0.67"/>
    <x v="6"/>
    <x v="6"/>
  </r>
  <r>
    <x v="62"/>
    <x v="0"/>
    <n v="7"/>
    <n v="141.38999999999999"/>
    <n v="193"/>
    <n v="0.73"/>
    <x v="6"/>
    <x v="6"/>
  </r>
  <r>
    <x v="20"/>
    <x v="0"/>
    <n v="7"/>
    <n v="57.91"/>
    <n v="171"/>
    <n v="0.33"/>
    <x v="6"/>
    <x v="6"/>
  </r>
  <r>
    <x v="23"/>
    <x v="0"/>
    <n v="7"/>
    <n v="6.95"/>
    <n v="50"/>
    <n v="0.13"/>
    <x v="6"/>
    <x v="6"/>
  </r>
  <r>
    <x v="25"/>
    <x v="0"/>
    <n v="7"/>
    <n v="0.56999999999999995"/>
    <n v="5.5"/>
    <n v="0.1"/>
    <x v="6"/>
    <x v="6"/>
  </r>
  <r>
    <x v="26"/>
    <x v="0"/>
    <n v="7"/>
    <n v="0.49"/>
    <n v="10"/>
    <n v="0.04"/>
    <x v="6"/>
    <x v="6"/>
  </r>
  <r>
    <x v="63"/>
    <x v="0"/>
    <n v="7"/>
    <n v="1811.51"/>
    <n v="198.5"/>
    <n v="9.1199999999999992"/>
    <x v="6"/>
    <x v="6"/>
  </r>
  <r>
    <x v="29"/>
    <x v="0"/>
    <n v="7"/>
    <n v="3.39"/>
    <n v="20"/>
    <n v="0.16"/>
    <x v="6"/>
    <x v="6"/>
  </r>
  <r>
    <x v="31"/>
    <x v="0"/>
    <n v="7"/>
    <n v="15.72"/>
    <n v="5.5"/>
    <n v="2.85"/>
    <x v="6"/>
    <x v="6"/>
  </r>
  <r>
    <x v="32"/>
    <x v="0"/>
    <n v="7"/>
    <n v="7.32"/>
    <n v="5.5"/>
    <n v="1.33"/>
    <x v="6"/>
    <x v="6"/>
  </r>
  <r>
    <x v="64"/>
    <x v="0"/>
    <n v="7"/>
    <n v="0.15"/>
    <n v="10"/>
    <n v="0.01"/>
    <x v="6"/>
    <x v="6"/>
  </r>
  <r>
    <x v="65"/>
    <x v="0"/>
    <n v="7"/>
    <n v="333.91"/>
    <n v="182"/>
    <n v="1.83"/>
    <x v="6"/>
    <x v="6"/>
  </r>
  <r>
    <x v="35"/>
    <x v="0"/>
    <n v="7"/>
    <n v="379.79"/>
    <n v="207.5"/>
    <n v="1.83"/>
    <x v="6"/>
    <x v="6"/>
  </r>
  <r>
    <x v="36"/>
    <x v="0"/>
    <n v="7"/>
    <n v="4.99"/>
    <n v="35.5"/>
    <n v="0.14000000000000001"/>
    <x v="6"/>
    <x v="6"/>
  </r>
  <r>
    <x v="37"/>
    <x v="0"/>
    <n v="7"/>
    <n v="2.66"/>
    <n v="41"/>
    <n v="0.06"/>
    <x v="6"/>
    <x v="6"/>
  </r>
  <r>
    <x v="41"/>
    <x v="0"/>
    <n v="7"/>
    <n v="1.43"/>
    <n v="9.5"/>
    <n v="0.15"/>
    <x v="6"/>
    <x v="6"/>
  </r>
  <r>
    <x v="43"/>
    <x v="0"/>
    <n v="7"/>
    <n v="0.86"/>
    <n v="5.5"/>
    <n v="0.15"/>
    <x v="6"/>
    <x v="6"/>
  </r>
  <r>
    <x v="44"/>
    <x v="0"/>
    <n v="7"/>
    <n v="10.01"/>
    <n v="75.5"/>
    <n v="0.13"/>
    <x v="6"/>
    <x v="6"/>
  </r>
  <r>
    <x v="46"/>
    <x v="0"/>
    <n v="7"/>
    <n v="0.2"/>
    <n v="15"/>
    <n v="0.01"/>
    <x v="6"/>
    <x v="6"/>
  </r>
  <r>
    <x v="47"/>
    <x v="0"/>
    <n v="7"/>
    <n v="16.940000000000001"/>
    <n v="25.5"/>
    <n v="0.66"/>
    <x v="6"/>
    <x v="6"/>
  </r>
  <r>
    <x v="0"/>
    <x v="0"/>
    <n v="8"/>
    <n v="142.53"/>
    <n v="156.5"/>
    <n v="0.91"/>
    <x v="7"/>
    <x v="7"/>
  </r>
  <r>
    <x v="1"/>
    <x v="0"/>
    <n v="8"/>
    <n v="67.75"/>
    <n v="116.5"/>
    <n v="0.57999999999999996"/>
    <x v="7"/>
    <x v="7"/>
  </r>
  <r>
    <x v="57"/>
    <x v="0"/>
    <n v="8"/>
    <n v="5.3"/>
    <n v="40"/>
    <n v="0.13"/>
    <x v="7"/>
    <x v="7"/>
  </r>
  <r>
    <x v="3"/>
    <x v="0"/>
    <n v="8"/>
    <n v="64.180000000000007"/>
    <n v="162"/>
    <n v="0.39"/>
    <x v="7"/>
    <x v="7"/>
  </r>
  <r>
    <x v="5"/>
    <x v="0"/>
    <n v="8"/>
    <n v="47.33"/>
    <n v="132"/>
    <n v="0.35"/>
    <x v="7"/>
    <x v="7"/>
  </r>
  <r>
    <x v="7"/>
    <x v="0"/>
    <n v="8"/>
    <n v="8.51"/>
    <n v="31"/>
    <n v="0.27"/>
    <x v="7"/>
    <x v="7"/>
  </r>
  <r>
    <x v="8"/>
    <x v="0"/>
    <n v="8"/>
    <n v="133.99"/>
    <n v="147"/>
    <n v="0.91"/>
    <x v="7"/>
    <x v="7"/>
  </r>
  <r>
    <x v="9"/>
    <x v="0"/>
    <n v="8"/>
    <n v="40.479999999999997"/>
    <n v="107.5"/>
    <n v="0.37"/>
    <x v="7"/>
    <x v="7"/>
  </r>
  <r>
    <x v="10"/>
    <x v="0"/>
    <n v="8"/>
    <n v="34.31"/>
    <n v="151"/>
    <n v="0.22"/>
    <x v="7"/>
    <x v="7"/>
  </r>
  <r>
    <x v="11"/>
    <x v="0"/>
    <n v="8"/>
    <n v="43.44"/>
    <n v="126.5"/>
    <n v="0.34"/>
    <x v="7"/>
    <x v="7"/>
  </r>
  <r>
    <x v="12"/>
    <x v="0"/>
    <n v="8"/>
    <n v="119.78"/>
    <n v="156.5"/>
    <n v="0.76"/>
    <x v="7"/>
    <x v="7"/>
  </r>
  <r>
    <x v="13"/>
    <x v="0"/>
    <n v="8"/>
    <n v="10.01"/>
    <n v="65.5"/>
    <n v="0.15"/>
    <x v="7"/>
    <x v="7"/>
  </r>
  <r>
    <x v="14"/>
    <x v="0"/>
    <n v="8"/>
    <n v="5.5"/>
    <n v="65.5"/>
    <n v="0.08"/>
    <x v="7"/>
    <x v="7"/>
  </r>
  <r>
    <x v="67"/>
    <x v="0"/>
    <n v="8"/>
    <n v="1.25"/>
    <n v="15.5"/>
    <n v="0.08"/>
    <x v="7"/>
    <x v="7"/>
  </r>
  <r>
    <x v="15"/>
    <x v="0"/>
    <n v="8"/>
    <n v="90.56"/>
    <n v="162"/>
    <n v="0.55000000000000004"/>
    <x v="7"/>
    <x v="7"/>
  </r>
  <r>
    <x v="16"/>
    <x v="0"/>
    <n v="8"/>
    <n v="54.21"/>
    <n v="141"/>
    <n v="0.38"/>
    <x v="7"/>
    <x v="7"/>
  </r>
  <r>
    <x v="17"/>
    <x v="0"/>
    <n v="8"/>
    <n v="16.63"/>
    <n v="40"/>
    <n v="0.41"/>
    <x v="7"/>
    <x v="7"/>
  </r>
  <r>
    <x v="18"/>
    <x v="0"/>
    <n v="8"/>
    <n v="47.08"/>
    <n v="126.5"/>
    <n v="0.37"/>
    <x v="7"/>
    <x v="7"/>
  </r>
  <r>
    <x v="19"/>
    <x v="0"/>
    <n v="8"/>
    <n v="8.99"/>
    <n v="45.5"/>
    <n v="0.19"/>
    <x v="7"/>
    <x v="7"/>
  </r>
  <r>
    <x v="20"/>
    <x v="0"/>
    <n v="8"/>
    <n v="225.96"/>
    <n v="172"/>
    <n v="1.31"/>
    <x v="7"/>
    <x v="7"/>
  </r>
  <r>
    <x v="21"/>
    <x v="0"/>
    <n v="8"/>
    <n v="9.1199999999999992"/>
    <n v="35.5"/>
    <n v="0.25"/>
    <x v="7"/>
    <x v="7"/>
  </r>
  <r>
    <x v="22"/>
    <x v="0"/>
    <n v="8"/>
    <n v="3.41"/>
    <n v="25.5"/>
    <n v="0.13"/>
    <x v="7"/>
    <x v="7"/>
  </r>
  <r>
    <x v="23"/>
    <x v="0"/>
    <n v="8"/>
    <n v="134.25"/>
    <n v="166.5"/>
    <n v="0.8"/>
    <x v="7"/>
    <x v="7"/>
  </r>
  <r>
    <x v="25"/>
    <x v="0"/>
    <n v="8"/>
    <n v="2.52"/>
    <n v="30"/>
    <n v="0.08"/>
    <x v="7"/>
    <x v="7"/>
  </r>
  <r>
    <x v="26"/>
    <x v="0"/>
    <n v="8"/>
    <n v="33.049999999999997"/>
    <n v="126.5"/>
    <n v="0.26"/>
    <x v="7"/>
    <x v="7"/>
  </r>
  <r>
    <x v="29"/>
    <x v="0"/>
    <n v="8"/>
    <n v="307.85000000000002"/>
    <n v="172"/>
    <n v="1.78"/>
    <x v="7"/>
    <x v="7"/>
  </r>
  <r>
    <x v="30"/>
    <x v="0"/>
    <n v="8"/>
    <n v="194.27"/>
    <n v="166.5"/>
    <n v="1.1599999999999999"/>
    <x v="7"/>
    <x v="7"/>
  </r>
  <r>
    <x v="31"/>
    <x v="0"/>
    <n v="8"/>
    <n v="100.36"/>
    <n v="116.5"/>
    <n v="0.86"/>
    <x v="7"/>
    <x v="7"/>
  </r>
  <r>
    <x v="32"/>
    <x v="0"/>
    <n v="8"/>
    <n v="18"/>
    <n v="55.5"/>
    <n v="0.32"/>
    <x v="7"/>
    <x v="7"/>
  </r>
  <r>
    <x v="33"/>
    <x v="0"/>
    <n v="8"/>
    <n v="2.46"/>
    <n v="11"/>
    <n v="0.22"/>
    <x v="7"/>
    <x v="7"/>
  </r>
  <r>
    <x v="35"/>
    <x v="0"/>
    <n v="8"/>
    <n v="166.64"/>
    <n v="172"/>
    <n v="0.96"/>
    <x v="7"/>
    <x v="7"/>
  </r>
  <r>
    <x v="36"/>
    <x v="0"/>
    <n v="8"/>
    <n v="38.79"/>
    <n v="62"/>
    <n v="0.62"/>
    <x v="7"/>
    <x v="7"/>
  </r>
  <r>
    <x v="37"/>
    <x v="0"/>
    <n v="8"/>
    <n v="9.75"/>
    <n v="81"/>
    <n v="0.12"/>
    <x v="7"/>
    <x v="7"/>
  </r>
  <r>
    <x v="39"/>
    <x v="0"/>
    <n v="8"/>
    <n v="2.5099999999999998"/>
    <n v="30"/>
    <n v="0.08"/>
    <x v="7"/>
    <x v="7"/>
  </r>
  <r>
    <x v="41"/>
    <x v="0"/>
    <n v="8"/>
    <n v="6.72"/>
    <n v="60"/>
    <n v="0.11"/>
    <x v="7"/>
    <x v="7"/>
  </r>
  <r>
    <x v="42"/>
    <x v="0"/>
    <n v="8"/>
    <n v="2.81"/>
    <n v="54.5"/>
    <n v="0.05"/>
    <x v="7"/>
    <x v="7"/>
  </r>
  <r>
    <x v="43"/>
    <x v="0"/>
    <n v="8"/>
    <n v="77.38"/>
    <n v="132"/>
    <n v="0.57999999999999996"/>
    <x v="7"/>
    <x v="7"/>
  </r>
  <r>
    <x v="44"/>
    <x v="0"/>
    <n v="8"/>
    <n v="201.23"/>
    <n v="172"/>
    <n v="1.1599999999999999"/>
    <x v="7"/>
    <x v="7"/>
  </r>
  <r>
    <x v="45"/>
    <x v="0"/>
    <n v="8"/>
    <n v="12.25"/>
    <n v="91"/>
    <n v="0.13"/>
    <x v="7"/>
    <x v="7"/>
  </r>
  <r>
    <x v="46"/>
    <x v="0"/>
    <n v="8"/>
    <n v="9.64"/>
    <n v="35.5"/>
    <n v="0.27"/>
    <x v="7"/>
    <x v="7"/>
  </r>
  <r>
    <x v="47"/>
    <x v="0"/>
    <n v="8"/>
    <n v="200.53"/>
    <n v="172"/>
    <n v="1.1599999999999999"/>
    <x v="7"/>
    <x v="7"/>
  </r>
  <r>
    <x v="48"/>
    <x v="0"/>
    <n v="8"/>
    <n v="20.59"/>
    <n v="81"/>
    <n v="0.25"/>
    <x v="7"/>
    <x v="7"/>
  </r>
  <r>
    <x v="49"/>
    <x v="0"/>
    <n v="8"/>
    <n v="14.31"/>
    <n v="51"/>
    <n v="0.28000000000000003"/>
    <x v="7"/>
    <x v="7"/>
  </r>
  <r>
    <x v="50"/>
    <x v="0"/>
    <n v="8"/>
    <n v="28.72"/>
    <n v="65.5"/>
    <n v="0.43"/>
    <x v="7"/>
    <x v="7"/>
  </r>
  <r>
    <x v="51"/>
    <x v="0"/>
    <n v="8"/>
    <n v="30.06"/>
    <n v="61"/>
    <n v="0.49"/>
    <x v="7"/>
    <x v="7"/>
  </r>
  <r>
    <x v="52"/>
    <x v="0"/>
    <n v="8"/>
    <n v="15.54"/>
    <n v="40"/>
    <n v="0.38"/>
    <x v="7"/>
    <x v="7"/>
  </r>
  <r>
    <x v="55"/>
    <x v="0"/>
    <n v="8"/>
    <n v="24.45"/>
    <n v="116.5"/>
    <n v="0.2"/>
    <x v="7"/>
    <x v="7"/>
  </r>
  <r>
    <x v="56"/>
    <x v="0"/>
    <n v="8"/>
    <n v="20.21"/>
    <n v="95.5"/>
    <n v="0.21"/>
    <x v="7"/>
    <x v="7"/>
  </r>
  <r>
    <x v="0"/>
    <x v="0"/>
    <n v="9"/>
    <n v="132.96"/>
    <n v="202"/>
    <n v="0.65"/>
    <x v="8"/>
    <x v="8"/>
  </r>
  <r>
    <x v="1"/>
    <x v="0"/>
    <n v="9"/>
    <n v="26.2"/>
    <n v="131"/>
    <n v="0.2"/>
    <x v="8"/>
    <x v="8"/>
  </r>
  <r>
    <x v="57"/>
    <x v="0"/>
    <n v="9"/>
    <n v="2.1"/>
    <n v="25.5"/>
    <n v="0.08"/>
    <x v="8"/>
    <x v="8"/>
  </r>
  <r>
    <x v="2"/>
    <x v="0"/>
    <n v="9"/>
    <n v="0.02"/>
    <n v="5.5"/>
    <n v="0"/>
    <x v="8"/>
    <x v="8"/>
  </r>
  <r>
    <x v="3"/>
    <x v="0"/>
    <n v="9"/>
    <n v="63.49"/>
    <n v="181"/>
    <n v="0.35"/>
    <x v="8"/>
    <x v="8"/>
  </r>
  <r>
    <x v="4"/>
    <x v="0"/>
    <n v="9"/>
    <n v="16.22"/>
    <n v="61"/>
    <n v="0.26"/>
    <x v="8"/>
    <x v="8"/>
  </r>
  <r>
    <x v="5"/>
    <x v="0"/>
    <n v="9"/>
    <n v="47.35"/>
    <n v="171"/>
    <n v="0.27"/>
    <x v="8"/>
    <x v="8"/>
  </r>
  <r>
    <x v="6"/>
    <x v="0"/>
    <n v="9"/>
    <n v="0.46"/>
    <n v="30"/>
    <n v="0.01"/>
    <x v="8"/>
    <x v="8"/>
  </r>
  <r>
    <x v="7"/>
    <x v="0"/>
    <n v="9"/>
    <n v="36.869999999999997"/>
    <n v="111"/>
    <n v="0.33"/>
    <x v="8"/>
    <x v="8"/>
  </r>
  <r>
    <x v="8"/>
    <x v="0"/>
    <n v="9"/>
    <n v="175.38"/>
    <n v="162"/>
    <n v="1.08"/>
    <x v="8"/>
    <x v="8"/>
  </r>
  <r>
    <x v="9"/>
    <x v="0"/>
    <n v="9"/>
    <n v="23.45"/>
    <n v="109"/>
    <n v="0.21"/>
    <x v="8"/>
    <x v="8"/>
  </r>
  <r>
    <x v="10"/>
    <x v="0"/>
    <n v="9"/>
    <n v="76.489999999999995"/>
    <n v="192"/>
    <n v="0.39"/>
    <x v="8"/>
    <x v="8"/>
  </r>
  <r>
    <x v="11"/>
    <x v="0"/>
    <n v="9"/>
    <n v="38.68"/>
    <n v="151"/>
    <n v="0.25"/>
    <x v="8"/>
    <x v="8"/>
  </r>
  <r>
    <x v="12"/>
    <x v="0"/>
    <n v="9"/>
    <n v="106.21"/>
    <n v="192"/>
    <n v="0.55000000000000004"/>
    <x v="8"/>
    <x v="8"/>
  </r>
  <r>
    <x v="13"/>
    <x v="0"/>
    <n v="9"/>
    <n v="67.349999999999994"/>
    <n v="162"/>
    <n v="0.41"/>
    <x v="8"/>
    <x v="8"/>
  </r>
  <r>
    <x v="14"/>
    <x v="0"/>
    <n v="9"/>
    <n v="10.56"/>
    <n v="40"/>
    <n v="0.26"/>
    <x v="8"/>
    <x v="8"/>
  </r>
  <r>
    <x v="67"/>
    <x v="0"/>
    <n v="9"/>
    <n v="1.91"/>
    <n v="20"/>
    <n v="0.09"/>
    <x v="8"/>
    <x v="8"/>
  </r>
  <r>
    <x v="15"/>
    <x v="0"/>
    <n v="9"/>
    <n v="125.61"/>
    <n v="202"/>
    <n v="0.62"/>
    <x v="8"/>
    <x v="8"/>
  </r>
  <r>
    <x v="16"/>
    <x v="0"/>
    <n v="9"/>
    <n v="57.66"/>
    <n v="125.5"/>
    <n v="0.45"/>
    <x v="8"/>
    <x v="8"/>
  </r>
  <r>
    <x v="17"/>
    <x v="0"/>
    <n v="9"/>
    <n v="1.78"/>
    <n v="10"/>
    <n v="0.17"/>
    <x v="8"/>
    <x v="8"/>
  </r>
  <r>
    <x v="18"/>
    <x v="0"/>
    <n v="9"/>
    <n v="31.54"/>
    <n v="151"/>
    <n v="0.2"/>
    <x v="8"/>
    <x v="8"/>
  </r>
  <r>
    <x v="19"/>
    <x v="0"/>
    <n v="9"/>
    <n v="108.79"/>
    <n v="31"/>
    <n v="3.5"/>
    <x v="8"/>
    <x v="8"/>
  </r>
  <r>
    <x v="20"/>
    <x v="0"/>
    <n v="9"/>
    <n v="287.83999999999997"/>
    <n v="202"/>
    <n v="1.42"/>
    <x v="8"/>
    <x v="8"/>
  </r>
  <r>
    <x v="21"/>
    <x v="0"/>
    <n v="9"/>
    <n v="12.15"/>
    <n v="55.5"/>
    <n v="0.21"/>
    <x v="8"/>
    <x v="8"/>
  </r>
  <r>
    <x v="22"/>
    <x v="0"/>
    <n v="9"/>
    <n v="43.9"/>
    <n v="80"/>
    <n v="0.54"/>
    <x v="8"/>
    <x v="8"/>
  </r>
  <r>
    <x v="23"/>
    <x v="0"/>
    <n v="9"/>
    <n v="80.84"/>
    <n v="176.5"/>
    <n v="0.45"/>
    <x v="8"/>
    <x v="8"/>
  </r>
  <r>
    <x v="25"/>
    <x v="0"/>
    <n v="9"/>
    <n v="16.739999999999998"/>
    <n v="41"/>
    <n v="0.4"/>
    <x v="8"/>
    <x v="8"/>
  </r>
  <r>
    <x v="26"/>
    <x v="0"/>
    <n v="9"/>
    <n v="137.24"/>
    <n v="172"/>
    <n v="0.79"/>
    <x v="8"/>
    <x v="8"/>
  </r>
  <r>
    <x v="27"/>
    <x v="0"/>
    <n v="9"/>
    <n v="13.38"/>
    <n v="80"/>
    <n v="0.16"/>
    <x v="8"/>
    <x v="8"/>
  </r>
  <r>
    <x v="28"/>
    <x v="0"/>
    <n v="9"/>
    <n v="0.02"/>
    <n v="10"/>
    <n v="0"/>
    <x v="8"/>
    <x v="8"/>
  </r>
  <r>
    <x v="29"/>
    <x v="0"/>
    <n v="9"/>
    <n v="208.25"/>
    <n v="202"/>
    <n v="1.03"/>
    <x v="8"/>
    <x v="8"/>
  </r>
  <r>
    <x v="30"/>
    <x v="0"/>
    <n v="9"/>
    <n v="148.21"/>
    <n v="191"/>
    <n v="0.77"/>
    <x v="8"/>
    <x v="8"/>
  </r>
  <r>
    <x v="31"/>
    <x v="0"/>
    <n v="9"/>
    <n v="118.05"/>
    <n v="192"/>
    <n v="0.61"/>
    <x v="8"/>
    <x v="8"/>
  </r>
  <r>
    <x v="32"/>
    <x v="0"/>
    <n v="9"/>
    <n v="86.92"/>
    <n v="131"/>
    <n v="0.66"/>
    <x v="8"/>
    <x v="8"/>
  </r>
  <r>
    <x v="33"/>
    <x v="0"/>
    <n v="9"/>
    <n v="9.14"/>
    <n v="30"/>
    <n v="0.3"/>
    <x v="8"/>
    <x v="8"/>
  </r>
  <r>
    <x v="64"/>
    <x v="0"/>
    <n v="9"/>
    <n v="1.5"/>
    <n v="15.5"/>
    <n v="0.09"/>
    <x v="8"/>
    <x v="8"/>
  </r>
  <r>
    <x v="35"/>
    <x v="0"/>
    <n v="9"/>
    <n v="128.31"/>
    <n v="192"/>
    <n v="0.66"/>
    <x v="8"/>
    <x v="8"/>
  </r>
  <r>
    <x v="36"/>
    <x v="0"/>
    <n v="9"/>
    <n v="56.82"/>
    <n v="192"/>
    <n v="0.28999999999999998"/>
    <x v="8"/>
    <x v="8"/>
  </r>
  <r>
    <x v="37"/>
    <x v="0"/>
    <n v="9"/>
    <n v="52.98"/>
    <n v="156.5"/>
    <n v="0.33"/>
    <x v="8"/>
    <x v="8"/>
  </r>
  <r>
    <x v="39"/>
    <x v="0"/>
    <n v="9"/>
    <n v="5.0599999999999996"/>
    <n v="55.5"/>
    <n v="0.09"/>
    <x v="8"/>
    <x v="8"/>
  </r>
  <r>
    <x v="41"/>
    <x v="0"/>
    <n v="9"/>
    <n v="23.6"/>
    <n v="46.5"/>
    <n v="0.5"/>
    <x v="8"/>
    <x v="8"/>
  </r>
  <r>
    <x v="42"/>
    <x v="0"/>
    <n v="9"/>
    <n v="3.57"/>
    <n v="35.5"/>
    <n v="0.1"/>
    <x v="8"/>
    <x v="8"/>
  </r>
  <r>
    <x v="43"/>
    <x v="0"/>
    <n v="9"/>
    <n v="60.18"/>
    <n v="186.5"/>
    <n v="0.32"/>
    <x v="8"/>
    <x v="8"/>
  </r>
  <r>
    <x v="44"/>
    <x v="0"/>
    <n v="9"/>
    <n v="220.05"/>
    <n v="202"/>
    <n v="1.08"/>
    <x v="8"/>
    <x v="8"/>
  </r>
  <r>
    <x v="45"/>
    <x v="0"/>
    <n v="9"/>
    <n v="15"/>
    <n v="65.5"/>
    <n v="0.22"/>
    <x v="8"/>
    <x v="8"/>
  </r>
  <r>
    <x v="46"/>
    <x v="0"/>
    <n v="9"/>
    <n v="16.239999999999998"/>
    <n v="73.5"/>
    <n v="0.22"/>
    <x v="8"/>
    <x v="8"/>
  </r>
  <r>
    <x v="47"/>
    <x v="0"/>
    <n v="9"/>
    <n v="232.92"/>
    <n v="202"/>
    <n v="1.1499999999999999"/>
    <x v="8"/>
    <x v="8"/>
  </r>
  <r>
    <x v="48"/>
    <x v="0"/>
    <n v="9"/>
    <n v="85.52"/>
    <n v="186.5"/>
    <n v="0.45"/>
    <x v="8"/>
    <x v="8"/>
  </r>
  <r>
    <x v="49"/>
    <x v="0"/>
    <n v="9"/>
    <n v="79.099999999999994"/>
    <n v="156.5"/>
    <n v="0.5"/>
    <x v="8"/>
    <x v="8"/>
  </r>
  <r>
    <x v="50"/>
    <x v="0"/>
    <n v="9"/>
    <n v="39.29"/>
    <n v="141"/>
    <n v="0.27"/>
    <x v="8"/>
    <x v="8"/>
  </r>
  <r>
    <x v="51"/>
    <x v="0"/>
    <n v="9"/>
    <n v="17.940000000000001"/>
    <n v="101"/>
    <n v="0.17"/>
    <x v="8"/>
    <x v="8"/>
  </r>
  <r>
    <x v="52"/>
    <x v="0"/>
    <n v="9"/>
    <n v="11.85"/>
    <n v="50"/>
    <n v="0.23"/>
    <x v="8"/>
    <x v="8"/>
  </r>
  <r>
    <x v="66"/>
    <x v="0"/>
    <n v="9"/>
    <n v="4.18"/>
    <n v="30"/>
    <n v="0.13"/>
    <x v="8"/>
    <x v="8"/>
  </r>
  <r>
    <x v="53"/>
    <x v="0"/>
    <n v="9"/>
    <n v="0.08"/>
    <n v="10"/>
    <n v="0"/>
    <x v="8"/>
    <x v="8"/>
  </r>
  <r>
    <x v="55"/>
    <x v="0"/>
    <n v="9"/>
    <n v="28.99"/>
    <n v="125.5"/>
    <n v="0.23"/>
    <x v="8"/>
    <x v="8"/>
  </r>
  <r>
    <x v="56"/>
    <x v="0"/>
    <n v="9"/>
    <n v="29.48"/>
    <n v="141"/>
    <n v="0.2"/>
    <x v="8"/>
    <x v="8"/>
  </r>
  <r>
    <x v="0"/>
    <x v="0"/>
    <n v="10"/>
    <n v="110.59"/>
    <n v="182"/>
    <n v="0.6"/>
    <x v="9"/>
    <x v="9"/>
  </r>
  <r>
    <x v="1"/>
    <x v="0"/>
    <n v="10"/>
    <n v="51.39"/>
    <n v="142"/>
    <n v="0.36"/>
    <x v="9"/>
    <x v="9"/>
  </r>
  <r>
    <x v="57"/>
    <x v="0"/>
    <n v="10"/>
    <n v="2.69"/>
    <n v="15.5"/>
    <n v="0.17"/>
    <x v="9"/>
    <x v="9"/>
  </r>
  <r>
    <x v="2"/>
    <x v="0"/>
    <n v="10"/>
    <n v="0.36"/>
    <n v="5.5"/>
    <n v="0.06"/>
    <x v="9"/>
    <x v="9"/>
  </r>
  <r>
    <x v="3"/>
    <x v="0"/>
    <n v="10"/>
    <n v="47.15"/>
    <n v="157.5"/>
    <n v="0.28999999999999998"/>
    <x v="9"/>
    <x v="9"/>
  </r>
  <r>
    <x v="4"/>
    <x v="0"/>
    <n v="10"/>
    <n v="8.65"/>
    <n v="55.5"/>
    <n v="0.15"/>
    <x v="9"/>
    <x v="9"/>
  </r>
  <r>
    <x v="5"/>
    <x v="0"/>
    <n v="10"/>
    <n v="36.74"/>
    <n v="101"/>
    <n v="0.36"/>
    <x v="9"/>
    <x v="9"/>
  </r>
  <r>
    <x v="6"/>
    <x v="0"/>
    <n v="10"/>
    <n v="3.32"/>
    <n v="35.5"/>
    <n v="0.09"/>
    <x v="9"/>
    <x v="9"/>
  </r>
  <r>
    <x v="7"/>
    <x v="0"/>
    <n v="10"/>
    <n v="27.55"/>
    <n v="90"/>
    <n v="0.3"/>
    <x v="9"/>
    <x v="9"/>
  </r>
  <r>
    <x v="8"/>
    <x v="0"/>
    <n v="10"/>
    <n v="165.88"/>
    <n v="171.5"/>
    <n v="0.96"/>
    <x v="9"/>
    <x v="9"/>
  </r>
  <r>
    <x v="9"/>
    <x v="0"/>
    <n v="10"/>
    <n v="32.200000000000003"/>
    <n v="49"/>
    <n v="0.65"/>
    <x v="9"/>
    <x v="9"/>
  </r>
  <r>
    <x v="10"/>
    <x v="0"/>
    <n v="10"/>
    <n v="49.95"/>
    <n v="162"/>
    <n v="0.3"/>
    <x v="9"/>
    <x v="9"/>
  </r>
  <r>
    <x v="11"/>
    <x v="0"/>
    <n v="10"/>
    <n v="26.18"/>
    <n v="106.5"/>
    <n v="0.24"/>
    <x v="9"/>
    <x v="9"/>
  </r>
  <r>
    <x v="12"/>
    <x v="0"/>
    <n v="10"/>
    <n v="81.25"/>
    <n v="187.5"/>
    <n v="0.43"/>
    <x v="9"/>
    <x v="9"/>
  </r>
  <r>
    <x v="13"/>
    <x v="0"/>
    <n v="10"/>
    <n v="87.54"/>
    <n v="156.5"/>
    <n v="0.55000000000000004"/>
    <x v="9"/>
    <x v="9"/>
  </r>
  <r>
    <x v="14"/>
    <x v="0"/>
    <n v="10"/>
    <n v="1.66"/>
    <n v="20"/>
    <n v="0.08"/>
    <x v="9"/>
    <x v="9"/>
  </r>
  <r>
    <x v="67"/>
    <x v="0"/>
    <n v="10"/>
    <n v="0.44"/>
    <n v="10"/>
    <n v="0.04"/>
    <x v="9"/>
    <x v="9"/>
  </r>
  <r>
    <x v="15"/>
    <x v="0"/>
    <n v="10"/>
    <n v="107.88"/>
    <n v="197.5"/>
    <n v="0.54"/>
    <x v="9"/>
    <x v="9"/>
  </r>
  <r>
    <x v="16"/>
    <x v="0"/>
    <n v="10"/>
    <n v="45.9"/>
    <n v="121"/>
    <n v="0.37"/>
    <x v="9"/>
    <x v="9"/>
  </r>
  <r>
    <x v="17"/>
    <x v="0"/>
    <n v="10"/>
    <n v="11.92"/>
    <n v="20"/>
    <n v="0.59"/>
    <x v="9"/>
    <x v="9"/>
  </r>
  <r>
    <x v="18"/>
    <x v="0"/>
    <n v="10"/>
    <n v="28.52"/>
    <n v="122"/>
    <n v="0.23"/>
    <x v="9"/>
    <x v="9"/>
  </r>
  <r>
    <x v="19"/>
    <x v="0"/>
    <n v="10"/>
    <n v="24.88"/>
    <n v="81"/>
    <n v="0.3"/>
    <x v="9"/>
    <x v="9"/>
  </r>
  <r>
    <x v="20"/>
    <x v="0"/>
    <n v="10"/>
    <n v="272.52"/>
    <n v="192"/>
    <n v="1.41"/>
    <x v="9"/>
    <x v="9"/>
  </r>
  <r>
    <x v="21"/>
    <x v="0"/>
    <n v="10"/>
    <n v="22.8"/>
    <n v="50"/>
    <n v="0.45"/>
    <x v="9"/>
    <x v="9"/>
  </r>
  <r>
    <x v="22"/>
    <x v="0"/>
    <n v="10"/>
    <n v="17.12"/>
    <n v="60"/>
    <n v="0.28000000000000003"/>
    <x v="9"/>
    <x v="9"/>
  </r>
  <r>
    <x v="23"/>
    <x v="0"/>
    <n v="10"/>
    <n v="74.510000000000005"/>
    <n v="176.5"/>
    <n v="0.42"/>
    <x v="9"/>
    <x v="9"/>
  </r>
  <r>
    <x v="25"/>
    <x v="0"/>
    <n v="10"/>
    <n v="16.239999999999998"/>
    <n v="76.5"/>
    <n v="0.21"/>
    <x v="9"/>
    <x v="9"/>
  </r>
  <r>
    <x v="26"/>
    <x v="0"/>
    <n v="10"/>
    <n v="50.69"/>
    <n v="166.5"/>
    <n v="0.3"/>
    <x v="9"/>
    <x v="9"/>
  </r>
  <r>
    <x v="27"/>
    <x v="0"/>
    <n v="10"/>
    <n v="5.45"/>
    <n v="20"/>
    <n v="0.27"/>
    <x v="9"/>
    <x v="9"/>
  </r>
  <r>
    <x v="29"/>
    <x v="0"/>
    <n v="10"/>
    <n v="135.94"/>
    <n v="197.5"/>
    <n v="0.68"/>
    <x v="9"/>
    <x v="9"/>
  </r>
  <r>
    <x v="30"/>
    <x v="0"/>
    <n v="10"/>
    <n v="146.99"/>
    <n v="197.5"/>
    <n v="0.74"/>
    <x v="9"/>
    <x v="9"/>
  </r>
  <r>
    <x v="31"/>
    <x v="0"/>
    <n v="10"/>
    <n v="104.48"/>
    <n v="171"/>
    <n v="0.61"/>
    <x v="9"/>
    <x v="9"/>
  </r>
  <r>
    <x v="32"/>
    <x v="0"/>
    <n v="10"/>
    <n v="174.96"/>
    <n v="116.5"/>
    <n v="1.5"/>
    <x v="9"/>
    <x v="9"/>
  </r>
  <r>
    <x v="33"/>
    <x v="0"/>
    <n v="10"/>
    <n v="40.21"/>
    <n v="91"/>
    <n v="0.44"/>
    <x v="9"/>
    <x v="9"/>
  </r>
  <r>
    <x v="64"/>
    <x v="0"/>
    <n v="10"/>
    <n v="20.93"/>
    <n v="55.5"/>
    <n v="0.37"/>
    <x v="9"/>
    <x v="9"/>
  </r>
  <r>
    <x v="34"/>
    <x v="0"/>
    <n v="10"/>
    <n v="9.27"/>
    <n v="25.5"/>
    <n v="0.36"/>
    <x v="9"/>
    <x v="9"/>
  </r>
  <r>
    <x v="35"/>
    <x v="0"/>
    <n v="10"/>
    <n v="195.62"/>
    <n v="197.5"/>
    <n v="0.99"/>
    <x v="9"/>
    <x v="9"/>
  </r>
  <r>
    <x v="36"/>
    <x v="0"/>
    <n v="10"/>
    <n v="87.96"/>
    <n v="187.5"/>
    <n v="0.46"/>
    <x v="9"/>
    <x v="9"/>
  </r>
  <r>
    <x v="37"/>
    <x v="0"/>
    <n v="10"/>
    <n v="19.22"/>
    <n v="101"/>
    <n v="0.19"/>
    <x v="9"/>
    <x v="9"/>
  </r>
  <r>
    <x v="39"/>
    <x v="0"/>
    <n v="10"/>
    <n v="20.43"/>
    <n v="92"/>
    <n v="0.22"/>
    <x v="9"/>
    <x v="9"/>
  </r>
  <r>
    <x v="40"/>
    <x v="0"/>
    <n v="10"/>
    <n v="2.1800000000000002"/>
    <n v="20"/>
    <n v="0.1"/>
    <x v="9"/>
    <x v="9"/>
  </r>
  <r>
    <x v="41"/>
    <x v="0"/>
    <n v="10"/>
    <n v="11.84"/>
    <n v="24.5"/>
    <n v="0.48"/>
    <x v="9"/>
    <x v="9"/>
  </r>
  <r>
    <x v="42"/>
    <x v="0"/>
    <n v="10"/>
    <n v="0.08"/>
    <n v="15"/>
    <n v="0"/>
    <x v="9"/>
    <x v="9"/>
  </r>
  <r>
    <x v="43"/>
    <x v="0"/>
    <n v="10"/>
    <n v="67.819999999999993"/>
    <n v="187.5"/>
    <n v="0.36"/>
    <x v="9"/>
    <x v="9"/>
  </r>
  <r>
    <x v="44"/>
    <x v="0"/>
    <n v="10"/>
    <n v="182.13"/>
    <n v="197.5"/>
    <n v="0.92"/>
    <x v="9"/>
    <x v="9"/>
  </r>
  <r>
    <x v="45"/>
    <x v="0"/>
    <n v="10"/>
    <n v="9.8000000000000007"/>
    <n v="95.5"/>
    <n v="0.1"/>
    <x v="9"/>
    <x v="9"/>
  </r>
  <r>
    <x v="46"/>
    <x v="0"/>
    <n v="10"/>
    <n v="14.81"/>
    <n v="96.5"/>
    <n v="0.15"/>
    <x v="9"/>
    <x v="9"/>
  </r>
  <r>
    <x v="47"/>
    <x v="0"/>
    <n v="10"/>
    <n v="211.51"/>
    <n v="187.5"/>
    <n v="1.1200000000000001"/>
    <x v="9"/>
    <x v="9"/>
  </r>
  <r>
    <x v="48"/>
    <x v="0"/>
    <n v="10"/>
    <n v="58.75"/>
    <n v="166.5"/>
    <n v="0.35"/>
    <x v="9"/>
    <x v="9"/>
  </r>
  <r>
    <x v="49"/>
    <x v="0"/>
    <n v="10"/>
    <n v="279.06"/>
    <n v="187.5"/>
    <n v="1.48"/>
    <x v="9"/>
    <x v="9"/>
  </r>
  <r>
    <x v="50"/>
    <x v="0"/>
    <n v="10"/>
    <n v="18.21"/>
    <n v="105.5"/>
    <n v="0.17"/>
    <x v="9"/>
    <x v="9"/>
  </r>
  <r>
    <x v="51"/>
    <x v="0"/>
    <n v="10"/>
    <n v="17.739999999999998"/>
    <n v="61"/>
    <n v="0.28999999999999998"/>
    <x v="9"/>
    <x v="9"/>
  </r>
  <r>
    <x v="52"/>
    <x v="0"/>
    <n v="10"/>
    <n v="8.32"/>
    <n v="20"/>
    <n v="0.41"/>
    <x v="9"/>
    <x v="9"/>
  </r>
  <r>
    <x v="66"/>
    <x v="0"/>
    <n v="10"/>
    <n v="1.1200000000000001"/>
    <n v="10"/>
    <n v="0.11"/>
    <x v="9"/>
    <x v="9"/>
  </r>
  <r>
    <x v="70"/>
    <x v="0"/>
    <n v="10"/>
    <n v="4.82"/>
    <n v="20"/>
    <n v="0.24"/>
    <x v="9"/>
    <x v="9"/>
  </r>
  <r>
    <x v="55"/>
    <x v="0"/>
    <n v="10"/>
    <n v="20.52"/>
    <n v="101"/>
    <n v="0.2"/>
    <x v="9"/>
    <x v="9"/>
  </r>
  <r>
    <x v="56"/>
    <x v="0"/>
    <n v="10"/>
    <n v="22.06"/>
    <n v="116.5"/>
    <n v="0.18"/>
    <x v="9"/>
    <x v="9"/>
  </r>
  <r>
    <x v="0"/>
    <x v="0"/>
    <n v="11"/>
    <n v="115.17"/>
    <n v="182"/>
    <n v="0.63"/>
    <x v="10"/>
    <x v="10"/>
  </r>
  <r>
    <x v="1"/>
    <x v="0"/>
    <n v="11"/>
    <n v="27.2"/>
    <n v="55.5"/>
    <n v="0.49"/>
    <x v="10"/>
    <x v="10"/>
  </r>
  <r>
    <x v="3"/>
    <x v="0"/>
    <n v="11"/>
    <n v="44.64"/>
    <n v="161"/>
    <n v="0.27"/>
    <x v="10"/>
    <x v="10"/>
  </r>
  <r>
    <x v="4"/>
    <x v="0"/>
    <n v="11"/>
    <n v="2.5299999999999998"/>
    <n v="30"/>
    <n v="0.08"/>
    <x v="10"/>
    <x v="10"/>
  </r>
  <r>
    <x v="5"/>
    <x v="0"/>
    <n v="11"/>
    <n v="37.520000000000003"/>
    <n v="111"/>
    <n v="0.33"/>
    <x v="10"/>
    <x v="10"/>
  </r>
  <r>
    <x v="6"/>
    <x v="0"/>
    <n v="11"/>
    <n v="5.77"/>
    <n v="45.5"/>
    <n v="0.12"/>
    <x v="10"/>
    <x v="10"/>
  </r>
  <r>
    <x v="7"/>
    <x v="0"/>
    <n v="11"/>
    <n v="12.86"/>
    <n v="51"/>
    <n v="0.25"/>
    <x v="10"/>
    <x v="10"/>
  </r>
  <r>
    <x v="8"/>
    <x v="0"/>
    <n v="11"/>
    <n v="62.28"/>
    <n v="122.5"/>
    <n v="0.5"/>
    <x v="10"/>
    <x v="10"/>
  </r>
  <r>
    <x v="9"/>
    <x v="0"/>
    <n v="11"/>
    <n v="16.57"/>
    <n v="73.5"/>
    <n v="0.22"/>
    <x v="10"/>
    <x v="10"/>
  </r>
  <r>
    <x v="10"/>
    <x v="0"/>
    <n v="11"/>
    <n v="69.2"/>
    <n v="166.5"/>
    <n v="0.41"/>
    <x v="10"/>
    <x v="10"/>
  </r>
  <r>
    <x v="11"/>
    <x v="0"/>
    <n v="11"/>
    <n v="18.13"/>
    <n v="135.5"/>
    <n v="0.13"/>
    <x v="10"/>
    <x v="10"/>
  </r>
  <r>
    <x v="12"/>
    <x v="0"/>
    <n v="11"/>
    <n v="104.7"/>
    <n v="166.5"/>
    <n v="0.62"/>
    <x v="10"/>
    <x v="10"/>
  </r>
  <r>
    <x v="13"/>
    <x v="0"/>
    <n v="11"/>
    <n v="2.37"/>
    <n v="75.5"/>
    <n v="0.03"/>
    <x v="10"/>
    <x v="10"/>
  </r>
  <r>
    <x v="14"/>
    <x v="0"/>
    <n v="11"/>
    <n v="29.38"/>
    <n v="95.5"/>
    <n v="0.3"/>
    <x v="10"/>
    <x v="10"/>
  </r>
  <r>
    <x v="15"/>
    <x v="0"/>
    <n v="11"/>
    <n v="101.12"/>
    <n v="182"/>
    <n v="0.55000000000000004"/>
    <x v="10"/>
    <x v="10"/>
  </r>
  <r>
    <x v="16"/>
    <x v="0"/>
    <n v="11"/>
    <n v="24.68"/>
    <n v="85.5"/>
    <n v="0.28000000000000003"/>
    <x v="10"/>
    <x v="10"/>
  </r>
  <r>
    <x v="17"/>
    <x v="0"/>
    <n v="11"/>
    <n v="49.21"/>
    <n v="125.5"/>
    <n v="0.39"/>
    <x v="10"/>
    <x v="10"/>
  </r>
  <r>
    <x v="18"/>
    <x v="0"/>
    <n v="11"/>
    <n v="28.46"/>
    <n v="135.5"/>
    <n v="0.21"/>
    <x v="10"/>
    <x v="10"/>
  </r>
  <r>
    <x v="19"/>
    <x v="0"/>
    <n v="11"/>
    <n v="27.32"/>
    <n v="86.5"/>
    <n v="0.31"/>
    <x v="10"/>
    <x v="10"/>
  </r>
  <r>
    <x v="20"/>
    <x v="0"/>
    <n v="11"/>
    <n v="231.92"/>
    <n v="182"/>
    <n v="1.27"/>
    <x v="10"/>
    <x v="10"/>
  </r>
  <r>
    <x v="21"/>
    <x v="0"/>
    <n v="11"/>
    <n v="5.65"/>
    <n v="40"/>
    <n v="0.14000000000000001"/>
    <x v="10"/>
    <x v="10"/>
  </r>
  <r>
    <x v="22"/>
    <x v="0"/>
    <n v="11"/>
    <n v="10.33"/>
    <n v="30"/>
    <n v="0.34"/>
    <x v="10"/>
    <x v="10"/>
  </r>
  <r>
    <x v="23"/>
    <x v="0"/>
    <n v="11"/>
    <n v="109.74"/>
    <n v="166.5"/>
    <n v="0.65"/>
    <x v="10"/>
    <x v="10"/>
  </r>
  <r>
    <x v="24"/>
    <x v="0"/>
    <n v="11"/>
    <n v="0.69"/>
    <n v="20"/>
    <n v="0.03"/>
    <x v="10"/>
    <x v="10"/>
  </r>
  <r>
    <x v="25"/>
    <x v="0"/>
    <n v="11"/>
    <n v="14.74"/>
    <n v="65.5"/>
    <n v="0.22"/>
    <x v="10"/>
    <x v="10"/>
  </r>
  <r>
    <x v="26"/>
    <x v="0"/>
    <n v="11"/>
    <n v="57.59"/>
    <n v="146.5"/>
    <n v="0.39"/>
    <x v="10"/>
    <x v="10"/>
  </r>
  <r>
    <x v="27"/>
    <x v="0"/>
    <n v="11"/>
    <n v="2.21"/>
    <n v="30"/>
    <n v="7.0000000000000007E-2"/>
    <x v="10"/>
    <x v="10"/>
  </r>
  <r>
    <x v="28"/>
    <x v="0"/>
    <n v="11"/>
    <n v="0.08"/>
    <n v="10"/>
    <n v="0"/>
    <x v="10"/>
    <x v="10"/>
  </r>
  <r>
    <x v="29"/>
    <x v="0"/>
    <n v="11"/>
    <n v="446.34"/>
    <n v="182"/>
    <n v="2.4500000000000002"/>
    <x v="10"/>
    <x v="10"/>
  </r>
  <r>
    <x v="30"/>
    <x v="0"/>
    <n v="11"/>
    <n v="36.22"/>
    <n v="121"/>
    <n v="0.28999999999999998"/>
    <x v="10"/>
    <x v="10"/>
  </r>
  <r>
    <x v="31"/>
    <x v="0"/>
    <n v="11"/>
    <n v="63.42"/>
    <n v="146.5"/>
    <n v="0.43"/>
    <x v="10"/>
    <x v="10"/>
  </r>
  <r>
    <x v="32"/>
    <x v="0"/>
    <n v="11"/>
    <n v="54.3"/>
    <n v="91"/>
    <n v="0.59"/>
    <x v="10"/>
    <x v="10"/>
  </r>
  <r>
    <x v="33"/>
    <x v="0"/>
    <n v="11"/>
    <n v="9.3000000000000007"/>
    <n v="65.5"/>
    <n v="0.14000000000000001"/>
    <x v="10"/>
    <x v="10"/>
  </r>
  <r>
    <x v="64"/>
    <x v="0"/>
    <n v="11"/>
    <n v="14.42"/>
    <n v="61"/>
    <n v="0.23"/>
    <x v="10"/>
    <x v="10"/>
  </r>
  <r>
    <x v="34"/>
    <x v="0"/>
    <n v="11"/>
    <n v="0"/>
    <n v="10"/>
    <n v="0"/>
    <x v="10"/>
    <x v="10"/>
  </r>
  <r>
    <x v="35"/>
    <x v="0"/>
    <n v="11"/>
    <n v="176.98"/>
    <n v="182"/>
    <n v="0.97"/>
    <x v="10"/>
    <x v="10"/>
  </r>
  <r>
    <x v="36"/>
    <x v="0"/>
    <n v="11"/>
    <n v="86.19"/>
    <n v="152"/>
    <n v="0.56000000000000005"/>
    <x v="10"/>
    <x v="10"/>
  </r>
  <r>
    <x v="37"/>
    <x v="0"/>
    <n v="11"/>
    <n v="35.83"/>
    <n v="116.5"/>
    <n v="0.3"/>
    <x v="10"/>
    <x v="10"/>
  </r>
  <r>
    <x v="38"/>
    <x v="0"/>
    <n v="11"/>
    <n v="2.96"/>
    <n v="10"/>
    <n v="0.28999999999999998"/>
    <x v="10"/>
    <x v="10"/>
  </r>
  <r>
    <x v="39"/>
    <x v="0"/>
    <n v="11"/>
    <n v="64.81"/>
    <n v="81"/>
    <n v="0.8"/>
    <x v="10"/>
    <x v="10"/>
  </r>
  <r>
    <x v="40"/>
    <x v="0"/>
    <n v="11"/>
    <n v="1.22"/>
    <n v="20"/>
    <n v="0.06"/>
    <x v="10"/>
    <x v="10"/>
  </r>
  <r>
    <x v="41"/>
    <x v="0"/>
    <n v="11"/>
    <n v="12.6"/>
    <n v="45"/>
    <n v="0.28000000000000003"/>
    <x v="10"/>
    <x v="10"/>
  </r>
  <r>
    <x v="42"/>
    <x v="0"/>
    <n v="11"/>
    <n v="2.71"/>
    <n v="45"/>
    <n v="0.06"/>
    <x v="10"/>
    <x v="10"/>
  </r>
  <r>
    <x v="43"/>
    <x v="0"/>
    <n v="11"/>
    <n v="105.19"/>
    <n v="152"/>
    <n v="0.69"/>
    <x v="10"/>
    <x v="10"/>
  </r>
  <r>
    <x v="44"/>
    <x v="0"/>
    <n v="11"/>
    <n v="190.65"/>
    <n v="176.5"/>
    <n v="1.08"/>
    <x v="10"/>
    <x v="10"/>
  </r>
  <r>
    <x v="45"/>
    <x v="0"/>
    <n v="11"/>
    <n v="7.63"/>
    <n v="50"/>
    <n v="0.15"/>
    <x v="10"/>
    <x v="10"/>
  </r>
  <r>
    <x v="46"/>
    <x v="0"/>
    <n v="11"/>
    <n v="3.41"/>
    <n v="49"/>
    <n v="0.06"/>
    <x v="10"/>
    <x v="10"/>
  </r>
  <r>
    <x v="47"/>
    <x v="0"/>
    <n v="11"/>
    <n v="208.45"/>
    <n v="182"/>
    <n v="1.1399999999999999"/>
    <x v="10"/>
    <x v="10"/>
  </r>
  <r>
    <x v="48"/>
    <x v="0"/>
    <n v="11"/>
    <n v="84.35"/>
    <n v="136.5"/>
    <n v="0.61"/>
    <x v="10"/>
    <x v="10"/>
  </r>
  <r>
    <x v="49"/>
    <x v="0"/>
    <n v="11"/>
    <n v="57.53"/>
    <n v="131"/>
    <n v="0.43"/>
    <x v="10"/>
    <x v="10"/>
  </r>
  <r>
    <x v="50"/>
    <x v="0"/>
    <n v="11"/>
    <n v="63.14"/>
    <n v="131"/>
    <n v="0.48"/>
    <x v="10"/>
    <x v="10"/>
  </r>
  <r>
    <x v="51"/>
    <x v="0"/>
    <n v="11"/>
    <n v="12.29"/>
    <n v="51"/>
    <n v="0.24"/>
    <x v="10"/>
    <x v="10"/>
  </r>
  <r>
    <x v="52"/>
    <x v="0"/>
    <n v="11"/>
    <n v="26.85"/>
    <n v="86.5"/>
    <n v="0.31"/>
    <x v="10"/>
    <x v="10"/>
  </r>
  <r>
    <x v="66"/>
    <x v="0"/>
    <n v="11"/>
    <n v="3.3"/>
    <n v="25.5"/>
    <n v="0.12"/>
    <x v="10"/>
    <x v="10"/>
  </r>
  <r>
    <x v="55"/>
    <x v="0"/>
    <n v="11"/>
    <n v="23.54"/>
    <n v="110"/>
    <n v="0.21"/>
    <x v="10"/>
    <x v="10"/>
  </r>
  <r>
    <x v="56"/>
    <x v="0"/>
    <n v="11"/>
    <n v="21.37"/>
    <n v="115.5"/>
    <n v="0.18"/>
    <x v="10"/>
    <x v="10"/>
  </r>
  <r>
    <x v="0"/>
    <x v="0"/>
    <n v="12"/>
    <n v="164.27"/>
    <n v="146.5"/>
    <n v="1.1200000000000001"/>
    <x v="11"/>
    <x v="11"/>
  </r>
  <r>
    <x v="1"/>
    <x v="0"/>
    <n v="12"/>
    <n v="21.68"/>
    <n v="65.5"/>
    <n v="0.33"/>
    <x v="11"/>
    <x v="11"/>
  </r>
  <r>
    <x v="57"/>
    <x v="0"/>
    <n v="12"/>
    <n v="0.36"/>
    <n v="10"/>
    <n v="0.03"/>
    <x v="11"/>
    <x v="11"/>
  </r>
  <r>
    <x v="3"/>
    <x v="0"/>
    <n v="12"/>
    <n v="72.37"/>
    <n v="151"/>
    <n v="0.47"/>
    <x v="11"/>
    <x v="11"/>
  </r>
  <r>
    <x v="4"/>
    <x v="0"/>
    <n v="12"/>
    <n v="0.4"/>
    <n v="10"/>
    <n v="0.04"/>
    <x v="11"/>
    <x v="11"/>
  </r>
  <r>
    <x v="58"/>
    <x v="0"/>
    <n v="12"/>
    <n v="0.34"/>
    <n v="15.5"/>
    <n v="0.02"/>
    <x v="11"/>
    <x v="11"/>
  </r>
  <r>
    <x v="5"/>
    <x v="0"/>
    <n v="12"/>
    <n v="27.63"/>
    <n v="80"/>
    <n v="0.34"/>
    <x v="11"/>
    <x v="11"/>
  </r>
  <r>
    <x v="6"/>
    <x v="0"/>
    <n v="12"/>
    <n v="0.26"/>
    <n v="10"/>
    <n v="0.02"/>
    <x v="11"/>
    <x v="11"/>
  </r>
  <r>
    <x v="7"/>
    <x v="0"/>
    <n v="12"/>
    <n v="7.29"/>
    <n v="30"/>
    <n v="0.24"/>
    <x v="11"/>
    <x v="11"/>
  </r>
  <r>
    <x v="8"/>
    <x v="0"/>
    <n v="12"/>
    <n v="56.84"/>
    <n v="113"/>
    <n v="0.5"/>
    <x v="11"/>
    <x v="11"/>
  </r>
  <r>
    <x v="9"/>
    <x v="0"/>
    <n v="12"/>
    <n v="15"/>
    <n v="88.5"/>
    <n v="0.16"/>
    <x v="11"/>
    <x v="11"/>
  </r>
  <r>
    <x v="10"/>
    <x v="0"/>
    <n v="12"/>
    <n v="25.55"/>
    <n v="116.5"/>
    <n v="0.21"/>
    <x v="11"/>
    <x v="11"/>
  </r>
  <r>
    <x v="11"/>
    <x v="0"/>
    <n v="12"/>
    <n v="18.600000000000001"/>
    <n v="111"/>
    <n v="0.16"/>
    <x v="11"/>
    <x v="11"/>
  </r>
  <r>
    <x v="12"/>
    <x v="0"/>
    <n v="12"/>
    <n v="129.58000000000001"/>
    <n v="156.5"/>
    <n v="0.82"/>
    <x v="11"/>
    <x v="11"/>
  </r>
  <r>
    <x v="13"/>
    <x v="0"/>
    <n v="12"/>
    <n v="1.55"/>
    <n v="35.5"/>
    <n v="0.04"/>
    <x v="11"/>
    <x v="11"/>
  </r>
  <r>
    <x v="14"/>
    <x v="0"/>
    <n v="12"/>
    <n v="23.65"/>
    <n v="35.5"/>
    <n v="0.66"/>
    <x v="11"/>
    <x v="11"/>
  </r>
  <r>
    <x v="67"/>
    <x v="0"/>
    <n v="12"/>
    <n v="0.05"/>
    <n v="10"/>
    <n v="0"/>
    <x v="11"/>
    <x v="11"/>
  </r>
  <r>
    <x v="15"/>
    <x v="0"/>
    <n v="12"/>
    <n v="73.5"/>
    <n v="151"/>
    <n v="0.48"/>
    <x v="11"/>
    <x v="11"/>
  </r>
  <r>
    <x v="16"/>
    <x v="0"/>
    <n v="12"/>
    <n v="23.92"/>
    <n v="111"/>
    <n v="0.21"/>
    <x v="11"/>
    <x v="11"/>
  </r>
  <r>
    <x v="17"/>
    <x v="0"/>
    <n v="12"/>
    <n v="33.53"/>
    <n v="60"/>
    <n v="0.55000000000000004"/>
    <x v="11"/>
    <x v="11"/>
  </r>
  <r>
    <x v="18"/>
    <x v="0"/>
    <n v="12"/>
    <n v="20.41"/>
    <n v="111"/>
    <n v="0.18"/>
    <x v="11"/>
    <x v="11"/>
  </r>
  <r>
    <x v="19"/>
    <x v="0"/>
    <n v="12"/>
    <n v="33.68"/>
    <n v="105.5"/>
    <n v="0.31"/>
    <x v="11"/>
    <x v="11"/>
  </r>
  <r>
    <x v="20"/>
    <x v="0"/>
    <n v="12"/>
    <n v="119.48"/>
    <n v="141"/>
    <n v="0.84"/>
    <x v="11"/>
    <x v="11"/>
  </r>
  <r>
    <x v="21"/>
    <x v="0"/>
    <n v="12"/>
    <n v="16.25"/>
    <n v="41"/>
    <n v="0.39"/>
    <x v="11"/>
    <x v="11"/>
  </r>
  <r>
    <x v="68"/>
    <x v="0"/>
    <n v="12"/>
    <n v="3.16"/>
    <n v="20"/>
    <n v="0.15"/>
    <x v="11"/>
    <x v="11"/>
  </r>
  <r>
    <x v="22"/>
    <x v="0"/>
    <n v="12"/>
    <n v="43.85"/>
    <n v="70"/>
    <n v="0.62"/>
    <x v="11"/>
    <x v="11"/>
  </r>
  <r>
    <x v="23"/>
    <x v="0"/>
    <n v="12"/>
    <n v="162.19999999999999"/>
    <n v="151"/>
    <n v="1.07"/>
    <x v="11"/>
    <x v="11"/>
  </r>
  <r>
    <x v="24"/>
    <x v="0"/>
    <n v="12"/>
    <n v="1.32"/>
    <n v="25.5"/>
    <n v="0.05"/>
    <x v="11"/>
    <x v="11"/>
  </r>
  <r>
    <x v="25"/>
    <x v="0"/>
    <n v="12"/>
    <n v="13.11"/>
    <n v="95.5"/>
    <n v="0.13"/>
    <x v="11"/>
    <x v="11"/>
  </r>
  <r>
    <x v="26"/>
    <x v="0"/>
    <n v="12"/>
    <n v="23.54"/>
    <n v="95.5"/>
    <n v="0.24"/>
    <x v="11"/>
    <x v="11"/>
  </r>
  <r>
    <x v="27"/>
    <x v="0"/>
    <n v="12"/>
    <n v="2.44"/>
    <n v="10"/>
    <n v="0.24"/>
    <x v="11"/>
    <x v="11"/>
  </r>
  <r>
    <x v="29"/>
    <x v="0"/>
    <n v="12"/>
    <n v="332.59"/>
    <n v="156.5"/>
    <n v="2.12"/>
    <x v="11"/>
    <x v="11"/>
  </r>
  <r>
    <x v="30"/>
    <x v="0"/>
    <n v="12"/>
    <n v="164.91"/>
    <n v="156.5"/>
    <n v="1.05"/>
    <x v="11"/>
    <x v="11"/>
  </r>
  <r>
    <x v="31"/>
    <x v="0"/>
    <n v="12"/>
    <n v="144.81"/>
    <n v="105.5"/>
    <n v="1.37"/>
    <x v="11"/>
    <x v="11"/>
  </r>
  <r>
    <x v="32"/>
    <x v="0"/>
    <n v="12"/>
    <n v="8.19"/>
    <n v="65.5"/>
    <n v="0.12"/>
    <x v="11"/>
    <x v="11"/>
  </r>
  <r>
    <x v="33"/>
    <x v="0"/>
    <n v="12"/>
    <n v="13.19"/>
    <n v="50"/>
    <n v="0.26"/>
    <x v="11"/>
    <x v="11"/>
  </r>
  <r>
    <x v="64"/>
    <x v="0"/>
    <n v="12"/>
    <n v="1.05"/>
    <n v="20"/>
    <n v="0.05"/>
    <x v="11"/>
    <x v="11"/>
  </r>
  <r>
    <x v="35"/>
    <x v="0"/>
    <n v="12"/>
    <n v="218.33"/>
    <n v="146.5"/>
    <n v="1.49"/>
    <x v="11"/>
    <x v="11"/>
  </r>
  <r>
    <x v="36"/>
    <x v="0"/>
    <n v="12"/>
    <n v="90.62"/>
    <n v="136.5"/>
    <n v="0.66"/>
    <x v="11"/>
    <x v="11"/>
  </r>
  <r>
    <x v="37"/>
    <x v="0"/>
    <n v="12"/>
    <n v="33.67"/>
    <n v="101"/>
    <n v="0.33"/>
    <x v="11"/>
    <x v="11"/>
  </r>
  <r>
    <x v="39"/>
    <x v="0"/>
    <n v="12"/>
    <n v="18.86"/>
    <n v="85.5"/>
    <n v="0.22"/>
    <x v="11"/>
    <x v="11"/>
  </r>
  <r>
    <x v="40"/>
    <x v="0"/>
    <n v="12"/>
    <n v="4.67"/>
    <n v="20"/>
    <n v="0.23"/>
    <x v="11"/>
    <x v="11"/>
  </r>
  <r>
    <x v="41"/>
    <x v="0"/>
    <n v="12"/>
    <n v="3.36"/>
    <n v="24.5"/>
    <n v="0.13"/>
    <x v="11"/>
    <x v="11"/>
  </r>
  <r>
    <x v="42"/>
    <x v="0"/>
    <n v="12"/>
    <n v="0.1"/>
    <n v="24.5"/>
    <n v="0"/>
    <x v="11"/>
    <x v="11"/>
  </r>
  <r>
    <x v="43"/>
    <x v="0"/>
    <n v="12"/>
    <n v="30.79"/>
    <n v="106.5"/>
    <n v="0.28000000000000003"/>
    <x v="11"/>
    <x v="11"/>
  </r>
  <r>
    <x v="44"/>
    <x v="0"/>
    <n v="12"/>
    <n v="156.63"/>
    <n v="146.5"/>
    <n v="1.06"/>
    <x v="11"/>
    <x v="11"/>
  </r>
  <r>
    <x v="45"/>
    <x v="0"/>
    <n v="12"/>
    <n v="12.34"/>
    <n v="75.5"/>
    <n v="0.16"/>
    <x v="11"/>
    <x v="11"/>
  </r>
  <r>
    <x v="46"/>
    <x v="0"/>
    <n v="12"/>
    <n v="5.08"/>
    <n v="24.5"/>
    <n v="0.2"/>
    <x v="11"/>
    <x v="11"/>
  </r>
  <r>
    <x v="47"/>
    <x v="0"/>
    <n v="12"/>
    <n v="187.29"/>
    <n v="151"/>
    <n v="1.24"/>
    <x v="11"/>
    <x v="11"/>
  </r>
  <r>
    <x v="48"/>
    <x v="0"/>
    <n v="12"/>
    <n v="88.09"/>
    <n v="121"/>
    <n v="0.72"/>
    <x v="11"/>
    <x v="11"/>
  </r>
  <r>
    <x v="49"/>
    <x v="0"/>
    <n v="12"/>
    <n v="42.81"/>
    <n v="75.5"/>
    <n v="0.56000000000000005"/>
    <x v="11"/>
    <x v="11"/>
  </r>
  <r>
    <x v="50"/>
    <x v="0"/>
    <n v="12"/>
    <n v="52.54"/>
    <n v="40"/>
    <n v="1.31"/>
    <x v="11"/>
    <x v="11"/>
  </r>
  <r>
    <x v="51"/>
    <x v="0"/>
    <n v="12"/>
    <n v="22.63"/>
    <n v="45.5"/>
    <n v="0.49"/>
    <x v="11"/>
    <x v="11"/>
  </r>
  <r>
    <x v="52"/>
    <x v="0"/>
    <n v="12"/>
    <n v="10.91"/>
    <n v="45.5"/>
    <n v="0.23"/>
    <x v="11"/>
    <x v="11"/>
  </r>
  <r>
    <x v="66"/>
    <x v="0"/>
    <n v="12"/>
    <n v="12.57"/>
    <n v="20"/>
    <n v="0.62"/>
    <x v="11"/>
    <x v="11"/>
  </r>
  <r>
    <x v="53"/>
    <x v="0"/>
    <n v="12"/>
    <n v="8.8000000000000007"/>
    <n v="30"/>
    <n v="0.28999999999999998"/>
    <x v="11"/>
    <x v="11"/>
  </r>
  <r>
    <x v="70"/>
    <x v="0"/>
    <n v="12"/>
    <n v="14.47"/>
    <n v="40"/>
    <n v="0.36"/>
    <x v="11"/>
    <x v="11"/>
  </r>
  <r>
    <x v="55"/>
    <x v="0"/>
    <n v="12"/>
    <n v="19.64"/>
    <n v="115.5"/>
    <n v="0.17"/>
    <x v="11"/>
    <x v="11"/>
  </r>
  <r>
    <x v="56"/>
    <x v="0"/>
    <n v="12"/>
    <n v="20.420000000000002"/>
    <n v="55.5"/>
    <n v="0.36"/>
    <x v="11"/>
    <x v="11"/>
  </r>
  <r>
    <x v="3"/>
    <x v="1"/>
    <n v="8"/>
    <n v="3.41"/>
    <n v="10"/>
    <n v="0.34"/>
    <x v="7"/>
    <x v="7"/>
  </r>
  <r>
    <x v="5"/>
    <x v="1"/>
    <n v="8"/>
    <n v="2.76"/>
    <n v="10"/>
    <n v="0.27"/>
    <x v="7"/>
    <x v="7"/>
  </r>
  <r>
    <x v="8"/>
    <x v="1"/>
    <n v="8"/>
    <n v="6.26"/>
    <n v="9.5"/>
    <n v="0.65"/>
    <x v="7"/>
    <x v="7"/>
  </r>
  <r>
    <x v="10"/>
    <x v="1"/>
    <n v="8"/>
    <n v="5.85"/>
    <n v="30"/>
    <n v="0.19"/>
    <x v="7"/>
    <x v="7"/>
  </r>
  <r>
    <x v="12"/>
    <x v="1"/>
    <n v="8"/>
    <n v="0.12"/>
    <n v="10"/>
    <n v="0.01"/>
    <x v="7"/>
    <x v="7"/>
  </r>
  <r>
    <x v="61"/>
    <x v="1"/>
    <n v="8"/>
    <n v="157.83000000000001"/>
    <n v="164.5"/>
    <n v="0.95"/>
    <x v="7"/>
    <x v="7"/>
  </r>
  <r>
    <x v="15"/>
    <x v="1"/>
    <n v="8"/>
    <n v="60.8"/>
    <n v="136.5"/>
    <n v="0.44"/>
    <x v="7"/>
    <x v="7"/>
  </r>
  <r>
    <x v="16"/>
    <x v="1"/>
    <n v="8"/>
    <n v="1.73"/>
    <n v="10"/>
    <n v="0.17"/>
    <x v="7"/>
    <x v="7"/>
  </r>
  <r>
    <x v="17"/>
    <x v="1"/>
    <n v="8"/>
    <n v="34.409999999999997"/>
    <n v="65.5"/>
    <n v="0.52"/>
    <x v="7"/>
    <x v="7"/>
  </r>
  <r>
    <x v="62"/>
    <x v="1"/>
    <n v="8"/>
    <n v="75.91"/>
    <n v="153.5"/>
    <n v="0.49"/>
    <x v="7"/>
    <x v="7"/>
  </r>
  <r>
    <x v="20"/>
    <x v="1"/>
    <n v="8"/>
    <n v="31.63"/>
    <n v="111"/>
    <n v="0.28000000000000003"/>
    <x v="7"/>
    <x v="7"/>
  </r>
  <r>
    <x v="23"/>
    <x v="1"/>
    <n v="8"/>
    <n v="17.21"/>
    <n v="75.5"/>
    <n v="0.22"/>
    <x v="7"/>
    <x v="7"/>
  </r>
  <r>
    <x v="26"/>
    <x v="1"/>
    <n v="8"/>
    <n v="0.68"/>
    <n v="10"/>
    <n v="0.06"/>
    <x v="7"/>
    <x v="7"/>
  </r>
  <r>
    <x v="63"/>
    <x v="1"/>
    <n v="8"/>
    <n v="1417.4"/>
    <n v="183.5"/>
    <n v="7.72"/>
    <x v="7"/>
    <x v="7"/>
  </r>
  <r>
    <x v="29"/>
    <x v="1"/>
    <n v="8"/>
    <n v="4.32"/>
    <n v="20"/>
    <n v="0.21"/>
    <x v="7"/>
    <x v="7"/>
  </r>
  <r>
    <x v="65"/>
    <x v="1"/>
    <n v="8"/>
    <n v="277.52"/>
    <n v="159"/>
    <n v="1.74"/>
    <x v="7"/>
    <x v="7"/>
  </r>
  <r>
    <x v="35"/>
    <x v="1"/>
    <n v="8"/>
    <n v="148.94999999999999"/>
    <n v="192"/>
    <n v="0.77"/>
    <x v="7"/>
    <x v="7"/>
  </r>
  <r>
    <x v="43"/>
    <x v="1"/>
    <n v="8"/>
    <n v="0.96"/>
    <n v="5.5"/>
    <n v="0.17"/>
    <x v="7"/>
    <x v="7"/>
  </r>
  <r>
    <x v="44"/>
    <x v="1"/>
    <n v="8"/>
    <n v="4.0999999999999996"/>
    <n v="25.5"/>
    <n v="0.16"/>
    <x v="7"/>
    <x v="7"/>
  </r>
  <r>
    <x v="46"/>
    <x v="1"/>
    <n v="8"/>
    <n v="0.52"/>
    <n v="43.5"/>
    <n v="0.01"/>
    <x v="7"/>
    <x v="7"/>
  </r>
  <r>
    <x v="47"/>
    <x v="1"/>
    <n v="8"/>
    <n v="22.87"/>
    <n v="50"/>
    <n v="0.45"/>
    <x v="7"/>
    <x v="7"/>
  </r>
  <r>
    <x v="50"/>
    <x v="1"/>
    <n v="8"/>
    <n v="0.33"/>
    <n v="10"/>
    <n v="0.03"/>
    <x v="7"/>
    <x v="7"/>
  </r>
  <r>
    <x v="61"/>
    <x v="1"/>
    <n v="9"/>
    <n v="36.64"/>
    <n v="38"/>
    <n v="0.96"/>
    <x v="8"/>
    <x v="8"/>
  </r>
  <r>
    <x v="15"/>
    <x v="1"/>
    <n v="9"/>
    <n v="5.83"/>
    <n v="20"/>
    <n v="0.28999999999999998"/>
    <x v="8"/>
    <x v="8"/>
  </r>
  <r>
    <x v="17"/>
    <x v="1"/>
    <n v="9"/>
    <n v="16.25"/>
    <n v="20"/>
    <n v="0.81"/>
    <x v="8"/>
    <x v="8"/>
  </r>
  <r>
    <x v="62"/>
    <x v="1"/>
    <n v="9"/>
    <n v="15.89"/>
    <n v="53"/>
    <n v="0.28999999999999998"/>
    <x v="8"/>
    <x v="8"/>
  </r>
  <r>
    <x v="20"/>
    <x v="1"/>
    <n v="9"/>
    <n v="2.68"/>
    <n v="30"/>
    <n v="0.08"/>
    <x v="8"/>
    <x v="8"/>
  </r>
  <r>
    <x v="23"/>
    <x v="1"/>
    <n v="9"/>
    <n v="18.13"/>
    <n v="30"/>
    <n v="0.6"/>
    <x v="8"/>
    <x v="8"/>
  </r>
  <r>
    <x v="26"/>
    <x v="1"/>
    <n v="9"/>
    <n v="0.21"/>
    <n v="10"/>
    <n v="0.02"/>
    <x v="8"/>
    <x v="8"/>
  </r>
  <r>
    <x v="63"/>
    <x v="1"/>
    <n v="9"/>
    <n v="401.63"/>
    <n v="53"/>
    <n v="7.57"/>
    <x v="8"/>
    <x v="8"/>
  </r>
  <r>
    <x v="65"/>
    <x v="1"/>
    <n v="9"/>
    <n v="72.75"/>
    <n v="43.5"/>
    <n v="1.67"/>
    <x v="8"/>
    <x v="8"/>
  </r>
  <r>
    <x v="35"/>
    <x v="1"/>
    <n v="9"/>
    <n v="56.18"/>
    <n v="55.5"/>
    <n v="1.01"/>
    <x v="8"/>
    <x v="8"/>
  </r>
  <r>
    <x v="36"/>
    <x v="1"/>
    <n v="9"/>
    <n v="1.1499999999999999"/>
    <n v="10"/>
    <n v="0.11"/>
    <x v="8"/>
    <x v="8"/>
  </r>
  <r>
    <x v="43"/>
    <x v="1"/>
    <n v="9"/>
    <n v="0.66"/>
    <n v="15.5"/>
    <n v="0.04"/>
    <x v="8"/>
    <x v="8"/>
  </r>
  <r>
    <x v="46"/>
    <x v="1"/>
    <n v="9"/>
    <n v="0.06"/>
    <n v="11"/>
    <n v="0"/>
    <x v="8"/>
    <x v="8"/>
  </r>
  <r>
    <x v="71"/>
    <x v="2"/>
    <m/>
    <m/>
    <m/>
    <m/>
    <x v="12"/>
    <x v="12"/>
  </r>
</pivotCacheRecords>
</file>

<file path=xl/pivotCache/pivotCacheRecords35.xml><?xml version="1.0" encoding="utf-8"?>
<pivotCacheRecords xmlns="http://schemas.openxmlformats.org/spreadsheetml/2006/main" xmlns:r="http://schemas.openxmlformats.org/officeDocument/2006/relationships" count="15">
  <r>
    <m/>
    <x v="0"/>
    <n v="1"/>
    <n v="146410.5"/>
    <n v="72.5"/>
    <n v="0"/>
    <x v="0"/>
    <x v="0"/>
  </r>
  <r>
    <m/>
    <x v="0"/>
    <n v="2"/>
    <n v="186313.5"/>
    <n v="270"/>
    <n v="0"/>
    <x v="1"/>
    <x v="1"/>
  </r>
  <r>
    <m/>
    <x v="0"/>
    <n v="3"/>
    <n v="78333"/>
    <n v="57.5"/>
    <n v="0"/>
    <x v="2"/>
    <x v="2"/>
  </r>
  <r>
    <m/>
    <x v="0"/>
    <n v="4"/>
    <n v="23355"/>
    <n v="65"/>
    <n v="0"/>
    <x v="3"/>
    <x v="3"/>
  </r>
  <r>
    <m/>
    <x v="0"/>
    <n v="5"/>
    <n v="23235"/>
    <n v="85"/>
    <n v="0"/>
    <x v="4"/>
    <x v="4"/>
  </r>
  <r>
    <m/>
    <x v="0"/>
    <n v="6"/>
    <n v="17290.5"/>
    <n v="2.5"/>
    <n v="0"/>
    <x v="5"/>
    <x v="5"/>
  </r>
  <r>
    <m/>
    <x v="0"/>
    <n v="7"/>
    <n v="10249.5"/>
    <n v="0"/>
    <n v="0"/>
    <x v="6"/>
    <x v="6"/>
  </r>
  <r>
    <m/>
    <x v="0"/>
    <n v="8"/>
    <n v="121896"/>
    <n v="105"/>
    <n v="0"/>
    <x v="7"/>
    <x v="7"/>
  </r>
  <r>
    <m/>
    <x v="0"/>
    <n v="9"/>
    <n v="209878.5"/>
    <n v="835"/>
    <n v="0"/>
    <x v="8"/>
    <x v="8"/>
  </r>
  <r>
    <m/>
    <x v="0"/>
    <n v="10"/>
    <n v="161917.5"/>
    <n v="212.5"/>
    <n v="0"/>
    <x v="9"/>
    <x v="9"/>
  </r>
  <r>
    <m/>
    <x v="0"/>
    <n v="11"/>
    <n v="13760703"/>
    <n v="27.5"/>
    <n v="0"/>
    <x v="10"/>
    <x v="10"/>
  </r>
  <r>
    <m/>
    <x v="0"/>
    <n v="12"/>
    <n v="130635"/>
    <n v="15"/>
    <n v="0"/>
    <x v="11"/>
    <x v="11"/>
  </r>
  <r>
    <m/>
    <x v="1"/>
    <n v="8"/>
    <n v="7048.5"/>
    <n v="0"/>
    <n v="0"/>
    <x v="7"/>
    <x v="7"/>
  </r>
  <r>
    <m/>
    <x v="1"/>
    <n v="9"/>
    <n v="5113.5"/>
    <n v="0"/>
    <n v="0"/>
    <x v="8"/>
    <x v="8"/>
  </r>
  <r>
    <m/>
    <x v="2"/>
    <m/>
    <m/>
    <m/>
    <m/>
    <x v="12"/>
    <x v="12"/>
  </r>
</pivotCacheRecords>
</file>

<file path=xl/pivotCache/pivotCacheRecords36.xml><?xml version="1.0" encoding="utf-8"?>
<pivotCacheRecords xmlns="http://schemas.openxmlformats.org/spreadsheetml/2006/main" xmlns:r="http://schemas.openxmlformats.org/officeDocument/2006/relationships" count="15">
  <r>
    <m/>
    <x v="0"/>
    <n v="1"/>
    <x v="0"/>
    <x v="0"/>
    <n v="4.8099999999999996"/>
  </r>
  <r>
    <m/>
    <x v="0"/>
    <n v="2"/>
    <x v="1"/>
    <x v="1"/>
    <n v="4.1100000000000003"/>
  </r>
  <r>
    <m/>
    <x v="0"/>
    <n v="3"/>
    <x v="2"/>
    <x v="2"/>
    <n v="6.24"/>
  </r>
  <r>
    <m/>
    <x v="0"/>
    <n v="4"/>
    <x v="3"/>
    <x v="3"/>
    <n v="21.03"/>
  </r>
  <r>
    <m/>
    <x v="0"/>
    <n v="5"/>
    <x v="4"/>
    <x v="4"/>
    <n v="12.83"/>
  </r>
  <r>
    <m/>
    <x v="0"/>
    <n v="6"/>
    <x v="5"/>
    <x v="5"/>
    <n v="8.1199999999999992"/>
  </r>
  <r>
    <m/>
    <x v="0"/>
    <n v="7"/>
    <x v="6"/>
    <x v="6"/>
    <n v="3.37"/>
  </r>
  <r>
    <m/>
    <x v="0"/>
    <n v="8"/>
    <x v="7"/>
    <x v="7"/>
    <n v="10.54"/>
  </r>
  <r>
    <m/>
    <x v="0"/>
    <n v="9"/>
    <x v="8"/>
    <x v="8"/>
    <n v="8.51"/>
  </r>
  <r>
    <m/>
    <x v="0"/>
    <n v="10"/>
    <x v="9"/>
    <x v="9"/>
    <n v="6.66"/>
  </r>
  <r>
    <m/>
    <x v="0"/>
    <n v="11"/>
    <x v="10"/>
    <x v="10"/>
    <n v="5.49"/>
  </r>
  <r>
    <m/>
    <x v="0"/>
    <n v="12"/>
    <x v="11"/>
    <x v="11"/>
    <n v="5.73"/>
  </r>
  <r>
    <m/>
    <x v="1"/>
    <n v="8"/>
    <x v="7"/>
    <x v="7"/>
    <n v="14.55"/>
  </r>
  <r>
    <m/>
    <x v="1"/>
    <n v="9"/>
    <x v="8"/>
    <x v="8"/>
    <n v="19.579999999999998"/>
  </r>
  <r>
    <m/>
    <x v="2"/>
    <m/>
    <x v="12"/>
    <x v="12"/>
    <m/>
  </r>
</pivotCacheRecords>
</file>

<file path=xl/pivotCache/pivotCacheRecords37.xml><?xml version="1.0" encoding="utf-8"?>
<pivotCacheRecords xmlns="http://schemas.openxmlformats.org/spreadsheetml/2006/main" xmlns:r="http://schemas.openxmlformats.org/officeDocument/2006/relationships" count="30">
  <r>
    <x v="0"/>
    <s v="10"/>
    <x v="0"/>
    <n v="0.04"/>
    <m/>
    <x v="0"/>
    <x v="0"/>
  </r>
  <r>
    <x v="1"/>
    <s v="1"/>
    <x v="1"/>
    <n v="358.92"/>
    <m/>
    <x v="1"/>
    <x v="1"/>
  </r>
  <r>
    <x v="1"/>
    <s v="2"/>
    <x v="2"/>
    <n v="76.239999999999995"/>
    <m/>
    <x v="2"/>
    <x v="2"/>
  </r>
  <r>
    <x v="1"/>
    <s v="2"/>
    <x v="1"/>
    <n v="1432.64"/>
    <m/>
    <x v="2"/>
    <x v="2"/>
  </r>
  <r>
    <x v="1"/>
    <s v="2"/>
    <x v="3"/>
    <n v="261.13"/>
    <m/>
    <x v="2"/>
    <x v="2"/>
  </r>
  <r>
    <x v="1"/>
    <s v="3"/>
    <x v="1"/>
    <n v="451.37"/>
    <m/>
    <x v="3"/>
    <x v="3"/>
  </r>
  <r>
    <x v="1"/>
    <s v="3"/>
    <x v="3"/>
    <n v="117.89"/>
    <m/>
    <x v="3"/>
    <x v="3"/>
  </r>
  <r>
    <x v="1"/>
    <s v="4"/>
    <x v="1"/>
    <n v="3405.11"/>
    <m/>
    <x v="4"/>
    <x v="4"/>
  </r>
  <r>
    <x v="1"/>
    <s v="5"/>
    <x v="1"/>
    <n v="307.18"/>
    <m/>
    <x v="5"/>
    <x v="5"/>
  </r>
  <r>
    <x v="1"/>
    <s v="6"/>
    <x v="1"/>
    <n v="278.08999999999997"/>
    <m/>
    <x v="6"/>
    <x v="6"/>
  </r>
  <r>
    <x v="1"/>
    <s v="8"/>
    <x v="4"/>
    <n v="32.46"/>
    <m/>
    <x v="7"/>
    <x v="7"/>
  </r>
  <r>
    <x v="1"/>
    <s v="8"/>
    <x v="2"/>
    <n v="0.72"/>
    <m/>
    <x v="7"/>
    <x v="7"/>
  </r>
  <r>
    <x v="1"/>
    <s v="8"/>
    <x v="1"/>
    <n v="154.49"/>
    <m/>
    <x v="7"/>
    <x v="7"/>
  </r>
  <r>
    <x v="1"/>
    <s v="8"/>
    <x v="5"/>
    <n v="32.69"/>
    <m/>
    <x v="7"/>
    <x v="7"/>
  </r>
  <r>
    <x v="1"/>
    <s v="8"/>
    <x v="3"/>
    <n v="1.06"/>
    <m/>
    <x v="7"/>
    <x v="7"/>
  </r>
  <r>
    <x v="1"/>
    <s v="9"/>
    <x v="1"/>
    <n v="20726.61"/>
    <m/>
    <x v="8"/>
    <x v="8"/>
  </r>
  <r>
    <x v="1"/>
    <s v="9"/>
    <x v="3"/>
    <n v="24.99"/>
    <m/>
    <x v="8"/>
    <x v="8"/>
  </r>
  <r>
    <x v="1"/>
    <s v="10"/>
    <x v="1"/>
    <n v="751.34"/>
    <m/>
    <x v="0"/>
    <x v="0"/>
  </r>
  <r>
    <x v="1"/>
    <s v="10"/>
    <x v="6"/>
    <n v="32.19"/>
    <m/>
    <x v="0"/>
    <x v="0"/>
  </r>
  <r>
    <x v="1"/>
    <s v="10"/>
    <x v="5"/>
    <n v="54.62"/>
    <m/>
    <x v="0"/>
    <x v="0"/>
  </r>
  <r>
    <x v="1"/>
    <s v="10"/>
    <x v="3"/>
    <n v="63.68"/>
    <m/>
    <x v="0"/>
    <x v="0"/>
  </r>
  <r>
    <x v="1"/>
    <s v="11"/>
    <x v="1"/>
    <n v="311.95999999999998"/>
    <m/>
    <x v="9"/>
    <x v="9"/>
  </r>
  <r>
    <x v="1"/>
    <s v="11"/>
    <x v="3"/>
    <n v="5.2"/>
    <m/>
    <x v="9"/>
    <x v="9"/>
  </r>
  <r>
    <x v="1"/>
    <s v="12"/>
    <x v="1"/>
    <n v="320.92"/>
    <m/>
    <x v="10"/>
    <x v="10"/>
  </r>
  <r>
    <x v="2"/>
    <m/>
    <x v="7"/>
    <m/>
    <m/>
    <x v="11"/>
    <x v="11"/>
  </r>
  <r>
    <x v="2"/>
    <m/>
    <x v="7"/>
    <m/>
    <m/>
    <x v="11"/>
    <x v="11"/>
  </r>
  <r>
    <x v="2"/>
    <m/>
    <x v="7"/>
    <m/>
    <m/>
    <x v="11"/>
    <x v="11"/>
  </r>
  <r>
    <x v="2"/>
    <m/>
    <x v="7"/>
    <m/>
    <m/>
    <x v="11"/>
    <x v="11"/>
  </r>
  <r>
    <x v="2"/>
    <m/>
    <x v="7"/>
    <m/>
    <m/>
    <x v="11"/>
    <x v="11"/>
  </r>
  <r>
    <x v="2"/>
    <m/>
    <x v="7"/>
    <m/>
    <m/>
    <x v="11"/>
    <x v="11"/>
  </r>
</pivotCacheRecords>
</file>

<file path=xl/pivotCache/pivotCacheRecords38.xml><?xml version="1.0" encoding="utf-8"?>
<pivotCacheRecords xmlns="http://schemas.openxmlformats.org/spreadsheetml/2006/main" xmlns:r="http://schemas.openxmlformats.org/officeDocument/2006/relationships" count="30">
  <r>
    <x v="0"/>
    <s v="10"/>
    <x v="0"/>
    <n v="0.04"/>
    <n v="1"/>
    <x v="0"/>
    <x v="0"/>
  </r>
  <r>
    <x v="1"/>
    <s v="1"/>
    <x v="1"/>
    <n v="113.91"/>
    <n v="6"/>
    <x v="1"/>
    <x v="1"/>
  </r>
  <r>
    <x v="1"/>
    <s v="1"/>
    <x v="2"/>
    <n v="200.92"/>
    <n v="20"/>
    <x v="1"/>
    <x v="1"/>
  </r>
  <r>
    <x v="1"/>
    <s v="1"/>
    <x v="3"/>
    <n v="44.09"/>
    <n v="3"/>
    <x v="1"/>
    <x v="1"/>
  </r>
  <r>
    <x v="1"/>
    <s v="2"/>
    <x v="4"/>
    <n v="196.66"/>
    <n v="52"/>
    <x v="2"/>
    <x v="2"/>
  </r>
  <r>
    <x v="1"/>
    <s v="2"/>
    <x v="1"/>
    <n v="329.93"/>
    <n v="16"/>
    <x v="2"/>
    <x v="2"/>
  </r>
  <r>
    <x v="1"/>
    <s v="2"/>
    <x v="2"/>
    <n v="83.17"/>
    <n v="3"/>
    <x v="2"/>
    <x v="2"/>
  </r>
  <r>
    <x v="1"/>
    <s v="2"/>
    <x v="3"/>
    <n v="1141.75"/>
    <n v="36"/>
    <x v="2"/>
    <x v="2"/>
  </r>
  <r>
    <x v="1"/>
    <s v="2"/>
    <x v="5"/>
    <n v="18.5"/>
    <n v="1"/>
    <x v="2"/>
    <x v="2"/>
  </r>
  <r>
    <x v="1"/>
    <s v="3"/>
    <x v="1"/>
    <n v="451.37"/>
    <n v="17"/>
    <x v="3"/>
    <x v="3"/>
  </r>
  <r>
    <x v="1"/>
    <s v="3"/>
    <x v="3"/>
    <n v="117.89"/>
    <n v="6"/>
    <x v="3"/>
    <x v="3"/>
  </r>
  <r>
    <x v="1"/>
    <s v="4"/>
    <x v="1"/>
    <n v="284.02999999999997"/>
    <n v="6"/>
    <x v="4"/>
    <x v="4"/>
  </r>
  <r>
    <x v="1"/>
    <s v="4"/>
    <x v="3"/>
    <n v="3121.08"/>
    <n v="20"/>
    <x v="4"/>
    <x v="4"/>
  </r>
  <r>
    <x v="1"/>
    <s v="5"/>
    <x v="1"/>
    <n v="260.45"/>
    <n v="30"/>
    <x v="5"/>
    <x v="5"/>
  </r>
  <r>
    <x v="1"/>
    <s v="5"/>
    <x v="3"/>
    <n v="46.73"/>
    <n v="4"/>
    <x v="5"/>
    <x v="5"/>
  </r>
  <r>
    <x v="1"/>
    <s v="6"/>
    <x v="3"/>
    <n v="278.08999999999997"/>
    <n v="1"/>
    <x v="6"/>
    <x v="6"/>
  </r>
  <r>
    <x v="1"/>
    <s v="8"/>
    <x v="1"/>
    <n v="210.42"/>
    <n v="16"/>
    <x v="7"/>
    <x v="7"/>
  </r>
  <r>
    <x v="1"/>
    <s v="8"/>
    <x v="3"/>
    <n v="11"/>
    <n v="27"/>
    <x v="7"/>
    <x v="7"/>
  </r>
  <r>
    <x v="1"/>
    <s v="9"/>
    <x v="1"/>
    <n v="388.71"/>
    <n v="42"/>
    <x v="8"/>
    <x v="8"/>
  </r>
  <r>
    <x v="1"/>
    <s v="9"/>
    <x v="3"/>
    <n v="20362.89"/>
    <n v="294"/>
    <x v="8"/>
    <x v="8"/>
  </r>
  <r>
    <x v="1"/>
    <s v="10"/>
    <x v="4"/>
    <n v="265.18"/>
    <n v="5"/>
    <x v="0"/>
    <x v="0"/>
  </r>
  <r>
    <x v="1"/>
    <s v="10"/>
    <x v="1"/>
    <n v="432.51"/>
    <n v="63"/>
    <x v="0"/>
    <x v="0"/>
  </r>
  <r>
    <x v="1"/>
    <s v="10"/>
    <x v="3"/>
    <n v="204.14"/>
    <n v="17"/>
    <x v="0"/>
    <x v="0"/>
  </r>
  <r>
    <x v="1"/>
    <s v="11"/>
    <x v="6"/>
    <n v="5.2"/>
    <n v="1"/>
    <x v="9"/>
    <x v="9"/>
  </r>
  <r>
    <x v="1"/>
    <s v="11"/>
    <x v="2"/>
    <n v="182.84"/>
    <n v="9"/>
    <x v="9"/>
    <x v="9"/>
  </r>
  <r>
    <x v="1"/>
    <s v="11"/>
    <x v="3"/>
    <n v="129.12"/>
    <n v="1"/>
    <x v="9"/>
    <x v="9"/>
  </r>
  <r>
    <x v="1"/>
    <s v="12"/>
    <x v="1"/>
    <n v="1.51"/>
    <n v="1"/>
    <x v="10"/>
    <x v="10"/>
  </r>
  <r>
    <x v="1"/>
    <s v="12"/>
    <x v="2"/>
    <n v="63.05"/>
    <n v="2"/>
    <x v="10"/>
    <x v="10"/>
  </r>
  <r>
    <x v="1"/>
    <s v="12"/>
    <x v="3"/>
    <n v="256.36"/>
    <n v="3"/>
    <x v="10"/>
    <x v="10"/>
  </r>
  <r>
    <x v="2"/>
    <m/>
    <x v="7"/>
    <m/>
    <m/>
    <x v="11"/>
    <x v="11"/>
  </r>
</pivotCacheRecords>
</file>

<file path=xl/pivotCache/pivotCacheRecords39.xml><?xml version="1.0" encoding="utf-8"?>
<pivotCacheRecords xmlns="http://schemas.openxmlformats.org/spreadsheetml/2006/main" xmlns:r="http://schemas.openxmlformats.org/officeDocument/2006/relationships" count="30">
  <r>
    <x v="0"/>
    <s v="1"/>
    <n v="17814080"/>
    <n v="358.92"/>
    <n v="0"/>
    <x v="0"/>
    <x v="0"/>
  </r>
  <r>
    <x v="0"/>
    <s v="2"/>
    <n v="15491948"/>
    <n v="1770.01"/>
    <n v="0.01"/>
    <x v="1"/>
    <x v="1"/>
  </r>
  <r>
    <x v="0"/>
    <s v="3"/>
    <n v="30904773"/>
    <n v="569.26"/>
    <n v="0"/>
    <x v="2"/>
    <x v="2"/>
  </r>
  <r>
    <x v="0"/>
    <s v="4"/>
    <n v="26460562"/>
    <n v="3405.11"/>
    <n v="0.01"/>
    <x v="3"/>
    <x v="3"/>
  </r>
  <r>
    <x v="0"/>
    <s v="5"/>
    <n v="19456929"/>
    <n v="307.18"/>
    <n v="0"/>
    <x v="4"/>
    <x v="4"/>
  </r>
  <r>
    <x v="0"/>
    <s v="6"/>
    <n v="20813105"/>
    <n v="278.08999999999997"/>
    <n v="0"/>
    <x v="5"/>
    <x v="5"/>
  </r>
  <r>
    <x v="1"/>
    <s v="7"/>
    <n v="0"/>
    <m/>
    <m/>
    <x v="6"/>
    <x v="6"/>
  </r>
  <r>
    <x v="0"/>
    <s v="7"/>
    <n v="32832337"/>
    <m/>
    <m/>
    <x v="6"/>
    <x v="6"/>
  </r>
  <r>
    <x v="0"/>
    <s v="8"/>
    <n v="19818618"/>
    <n v="221.42"/>
    <n v="0"/>
    <x v="7"/>
    <x v="7"/>
  </r>
  <r>
    <x v="2"/>
    <s v="8"/>
    <n v="8157987"/>
    <m/>
    <m/>
    <x v="7"/>
    <x v="7"/>
  </r>
  <r>
    <x v="0"/>
    <s v="9"/>
    <n v="16312359"/>
    <n v="20751.599999999999"/>
    <n v="0.12"/>
    <x v="8"/>
    <x v="8"/>
  </r>
  <r>
    <x v="2"/>
    <s v="9"/>
    <n v="3005700"/>
    <m/>
    <m/>
    <x v="8"/>
    <x v="8"/>
  </r>
  <r>
    <x v="1"/>
    <s v="10"/>
    <n v="1560888"/>
    <n v="0.04"/>
    <n v="0"/>
    <x v="9"/>
    <x v="9"/>
  </r>
  <r>
    <x v="0"/>
    <s v="10"/>
    <n v="18162210"/>
    <n v="901.83"/>
    <n v="0"/>
    <x v="9"/>
    <x v="9"/>
  </r>
  <r>
    <x v="0"/>
    <s v="11"/>
    <n v="36739393"/>
    <n v="317.16000000000003"/>
    <n v="0"/>
    <x v="10"/>
    <x v="10"/>
  </r>
  <r>
    <x v="0"/>
    <s v="12"/>
    <n v="26690365"/>
    <n v="320.92"/>
    <n v="0"/>
    <x v="11"/>
    <x v="11"/>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r>
    <x v="3"/>
    <m/>
    <m/>
    <m/>
    <m/>
    <x v="12"/>
    <x v="12"/>
  </r>
</pivotCacheRecords>
</file>

<file path=xl/pivotCache/pivotCacheRecords40.xml><?xml version="1.0" encoding="utf-8"?>
<pivotCacheRecords xmlns="http://schemas.openxmlformats.org/spreadsheetml/2006/main" xmlns:r="http://schemas.openxmlformats.org/officeDocument/2006/relationships" count="59">
  <r>
    <m/>
    <x v="0"/>
    <n v="12"/>
    <n v="0.05"/>
    <n v="0.1"/>
    <x v="0"/>
    <x v="0"/>
    <n v="200"/>
  </r>
  <r>
    <m/>
    <x v="1"/>
    <n v="10"/>
    <n v="0"/>
    <n v="3.28"/>
    <x v="1"/>
    <x v="0"/>
    <n v="0"/>
  </r>
  <r>
    <m/>
    <x v="2"/>
    <n v="5"/>
    <n v="821.44"/>
    <n v="14.14"/>
    <x v="2"/>
    <x v="0"/>
    <n v="1.72"/>
  </r>
  <r>
    <m/>
    <x v="2"/>
    <n v="7"/>
    <n v="378.08"/>
    <n v="8.5399999999999991"/>
    <x v="3"/>
    <x v="0"/>
    <n v="2.25"/>
  </r>
  <r>
    <m/>
    <x v="2"/>
    <n v="10"/>
    <n v="54.4"/>
    <n v="1.5"/>
    <x v="1"/>
    <x v="0"/>
    <n v="2.75"/>
  </r>
  <r>
    <m/>
    <x v="2"/>
    <n v="12"/>
    <n v="272"/>
    <n v="7.5"/>
    <x v="0"/>
    <x v="0"/>
    <n v="2.75"/>
  </r>
  <r>
    <m/>
    <x v="3"/>
    <n v="1"/>
    <n v="192"/>
    <n v="4.43"/>
    <x v="4"/>
    <x v="1"/>
    <n v="2.2999999999999998"/>
  </r>
  <r>
    <m/>
    <x v="3"/>
    <n v="2"/>
    <n v="628.16"/>
    <n v="12.6"/>
    <x v="5"/>
    <x v="2"/>
    <n v="2"/>
  </r>
  <r>
    <m/>
    <x v="3"/>
    <n v="3"/>
    <n v="1632.8"/>
    <n v="32.659999999999997"/>
    <x v="6"/>
    <x v="3"/>
    <n v="2"/>
  </r>
  <r>
    <m/>
    <x v="3"/>
    <n v="4"/>
    <n v="579.84"/>
    <n v="9.1"/>
    <x v="7"/>
    <x v="4"/>
    <n v="1.56"/>
  </r>
  <r>
    <m/>
    <x v="3"/>
    <n v="5"/>
    <n v="288.32"/>
    <n v="5.96"/>
    <x v="2"/>
    <x v="5"/>
    <n v="2.06"/>
  </r>
  <r>
    <m/>
    <x v="3"/>
    <n v="9"/>
    <n v="41.6"/>
    <n v="2.25"/>
    <x v="8"/>
    <x v="6"/>
    <n v="5.4"/>
  </r>
  <r>
    <m/>
    <x v="3"/>
    <n v="10"/>
    <n v="208"/>
    <n v="3.76"/>
    <x v="1"/>
    <x v="7"/>
    <n v="1.8"/>
  </r>
  <r>
    <m/>
    <x v="3"/>
    <n v="11"/>
    <n v="38.4"/>
    <n v="0.59"/>
    <x v="9"/>
    <x v="8"/>
    <n v="1.53"/>
  </r>
  <r>
    <m/>
    <x v="4"/>
    <n v="3"/>
    <n v="711.36"/>
    <n v="17.48"/>
    <x v="6"/>
    <x v="3"/>
    <n v="2.4500000000000002"/>
  </r>
  <r>
    <m/>
    <x v="4"/>
    <n v="4"/>
    <n v="1611.36"/>
    <n v="28.82"/>
    <x v="7"/>
    <x v="4"/>
    <n v="1.78"/>
  </r>
  <r>
    <m/>
    <x v="4"/>
    <n v="7"/>
    <n v="730.08"/>
    <n v="14.85"/>
    <x v="3"/>
    <x v="9"/>
    <n v="2.0299999999999998"/>
  </r>
  <r>
    <m/>
    <x v="4"/>
    <n v="10"/>
    <n v="1957.76"/>
    <n v="42.12"/>
    <x v="1"/>
    <x v="7"/>
    <n v="2.15"/>
  </r>
  <r>
    <m/>
    <x v="4"/>
    <n v="11"/>
    <n v="1172.03"/>
    <n v="35.619999999999997"/>
    <x v="9"/>
    <x v="8"/>
    <n v="3.03"/>
  </r>
  <r>
    <m/>
    <x v="5"/>
    <n v="1"/>
    <n v="1271.51"/>
    <n v="21.08"/>
    <x v="4"/>
    <x v="1"/>
    <n v="1.65"/>
  </r>
  <r>
    <m/>
    <x v="5"/>
    <n v="2"/>
    <n v="556.66"/>
    <n v="0.91"/>
    <x v="5"/>
    <x v="2"/>
    <n v="0.16"/>
  </r>
  <r>
    <m/>
    <x v="5"/>
    <n v="3"/>
    <n v="1830.66"/>
    <n v="25.18"/>
    <x v="6"/>
    <x v="3"/>
    <n v="1.37"/>
  </r>
  <r>
    <m/>
    <x v="5"/>
    <n v="4"/>
    <n v="719.99"/>
    <n v="3.41"/>
    <x v="7"/>
    <x v="4"/>
    <n v="0.47"/>
  </r>
  <r>
    <m/>
    <x v="5"/>
    <n v="5"/>
    <n v="536.07000000000005"/>
    <n v="14.96"/>
    <x v="2"/>
    <x v="5"/>
    <n v="2.79"/>
  </r>
  <r>
    <m/>
    <x v="5"/>
    <n v="6"/>
    <n v="444.24"/>
    <n v="28.59"/>
    <x v="10"/>
    <x v="10"/>
    <n v="6.43"/>
  </r>
  <r>
    <m/>
    <x v="5"/>
    <n v="7"/>
    <n v="2684.99"/>
    <n v="148.25"/>
    <x v="3"/>
    <x v="9"/>
    <n v="5.52"/>
  </r>
  <r>
    <m/>
    <x v="5"/>
    <n v="8"/>
    <n v="1470.88"/>
    <n v="26.63"/>
    <x v="11"/>
    <x v="11"/>
    <n v="1.81"/>
  </r>
  <r>
    <m/>
    <x v="5"/>
    <n v="9"/>
    <n v="1199.98"/>
    <n v="0.18"/>
    <x v="8"/>
    <x v="6"/>
    <n v="0.01"/>
  </r>
  <r>
    <m/>
    <x v="5"/>
    <n v="10"/>
    <n v="666.66"/>
    <n v="1.71"/>
    <x v="1"/>
    <x v="7"/>
    <n v="0.25"/>
  </r>
  <r>
    <m/>
    <x v="5"/>
    <n v="11"/>
    <n v="609.44000000000005"/>
    <n v="10.43"/>
    <x v="9"/>
    <x v="8"/>
    <n v="1.71"/>
  </r>
  <r>
    <m/>
    <x v="5"/>
    <n v="12"/>
    <n v="562.55999999999995"/>
    <n v="11.3"/>
    <x v="0"/>
    <x v="12"/>
    <n v="2"/>
  </r>
  <r>
    <m/>
    <x v="6"/>
    <n v="1"/>
    <n v="19417.45"/>
    <n v="1063.43"/>
    <x v="4"/>
    <x v="1"/>
    <n v="5.47"/>
  </r>
  <r>
    <m/>
    <x v="6"/>
    <n v="2"/>
    <n v="14882.01"/>
    <n v="290.64999999999998"/>
    <x v="5"/>
    <x v="2"/>
    <n v="1.95"/>
  </r>
  <r>
    <m/>
    <x v="6"/>
    <n v="3"/>
    <n v="2017.78"/>
    <n v="219.28"/>
    <x v="6"/>
    <x v="3"/>
    <n v="10.86"/>
  </r>
  <r>
    <m/>
    <x v="6"/>
    <n v="4"/>
    <n v="2168.65"/>
    <n v="259.75"/>
    <x v="7"/>
    <x v="4"/>
    <n v="11.97"/>
  </r>
  <r>
    <m/>
    <x v="6"/>
    <n v="5"/>
    <n v="972.55"/>
    <n v="136.09"/>
    <x v="2"/>
    <x v="5"/>
    <n v="13.99"/>
  </r>
  <r>
    <m/>
    <x v="6"/>
    <n v="6"/>
    <n v="2684.11"/>
    <n v="151.81"/>
    <x v="10"/>
    <x v="10"/>
    <n v="5.65"/>
  </r>
  <r>
    <m/>
    <x v="6"/>
    <n v="7"/>
    <n v="1604.29"/>
    <n v="55.57"/>
    <x v="3"/>
    <x v="9"/>
    <n v="3.46"/>
  </r>
  <r>
    <m/>
    <x v="6"/>
    <n v="8"/>
    <n v="5773.7"/>
    <n v="1401.51"/>
    <x v="11"/>
    <x v="11"/>
    <n v="24.27"/>
  </r>
  <r>
    <m/>
    <x v="6"/>
    <n v="9"/>
    <n v="3553.52"/>
    <n v="1343.08"/>
    <x v="8"/>
    <x v="6"/>
    <n v="37.79"/>
  </r>
  <r>
    <m/>
    <x v="6"/>
    <n v="10"/>
    <n v="5325.81"/>
    <n v="823.62"/>
    <x v="1"/>
    <x v="7"/>
    <n v="15.46"/>
  </r>
  <r>
    <m/>
    <x v="6"/>
    <n v="11"/>
    <n v="4401.82"/>
    <n v="559.84"/>
    <x v="9"/>
    <x v="8"/>
    <n v="12.71"/>
  </r>
  <r>
    <m/>
    <x v="6"/>
    <n v="12"/>
    <n v="5807.86"/>
    <n v="320.55"/>
    <x v="0"/>
    <x v="12"/>
    <n v="5.51"/>
  </r>
  <r>
    <m/>
    <x v="7"/>
    <n v="1"/>
    <n v="2465.9299999999998"/>
    <n v="14.12"/>
    <x v="4"/>
    <x v="1"/>
    <n v="0.56999999999999995"/>
  </r>
  <r>
    <m/>
    <x v="7"/>
    <n v="2"/>
    <n v="2753.21"/>
    <n v="28.74"/>
    <x v="5"/>
    <x v="2"/>
    <n v="1.04"/>
  </r>
  <r>
    <m/>
    <x v="7"/>
    <n v="3"/>
    <n v="1749.98"/>
    <n v="15.95"/>
    <x v="6"/>
    <x v="3"/>
    <n v="0.91"/>
  </r>
  <r>
    <m/>
    <x v="7"/>
    <n v="5"/>
    <n v="199.99"/>
    <n v="0.98"/>
    <x v="2"/>
    <x v="5"/>
    <n v="0.49"/>
  </r>
  <r>
    <m/>
    <x v="7"/>
    <n v="6"/>
    <n v="3333.3"/>
    <n v="0.43"/>
    <x v="10"/>
    <x v="10"/>
    <n v="0.01"/>
  </r>
  <r>
    <m/>
    <x v="7"/>
    <n v="8"/>
    <n v="1982.89"/>
    <n v="47.02"/>
    <x v="11"/>
    <x v="11"/>
    <n v="2.37"/>
  </r>
  <r>
    <m/>
    <x v="7"/>
    <n v="9"/>
    <n v="605.25"/>
    <n v="63.5"/>
    <x v="8"/>
    <x v="6"/>
    <n v="10.49"/>
  </r>
  <r>
    <m/>
    <x v="7"/>
    <n v="10"/>
    <n v="2062.98"/>
    <n v="68.349999999999994"/>
    <x v="1"/>
    <x v="7"/>
    <n v="3.31"/>
  </r>
  <r>
    <m/>
    <x v="7"/>
    <n v="11"/>
    <n v="1677.55"/>
    <n v="23.91"/>
    <x v="9"/>
    <x v="8"/>
    <n v="1.42"/>
  </r>
  <r>
    <m/>
    <x v="7"/>
    <n v="12"/>
    <n v="4234.3100000000004"/>
    <n v="33.49"/>
    <x v="0"/>
    <x v="12"/>
    <n v="0.79"/>
  </r>
  <r>
    <m/>
    <x v="8"/>
    <n v="4"/>
    <n v="3333.3"/>
    <n v="0.57999999999999996"/>
    <x v="7"/>
    <x v="0"/>
    <n v="0.01"/>
  </r>
  <r>
    <m/>
    <x v="8"/>
    <n v="5"/>
    <n v="3333.3"/>
    <n v="0.35"/>
    <x v="2"/>
    <x v="0"/>
    <n v="0.01"/>
  </r>
  <r>
    <m/>
    <x v="8"/>
    <n v="6"/>
    <n v="3333.3"/>
    <n v="0.82"/>
    <x v="10"/>
    <x v="0"/>
    <n v="0.02"/>
  </r>
  <r>
    <m/>
    <x v="8"/>
    <n v="8"/>
    <n v="1039.98"/>
    <n v="4.84"/>
    <x v="11"/>
    <x v="0"/>
    <n v="0.46"/>
  </r>
  <r>
    <m/>
    <x v="9"/>
    <n v="5"/>
    <n v="9999.9"/>
    <n v="1.3"/>
    <x v="2"/>
    <x v="0"/>
    <n v="0.01"/>
  </r>
  <r>
    <m/>
    <x v="10"/>
    <m/>
    <m/>
    <m/>
    <x v="12"/>
    <x v="0"/>
    <m/>
  </r>
</pivotCacheRecords>
</file>

<file path=xl/pivotCache/pivotCacheRecords41.xml><?xml version="1.0" encoding="utf-8"?>
<pivotCacheRecords xmlns="http://schemas.openxmlformats.org/spreadsheetml/2006/main" xmlns:r="http://schemas.openxmlformats.org/officeDocument/2006/relationships" count="15">
  <r>
    <x v="0"/>
    <s v="3"/>
    <n v="42068"/>
    <x v="0"/>
    <x v="0"/>
  </r>
  <r>
    <x v="0"/>
    <s v="5"/>
    <n v="42135"/>
    <x v="1"/>
    <x v="1"/>
  </r>
  <r>
    <x v="0"/>
    <s v="8"/>
    <n v="41861"/>
    <x v="2"/>
    <x v="2"/>
  </r>
  <r>
    <x v="1"/>
    <s v="8"/>
    <n v="42234"/>
    <x v="2"/>
    <x v="2"/>
  </r>
  <r>
    <x v="0"/>
    <s v="9"/>
    <n v="41904"/>
    <x v="3"/>
    <x v="3"/>
  </r>
  <r>
    <x v="1"/>
    <s v="9"/>
    <n v="42246"/>
    <x v="3"/>
    <x v="3"/>
  </r>
  <r>
    <x v="0"/>
    <s v="10"/>
    <n v="41926"/>
    <x v="4"/>
    <x v="4"/>
  </r>
  <r>
    <x v="2"/>
    <m/>
    <m/>
    <x v="5"/>
    <x v="5"/>
  </r>
  <r>
    <x v="2"/>
    <m/>
    <m/>
    <x v="5"/>
    <x v="5"/>
  </r>
  <r>
    <x v="2"/>
    <m/>
    <m/>
    <x v="5"/>
    <x v="5"/>
  </r>
  <r>
    <x v="2"/>
    <m/>
    <m/>
    <x v="5"/>
    <x v="5"/>
  </r>
  <r>
    <x v="2"/>
    <m/>
    <m/>
    <x v="5"/>
    <x v="5"/>
  </r>
  <r>
    <x v="2"/>
    <m/>
    <m/>
    <x v="5"/>
    <x v="5"/>
  </r>
  <r>
    <x v="2"/>
    <m/>
    <m/>
    <x v="5"/>
    <x v="5"/>
  </r>
  <r>
    <x v="2"/>
    <m/>
    <m/>
    <x v="5"/>
    <x v="5"/>
  </r>
</pivotCacheRecords>
</file>

<file path=xl/pivotCache/pivotCacheRecords42.xml><?xml version="1.0" encoding="utf-8"?>
<pivotCacheRecords xmlns="http://schemas.openxmlformats.org/spreadsheetml/2006/main" xmlns:r="http://schemas.openxmlformats.org/officeDocument/2006/relationships" count="15">
  <r>
    <x v="0"/>
    <s v="3"/>
    <n v="933.06"/>
    <x v="0"/>
    <x v="0"/>
  </r>
  <r>
    <x v="0"/>
    <s v="5"/>
    <n v="59500"/>
    <x v="1"/>
    <x v="1"/>
  </r>
  <r>
    <x v="0"/>
    <s v="8"/>
    <n v="640"/>
    <x v="2"/>
    <x v="2"/>
  </r>
  <r>
    <x v="1"/>
    <s v="8"/>
    <n v="165.66"/>
    <x v="2"/>
    <x v="2"/>
  </r>
  <r>
    <x v="0"/>
    <s v="9"/>
    <n v="4154"/>
    <x v="3"/>
    <x v="3"/>
  </r>
  <r>
    <x v="1"/>
    <s v="9"/>
    <n v="49637.5"/>
    <x v="3"/>
    <x v="3"/>
  </r>
  <r>
    <x v="0"/>
    <s v="10"/>
    <n v="88.09"/>
    <x v="4"/>
    <x v="4"/>
  </r>
  <r>
    <x v="2"/>
    <m/>
    <m/>
    <x v="5"/>
    <x v="5"/>
  </r>
  <r>
    <x v="2"/>
    <m/>
    <m/>
    <x v="5"/>
    <x v="5"/>
  </r>
  <r>
    <x v="2"/>
    <m/>
    <m/>
    <x v="5"/>
    <x v="5"/>
  </r>
  <r>
    <x v="2"/>
    <m/>
    <m/>
    <x v="5"/>
    <x v="5"/>
  </r>
  <r>
    <x v="2"/>
    <m/>
    <m/>
    <x v="5"/>
    <x v="5"/>
  </r>
  <r>
    <x v="2"/>
    <m/>
    <m/>
    <x v="5"/>
    <x v="5"/>
  </r>
  <r>
    <x v="2"/>
    <m/>
    <m/>
    <x v="5"/>
    <x v="5"/>
  </r>
  <r>
    <x v="2"/>
    <m/>
    <m/>
    <x v="5"/>
    <x v="5"/>
  </r>
</pivotCacheRecords>
</file>

<file path=xl/pivotCache/pivotCacheRecords43.xml><?xml version="1.0" encoding="utf-8"?>
<pivotCacheRecords xmlns="http://schemas.openxmlformats.org/spreadsheetml/2006/main" xmlns:r="http://schemas.openxmlformats.org/officeDocument/2006/relationships" count="20">
  <r>
    <x v="0"/>
    <n v="10"/>
    <m/>
    <m/>
    <m/>
    <n v="100"/>
    <s v="STIAKL"/>
    <x v="0"/>
    <x v="0"/>
    <x v="0"/>
  </r>
  <r>
    <x v="0"/>
    <n v="10"/>
    <m/>
    <m/>
    <m/>
    <n v="100"/>
    <s v="FRUHST"/>
    <x v="0"/>
    <x v="0"/>
    <x v="0"/>
  </r>
  <r>
    <x v="0"/>
    <n v="10"/>
    <m/>
    <m/>
    <m/>
    <n v="100"/>
    <s v="FARHOF"/>
    <x v="0"/>
    <x v="0"/>
    <x v="0"/>
  </r>
  <r>
    <x v="1"/>
    <n v="9"/>
    <m/>
    <m/>
    <m/>
    <n v="100"/>
    <s v="STYCHC"/>
    <x v="0"/>
    <x v="1"/>
    <x v="1"/>
  </r>
  <r>
    <x v="0"/>
    <n v="9"/>
    <m/>
    <m/>
    <m/>
    <n v="100"/>
    <s v="OMCCHC"/>
    <x v="0"/>
    <x v="1"/>
    <x v="1"/>
  </r>
  <r>
    <x v="0"/>
    <n v="9"/>
    <m/>
    <m/>
    <m/>
    <n v="100"/>
    <s v="NZSHRB"/>
    <x v="0"/>
    <x v="1"/>
    <x v="1"/>
  </r>
  <r>
    <x v="0"/>
    <n v="9"/>
    <m/>
    <m/>
    <m/>
    <n v="100"/>
    <s v="BAYGSB"/>
    <x v="0"/>
    <x v="1"/>
    <x v="1"/>
  </r>
  <r>
    <x v="1"/>
    <n v="8"/>
    <m/>
    <m/>
    <m/>
    <n v="100"/>
    <s v="STJACK"/>
    <x v="0"/>
    <x v="2"/>
    <x v="2"/>
  </r>
  <r>
    <x v="1"/>
    <n v="8"/>
    <m/>
    <m/>
    <m/>
    <n v="100"/>
    <s v="CASH"/>
    <x v="0"/>
    <x v="2"/>
    <x v="2"/>
  </r>
  <r>
    <x v="0"/>
    <n v="8"/>
    <m/>
    <m/>
    <m/>
    <n v="100"/>
    <s v="NZSDUN"/>
    <x v="0"/>
    <x v="2"/>
    <x v="2"/>
  </r>
  <r>
    <x v="0"/>
    <n v="8"/>
    <n v="71.430000000000007"/>
    <m/>
    <m/>
    <n v="28.57"/>
    <s v="CASH"/>
    <x v="0"/>
    <x v="2"/>
    <x v="2"/>
  </r>
  <r>
    <x v="0"/>
    <n v="5"/>
    <m/>
    <m/>
    <m/>
    <n v="100"/>
    <s v="WOOSAA"/>
    <x v="0"/>
    <x v="3"/>
    <x v="3"/>
  </r>
  <r>
    <x v="0"/>
    <n v="3"/>
    <n v="100"/>
    <m/>
    <m/>
    <m/>
    <s v="UNIENG"/>
    <x v="0"/>
    <x v="4"/>
    <x v="4"/>
  </r>
  <r>
    <x v="0"/>
    <n v="3"/>
    <m/>
    <m/>
    <m/>
    <n v="100"/>
    <s v="STIKNX"/>
    <x v="0"/>
    <x v="4"/>
    <x v="4"/>
  </r>
  <r>
    <x v="2"/>
    <m/>
    <m/>
    <m/>
    <m/>
    <m/>
    <m/>
    <x v="0"/>
    <x v="5"/>
    <x v="5"/>
  </r>
  <r>
    <x v="2"/>
    <m/>
    <m/>
    <m/>
    <m/>
    <m/>
    <m/>
    <x v="0"/>
    <x v="5"/>
    <x v="5"/>
  </r>
  <r>
    <x v="2"/>
    <m/>
    <m/>
    <m/>
    <m/>
    <m/>
    <m/>
    <x v="0"/>
    <x v="5"/>
    <x v="5"/>
  </r>
  <r>
    <x v="2"/>
    <m/>
    <m/>
    <m/>
    <m/>
    <m/>
    <m/>
    <x v="0"/>
    <x v="5"/>
    <x v="5"/>
  </r>
  <r>
    <x v="2"/>
    <m/>
    <m/>
    <m/>
    <m/>
    <m/>
    <m/>
    <x v="0"/>
    <x v="5"/>
    <x v="5"/>
  </r>
  <r>
    <x v="2"/>
    <m/>
    <m/>
    <m/>
    <m/>
    <m/>
    <m/>
    <x v="0"/>
    <x v="5"/>
    <x v="5"/>
  </r>
</pivotCacheRecords>
</file>

<file path=xl/pivotCache/pivotCacheRecords44.xml><?xml version="1.0" encoding="utf-8"?>
<pivotCacheRecords xmlns="http://schemas.openxmlformats.org/spreadsheetml/2006/main" xmlns:r="http://schemas.openxmlformats.org/officeDocument/2006/relationships" count="31">
  <r>
    <x v="0"/>
    <n v="1"/>
    <n v="33456.199999999997"/>
    <n v="11"/>
    <x v="0"/>
    <x v="0"/>
  </r>
  <r>
    <x v="0"/>
    <n v="2"/>
    <n v="26478.89"/>
    <n v="3"/>
    <x v="1"/>
    <x v="1"/>
  </r>
  <r>
    <x v="0"/>
    <n v="3"/>
    <n v="4540.18"/>
    <n v="3"/>
    <x v="2"/>
    <x v="2"/>
  </r>
  <r>
    <x v="1"/>
    <n v="5"/>
    <n v="2239.7399999999998"/>
    <n v="2"/>
    <x v="3"/>
    <x v="3"/>
  </r>
  <r>
    <x v="0"/>
    <n v="5"/>
    <n v="23342.12"/>
    <n v="11"/>
    <x v="3"/>
    <x v="3"/>
  </r>
  <r>
    <x v="1"/>
    <n v="6"/>
    <n v="677.7"/>
    <n v="2"/>
    <x v="4"/>
    <x v="4"/>
  </r>
  <r>
    <x v="1"/>
    <n v="7"/>
    <n v="49513.47"/>
    <n v="10"/>
    <x v="5"/>
    <x v="5"/>
  </r>
  <r>
    <x v="0"/>
    <n v="8"/>
    <n v="3494.65"/>
    <n v="12"/>
    <x v="6"/>
    <x v="6"/>
  </r>
  <r>
    <x v="0"/>
    <n v="9"/>
    <n v="419068.17"/>
    <n v="103"/>
    <x v="7"/>
    <x v="7"/>
  </r>
  <r>
    <x v="0"/>
    <n v="10"/>
    <n v="261244.39"/>
    <n v="16"/>
    <x v="8"/>
    <x v="8"/>
  </r>
  <r>
    <x v="0"/>
    <n v="11"/>
    <n v="161382.79"/>
    <n v="6"/>
    <x v="9"/>
    <x v="9"/>
  </r>
  <r>
    <x v="0"/>
    <n v="12"/>
    <n v="15684.02"/>
    <n v="2"/>
    <x v="10"/>
    <x v="10"/>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r>
    <x v="2"/>
    <m/>
    <m/>
    <m/>
    <x v="11"/>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7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H3:J30" firstHeaderRow="0" firstDataRow="1" firstDataCol="1"/>
  <pivotFields count="6">
    <pivotField name="Year" axis="axisRow" showAll="0">
      <items count="4">
        <item x="1"/>
        <item x="0"/>
        <item x="2"/>
        <item t="default"/>
      </items>
    </pivotField>
    <pivotField showAll="0" defaultSubtotal="0"/>
    <pivotField dataField="1" showAll="0"/>
    <pivotField dataField="1" showAll="0"/>
    <pivotField name="Month" axis="axisRow" showAll="0">
      <items count="13">
        <item x="0"/>
        <item x="1"/>
        <item x="2"/>
        <item x="3"/>
        <item x="4"/>
        <item x="5"/>
        <item x="6"/>
        <item x="7"/>
        <item x="8"/>
        <item x="9"/>
        <item x="10"/>
        <item h="1" x="11"/>
        <item t="default"/>
      </items>
    </pivotField>
    <pivotField name="Period " axis="axisRow" showAll="0">
      <items count="13">
        <item x="6"/>
        <item x="7"/>
        <item x="8"/>
        <item x="9"/>
        <item x="10"/>
        <item x="0"/>
        <item x="1"/>
        <item x="2"/>
        <item x="3"/>
        <item x="4"/>
        <item x="5"/>
        <item x="11"/>
        <item t="default"/>
      </items>
    </pivotField>
  </pivotFields>
  <rowFields count="3">
    <field x="0"/>
    <field x="5"/>
    <field x="4"/>
  </rowFields>
  <rowItems count="27">
    <i>
      <x/>
    </i>
    <i r="1">
      <x v="8"/>
    </i>
    <i r="2">
      <x v="3"/>
    </i>
    <i r="1">
      <x v="9"/>
    </i>
    <i r="2">
      <x v="4"/>
    </i>
    <i r="1">
      <x v="10"/>
    </i>
    <i r="2">
      <x v="5"/>
    </i>
    <i>
      <x v="1"/>
    </i>
    <i r="1">
      <x/>
    </i>
    <i r="2">
      <x v="6"/>
    </i>
    <i r="1">
      <x v="1"/>
    </i>
    <i r="2">
      <x v="7"/>
    </i>
    <i r="1">
      <x v="2"/>
    </i>
    <i r="2">
      <x v="8"/>
    </i>
    <i r="1">
      <x v="3"/>
    </i>
    <i r="2">
      <x v="9"/>
    </i>
    <i r="1">
      <x v="4"/>
    </i>
    <i r="2">
      <x v="10"/>
    </i>
    <i r="1">
      <x v="5"/>
    </i>
    <i r="2">
      <x/>
    </i>
    <i r="1">
      <x v="6"/>
    </i>
    <i r="2">
      <x v="1"/>
    </i>
    <i r="1">
      <x v="7"/>
    </i>
    <i r="2">
      <x v="2"/>
    </i>
    <i r="1">
      <x v="8"/>
    </i>
    <i r="2">
      <x v="3"/>
    </i>
    <i t="grand">
      <x/>
    </i>
  </rowItems>
  <colFields count="1">
    <field x="-2"/>
  </colFields>
  <colItems count="2">
    <i>
      <x/>
    </i>
    <i i="1">
      <x v="1"/>
    </i>
  </colItems>
  <dataFields count="2">
    <dataField name="Total Open Order $'s" fld="2" baseField="1" baseItem="8" numFmtId="171"/>
    <dataField name="Total Order Lines" fld="3" baseField="4" baseItem="3"/>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0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B3:C29" firstHeaderRow="1" firstDataRow="1" firstDataCol="1"/>
  <pivotFields count="2">
    <pivotField name="CUSTOMER" axis="axisRow" showAll="0" sortType="ascending">
      <items count="60">
        <item x="1"/>
        <item x="2"/>
        <item m="1" x="28"/>
        <item m="1" x="32"/>
        <item m="1" x="31"/>
        <item m="1" x="25"/>
        <item m="1" x="39"/>
        <item m="1" x="57"/>
        <item m="1" x="56"/>
        <item x="3"/>
        <item m="1" x="54"/>
        <item x="4"/>
        <item x="5"/>
        <item x="6"/>
        <item x="7"/>
        <item x="8"/>
        <item m="1" x="51"/>
        <item m="1" x="58"/>
        <item x="9"/>
        <item x="10"/>
        <item x="11"/>
        <item x="12"/>
        <item x="13"/>
        <item m="1" x="44"/>
        <item x="14"/>
        <item x="15"/>
        <item m="1" x="33"/>
        <item x="16"/>
        <item m="1" x="36"/>
        <item x="17"/>
        <item x="18"/>
        <item x="19"/>
        <item x="20"/>
        <item x="21"/>
        <item m="1" x="35"/>
        <item m="1" x="34"/>
        <item m="1" x="27"/>
        <item m="1" x="46"/>
        <item m="1" x="52"/>
        <item m="1" x="49"/>
        <item m="1" x="37"/>
        <item x="22"/>
        <item m="1" x="48"/>
        <item m="1" x="47"/>
        <item m="1" x="50"/>
        <item m="1" x="45"/>
        <item m="1" x="30"/>
        <item m="1" x="42"/>
        <item m="1" x="41"/>
        <item x="23"/>
        <item m="1" x="53"/>
        <item m="1" x="38"/>
        <item x="24"/>
        <item m="1" x="55"/>
        <item m="1" x="40"/>
        <item m="1" x="26"/>
        <item m="1" x="43"/>
        <item m="1" x="29"/>
        <item x="0"/>
        <item t="default"/>
      </items>
    </pivotField>
    <pivotField dataField="1" showAll="0"/>
  </pivotFields>
  <rowFields count="1">
    <field x="0"/>
  </rowFields>
  <rowItems count="26">
    <i>
      <x/>
    </i>
    <i>
      <x v="1"/>
    </i>
    <i>
      <x v="9"/>
    </i>
    <i>
      <x v="11"/>
    </i>
    <i>
      <x v="12"/>
    </i>
    <i>
      <x v="13"/>
    </i>
    <i>
      <x v="14"/>
    </i>
    <i>
      <x v="15"/>
    </i>
    <i>
      <x v="18"/>
    </i>
    <i>
      <x v="19"/>
    </i>
    <i>
      <x v="20"/>
    </i>
    <i>
      <x v="21"/>
    </i>
    <i>
      <x v="22"/>
    </i>
    <i>
      <x v="24"/>
    </i>
    <i>
      <x v="25"/>
    </i>
    <i>
      <x v="27"/>
    </i>
    <i>
      <x v="29"/>
    </i>
    <i>
      <x v="30"/>
    </i>
    <i>
      <x v="31"/>
    </i>
    <i>
      <x v="32"/>
    </i>
    <i>
      <x v="33"/>
    </i>
    <i>
      <x v="41"/>
    </i>
    <i>
      <x v="49"/>
    </i>
    <i>
      <x v="52"/>
    </i>
    <i>
      <x v="58"/>
    </i>
    <i t="grand">
      <x/>
    </i>
  </rowItems>
  <colItems count="1">
    <i/>
  </colItems>
  <dataFields count="1">
    <dataField name="Total Open Order" fld="1" baseField="0" baseItem="0" numFmtId="171"/>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8" cacheId="55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5:S8" firstHeaderRow="1" firstDataRow="1" firstDataCol="1" rowPageCount="1" colPageCount="1"/>
  <pivotFields count="3">
    <pivotField name="Year" axis="axisPage" showAll="0">
      <items count="3">
        <item x="0"/>
        <item x="1"/>
        <item t="default"/>
      </items>
    </pivotField>
    <pivotField axis="axisRow" showAll="0">
      <items count="15">
        <item x="1"/>
        <item x="0"/>
        <item m="1" x="4"/>
        <item m="1" x="6"/>
        <item m="1" x="7"/>
        <item m="1" x="13"/>
        <item m="1" x="3"/>
        <item m="1" x="5"/>
        <item m="1" x="2"/>
        <item m="1" x="10"/>
        <item m="1" x="8"/>
        <item m="1" x="12"/>
        <item m="1" x="11"/>
        <item m="1" x="9"/>
        <item t="default"/>
      </items>
    </pivotField>
    <pivotField dataField="1" showAll="0"/>
  </pivotFields>
  <rowFields count="1">
    <field x="1"/>
  </rowFields>
  <rowItems count="3">
    <i>
      <x/>
    </i>
    <i>
      <x v="1"/>
    </i>
    <i t="grand">
      <x/>
    </i>
  </rowItems>
  <colItems count="1">
    <i/>
  </colItems>
  <pageFields count="1">
    <pageField fld="0" item="0" hier="-1"/>
  </pageFields>
  <dataFields count="1">
    <dataField name="Sales   " fld="2" baseField="1"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6" cacheId="60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rowHeaderCaption="Year">
  <location ref="H3:I29" firstHeaderRow="1" firstDataRow="1" firstDataCol="1"/>
  <pivotFields count="5">
    <pivotField name="Year " axis="axisRow" showAll="0">
      <items count="5">
        <item h="1" x="1"/>
        <item x="0"/>
        <item h="1" x="2"/>
        <item h="1" x="3"/>
        <item t="default"/>
      </items>
    </pivotField>
    <pivotField showAll="0"/>
    <pivotField dataField="1" showAll="0"/>
    <pivotField name="Month" axis="axisRow" showAll="0">
      <items count="14">
        <item x="0"/>
        <item x="1"/>
        <item x="2"/>
        <item x="3"/>
        <item x="4"/>
        <item x="5"/>
        <item x="6"/>
        <item x="7"/>
        <item x="8"/>
        <item x="9"/>
        <item x="10"/>
        <item x="11"/>
        <item x="12"/>
        <item t="default"/>
      </items>
    </pivotField>
    <pivotField name="Period " axis="axisRow" showAll="0">
      <items count="14">
        <item x="7"/>
        <item x="8"/>
        <item x="9"/>
        <item x="10"/>
        <item x="11"/>
        <item x="0"/>
        <item x="1"/>
        <item x="2"/>
        <item x="3"/>
        <item x="4"/>
        <item x="5"/>
        <item x="6"/>
        <item x="12"/>
        <item t="default"/>
      </items>
    </pivotField>
  </pivotFields>
  <rowFields count="3">
    <field x="0"/>
    <field x="4"/>
    <field x="3"/>
  </rowFields>
  <rowItems count="26">
    <i>
      <x v="1"/>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Items count="1">
    <i/>
  </colItems>
  <dataFields count="1">
    <dataField name="Average GM %" fld="2" subtotal="average" baseField="0" baseItem="0" numFmtId="4"/>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1" cacheId="57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3">
  <location ref="BW5:BY7" firstHeaderRow="0" firstDataRow="1" firstDataCol="1" rowPageCount="1" colPageCount="1"/>
  <pivotFields count="4">
    <pivotField axis="axisRow" showAll="0">
      <items count="3">
        <item x="0"/>
        <item h="1" x="1"/>
        <item t="default"/>
      </items>
    </pivotField>
    <pivotField dataField="1" showAll="0"/>
    <pivotField dataField="1" showAll="0"/>
    <pivotField name="Year" axis="axisPage" showAll="0">
      <items count="4">
        <item x="1"/>
        <item x="0"/>
        <item x="2"/>
        <item t="default"/>
      </items>
    </pivotField>
  </pivotFields>
  <rowFields count="1">
    <field x="0"/>
  </rowFields>
  <rowItems count="2">
    <i>
      <x/>
    </i>
    <i t="grand">
      <x/>
    </i>
  </rowItems>
  <colFields count="1">
    <field x="-2"/>
  </colFields>
  <colItems count="2">
    <i>
      <x/>
    </i>
    <i i="1">
      <x v="1"/>
    </i>
  </colItems>
  <pageFields count="1">
    <pageField fld="3" item="1" hier="-1"/>
  </pageFields>
  <dataFields count="2">
    <dataField name="Budget % Achieved" fld="1" baseField="0" baseItem="0" numFmtId="3"/>
    <dataField name="Below Budget %" fld="2" baseField="0" baseItem="0" numFmtId="3"/>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9" cacheId="6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rowHeaderCaption="SIC Code">
  <location ref="M7:N10" firstHeaderRow="1" firstDataRow="1" firstDataCol="1" rowPageCount="3" colPageCount="1"/>
  <pivotFields count="6">
    <pivotField name="Year" axis="axisPage" showAll="0">
      <items count="5">
        <item x="0"/>
        <item x="1"/>
        <item x="2"/>
        <item x="3"/>
        <item t="default"/>
      </items>
    </pivotField>
    <pivotField name="SIC CODE " axis="axisRow" showAll="0" sortType="descending">
      <items count="15">
        <item m="1" x="4"/>
        <item x="0"/>
        <item m="1" x="9"/>
        <item m="1" x="11"/>
        <item m="1" x="12"/>
        <item m="1" x="8"/>
        <item m="1" x="10"/>
        <item m="1" x="2"/>
        <item m="1" x="5"/>
        <item m="1" x="3"/>
        <item m="1" x="13"/>
        <item m="1" x="7"/>
        <item m="1" x="6"/>
        <item x="1"/>
        <item t="default"/>
      </items>
      <autoSortScope>
        <pivotArea dataOnly="0" outline="0" fieldPosition="0">
          <references count="1">
            <reference field="4294967294" count="1" selected="0">
              <x v="0"/>
            </reference>
          </references>
        </pivotArea>
      </autoSortScope>
    </pivotField>
    <pivotField dataField="1" showAll="0"/>
    <pivotField showAll="0"/>
    <pivotField name="Month" axis="axisPage" showAll="0">
      <items count="2">
        <item x="0"/>
        <item t="default"/>
      </items>
    </pivotField>
    <pivotField axis="axisPage" showAll="0">
      <items count="2">
        <item x="0"/>
        <item t="default"/>
      </items>
    </pivotField>
  </pivotFields>
  <rowFields count="1">
    <field x="1"/>
  </rowFields>
  <rowItems count="3">
    <i>
      <x v="1"/>
    </i>
    <i>
      <x v="13"/>
    </i>
    <i t="grand">
      <x/>
    </i>
  </rowItems>
  <colItems count="1">
    <i/>
  </colItems>
  <pageFields count="3">
    <pageField fld="0" hier="-1"/>
    <pageField fld="5" hier="-1"/>
    <pageField fld="4" hier="-1"/>
  </pageFields>
  <dataFields count="1">
    <dataField name="Sun of Sales" fld="2" baseField="1" baseItem="2" numFmtId="171"/>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59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T3:AY29" firstHeaderRow="0" firstDataRow="1" firstDataCol="1"/>
  <pivotFields count="7">
    <pivotField name="Customer Name" axis="axisRow" showAll="0">
      <items count="867">
        <item x="3"/>
        <item x="2"/>
        <item x="4"/>
        <item x="5"/>
        <item x="10"/>
        <item x="22"/>
        <item x="9"/>
        <item x="14"/>
        <item x="12"/>
        <item x="19"/>
        <item x="0"/>
        <item x="8"/>
        <item x="11"/>
        <item x="6"/>
        <item x="7"/>
        <item x="13"/>
        <item x="20"/>
        <item x="21"/>
        <item x="16"/>
        <item x="23"/>
        <item x="17"/>
        <item x="15"/>
        <item x="1"/>
        <item x="18"/>
        <item x="24"/>
        <item m="1" x="216"/>
        <item m="1" x="241"/>
        <item m="1" x="414"/>
        <item m="1" x="128"/>
        <item m="1" x="366"/>
        <item m="1" x="730"/>
        <item m="1" x="51"/>
        <item m="1" x="34"/>
        <item m="1" x="320"/>
        <item m="1" x="32"/>
        <item m="1" x="742"/>
        <item m="1" x="52"/>
        <item m="1" x="859"/>
        <item m="1" x="189"/>
        <item m="1" x="544"/>
        <item m="1" x="548"/>
        <item m="1" x="678"/>
        <item m="1" x="697"/>
        <item m="1" x="408"/>
        <item m="1" x="531"/>
        <item m="1" x="628"/>
        <item m="1" x="302"/>
        <item m="1" x="100"/>
        <item m="1" x="676"/>
        <item m="1" x="85"/>
        <item m="1" x="218"/>
        <item m="1" x="322"/>
        <item m="1" x="495"/>
        <item m="1" x="365"/>
        <item m="1" x="31"/>
        <item m="1" x="319"/>
        <item m="1" x="459"/>
        <item m="1" x="277"/>
        <item m="1" x="639"/>
        <item m="1" x="238"/>
        <item m="1" x="837"/>
        <item m="1" x="64"/>
        <item m="1" x="159"/>
        <item m="1" x="640"/>
        <item m="1" x="54"/>
        <item m="1" x="206"/>
        <item m="1" x="780"/>
        <item m="1" x="120"/>
        <item m="1" x="115"/>
        <item m="1" x="845"/>
        <item m="1" x="400"/>
        <item m="1" x="333"/>
        <item m="1" x="146"/>
        <item m="1" x="738"/>
        <item m="1" x="775"/>
        <item m="1" x="476"/>
        <item m="1" x="768"/>
        <item m="1" x="605"/>
        <item m="1" x="687"/>
        <item m="1" x="567"/>
        <item m="1" x="125"/>
        <item m="1" x="160"/>
        <item m="1" x="562"/>
        <item m="1" x="794"/>
        <item m="1" x="352"/>
        <item m="1" x="554"/>
        <item m="1" x="363"/>
        <item m="1" x="696"/>
        <item m="1" x="508"/>
        <item m="1" x="331"/>
        <item m="1" x="214"/>
        <item m="1" x="176"/>
        <item m="1" x="143"/>
        <item m="1" x="38"/>
        <item m="1" x="383"/>
        <item m="1" x="173"/>
        <item m="1" x="656"/>
        <item m="1" x="774"/>
        <item m="1" x="823"/>
        <item m="1" x="840"/>
        <item m="1" x="778"/>
        <item m="1" x="658"/>
        <item m="1" x="849"/>
        <item m="1" x="735"/>
        <item m="1" x="651"/>
        <item m="1" x="771"/>
        <item m="1" x="523"/>
        <item m="1" x="536"/>
        <item m="1" x="833"/>
        <item m="1" x="659"/>
        <item m="1" x="549"/>
        <item m="1" x="713"/>
        <item m="1" x="427"/>
        <item m="1" x="580"/>
        <item m="1" x="506"/>
        <item m="1" x="846"/>
        <item m="1" x="407"/>
        <item m="1" x="169"/>
        <item m="1" x="488"/>
        <item m="1" x="28"/>
        <item m="1" x="282"/>
        <item m="1" x="162"/>
        <item m="1" x="106"/>
        <item m="1" x="194"/>
        <item m="1" x="829"/>
        <item m="1" x="529"/>
        <item m="1" x="822"/>
        <item m="1" x="721"/>
        <item m="1" x="582"/>
        <item m="1" x="435"/>
        <item m="1" x="514"/>
        <item m="1" x="700"/>
        <item m="1" x="633"/>
        <item m="1" x="223"/>
        <item m="1" x="188"/>
        <item m="1" x="265"/>
        <item m="1" x="293"/>
        <item m="1" x="411"/>
        <item m="1" x="610"/>
        <item m="1" x="767"/>
        <item m="1" x="254"/>
        <item m="1" x="759"/>
        <item m="1" x="428"/>
        <item m="1" x="136"/>
        <item m="1" x="197"/>
        <item m="1" x="617"/>
        <item m="1" x="357"/>
        <item m="1" x="490"/>
        <item m="1" x="783"/>
        <item m="1" x="405"/>
        <item m="1" x="576"/>
        <item m="1" x="91"/>
        <item m="1" x="348"/>
        <item m="1" x="816"/>
        <item m="1" x="84"/>
        <item m="1" x="203"/>
        <item m="1" x="94"/>
        <item m="1" x="561"/>
        <item m="1" x="629"/>
        <item m="1" x="800"/>
        <item m="1" x="748"/>
        <item m="1" x="568"/>
        <item m="1" x="463"/>
        <item m="1" x="415"/>
        <item m="1" x="239"/>
        <item m="1" x="714"/>
        <item m="1" x="382"/>
        <item m="1" x="92"/>
        <item m="1" x="494"/>
        <item m="1" x="781"/>
        <item m="1" x="569"/>
        <item m="1" x="564"/>
        <item m="1" x="389"/>
        <item m="1" x="842"/>
        <item m="1" x="305"/>
        <item m="1" x="557"/>
        <item m="1" x="810"/>
        <item m="1" x="227"/>
        <item m="1" x="167"/>
        <item m="1" x="35"/>
        <item m="1" x="683"/>
        <item m="1" x="499"/>
        <item m="1" x="674"/>
        <item m="1" x="354"/>
        <item m="1" x="813"/>
        <item m="1" x="195"/>
        <item m="1" x="815"/>
        <item m="1" x="589"/>
        <item m="1" x="291"/>
        <item m="1" x="542"/>
        <item m="1" x="539"/>
        <item m="1" x="597"/>
        <item m="1" x="467"/>
        <item m="1" x="724"/>
        <item m="1" x="127"/>
        <item m="1" x="657"/>
        <item m="1" x="88"/>
        <item m="1" x="49"/>
        <item m="1" x="460"/>
        <item m="1" x="790"/>
        <item m="1" x="668"/>
        <item m="1" x="446"/>
        <item m="1" x="864"/>
        <item m="1" x="827"/>
        <item m="1" x="776"/>
        <item m="1" x="430"/>
        <item m="1" x="663"/>
        <item m="1" x="649"/>
        <item m="1" x="691"/>
        <item m="1" x="36"/>
        <item m="1" x="571"/>
        <item m="1" x="303"/>
        <item m="1" x="744"/>
        <item m="1" x="732"/>
        <item m="1" x="231"/>
        <item m="1" x="717"/>
        <item m="1" x="704"/>
        <item m="1" x="395"/>
        <item m="1" x="150"/>
        <item m="1" x="102"/>
        <item m="1" x="61"/>
        <item m="1" x="69"/>
        <item m="1" x="388"/>
        <item m="1" x="418"/>
        <item m="1" x="695"/>
        <item m="1" x="236"/>
        <item m="1" x="83"/>
        <item m="1" x="808"/>
        <item m="1" x="698"/>
        <item m="1" x="502"/>
        <item m="1" x="755"/>
        <item m="1" x="361"/>
        <item m="1" x="187"/>
        <item m="1" x="543"/>
        <item m="1" x="62"/>
        <item m="1" x="596"/>
        <item m="1" x="736"/>
        <item m="1" x="392"/>
        <item m="1" x="138"/>
        <item m="1" x="705"/>
        <item m="1" x="518"/>
        <item m="1" x="396"/>
        <item m="1" x="370"/>
        <item m="1" x="134"/>
        <item m="1" x="30"/>
        <item m="1" x="141"/>
        <item m="1" x="725"/>
        <item m="1" x="339"/>
        <item m="1" x="79"/>
        <item m="1" x="439"/>
        <item m="1" x="853"/>
        <item m="1" x="416"/>
        <item m="1" x="785"/>
        <item m="1" x="431"/>
        <item m="1" x="296"/>
        <item m="1" x="627"/>
        <item m="1" x="832"/>
        <item m="1" x="264"/>
        <item m="1" x="854"/>
        <item m="1" x="240"/>
        <item m="1" x="315"/>
        <item m="1" x="475"/>
        <item m="1" x="244"/>
        <item m="1" x="712"/>
        <item m="1" x="624"/>
        <item m="1" x="839"/>
        <item m="1" x="765"/>
        <item m="1" x="393"/>
        <item m="1" x="294"/>
        <item m="1" x="786"/>
        <item m="1" x="101"/>
        <item m="1" x="574"/>
        <item m="1" x="340"/>
        <item m="1" x="289"/>
        <item m="1" x="454"/>
        <item m="1" x="347"/>
        <item m="1" x="307"/>
        <item m="1" x="344"/>
        <item m="1" x="789"/>
        <item m="1" x="530"/>
        <item m="1" x="355"/>
        <item m="1" x="121"/>
        <item m="1" x="423"/>
        <item m="1" x="166"/>
        <item m="1" x="819"/>
        <item m="1" x="811"/>
        <item m="1" x="692"/>
        <item m="1" x="327"/>
        <item m="1" x="26"/>
        <item m="1" x="457"/>
        <item m="1" x="105"/>
        <item m="1" x="78"/>
        <item m="1" x="452"/>
        <item m="1" x="114"/>
        <item m="1" x="679"/>
        <item m="1" x="280"/>
        <item m="1" x="550"/>
        <item m="1" x="718"/>
        <item m="1" x="818"/>
        <item m="1" x="112"/>
        <item m="1" x="325"/>
        <item m="1" x="286"/>
        <item m="1" x="323"/>
        <item m="1" x="645"/>
        <item m="1" x="449"/>
        <item m="1" x="113"/>
        <item m="1" x="653"/>
        <item m="1" x="359"/>
        <item m="1" x="726"/>
        <item m="1" x="301"/>
        <item m="1" x="802"/>
        <item m="1" x="586"/>
        <item m="1" x="458"/>
        <item m="1" x="321"/>
        <item m="1" x="367"/>
        <item m="1" x="202"/>
        <item m="1" x="181"/>
        <item m="1" x="394"/>
        <item m="1" x="701"/>
        <item m="1" x="801"/>
        <item m="1" x="190"/>
        <item m="1" x="334"/>
        <item m="1" x="154"/>
        <item m="1" x="260"/>
        <item m="1" x="448"/>
        <item m="1" x="746"/>
        <item m="1" x="110"/>
        <item m="1" x="622"/>
        <item m="1" x="579"/>
        <item m="1" x="63"/>
        <item m="1" x="453"/>
        <item m="1" x="619"/>
        <item m="1" x="784"/>
        <item m="1" x="27"/>
        <item m="1" x="487"/>
        <item m="1" x="578"/>
        <item m="1" x="650"/>
        <item m="1" x="412"/>
        <item m="1" x="180"/>
        <item m="1" x="715"/>
        <item m="1" x="172"/>
        <item m="1" x="671"/>
        <item m="1" x="642"/>
        <item m="1" x="133"/>
        <item m="1" x="733"/>
        <item m="1" x="111"/>
        <item m="1" x="497"/>
        <item m="1" x="200"/>
        <item m="1" x="171"/>
        <item m="1" x="809"/>
        <item m="1" x="39"/>
        <item m="1" x="207"/>
        <item m="1" x="175"/>
        <item m="1" x="377"/>
        <item m="1" x="590"/>
        <item m="1" x="185"/>
        <item m="1" x="157"/>
        <item m="1" x="373"/>
        <item m="1" x="273"/>
        <item m="1" x="130"/>
        <item m="1" x="429"/>
        <item m="1" x="524"/>
        <item m="1" x="821"/>
        <item m="1" x="285"/>
        <item m="1" x="126"/>
        <item m="1" x="462"/>
        <item m="1" x="70"/>
        <item m="1" x="145"/>
        <item m="1" x="847"/>
        <item m="1" x="375"/>
        <item m="1" x="680"/>
        <item m="1" x="59"/>
        <item m="1" x="592"/>
        <item m="1" x="276"/>
        <item m="1" x="281"/>
        <item m="1" x="720"/>
        <item m="1" x="269"/>
        <item m="1" x="401"/>
        <item m="1" x="345"/>
        <item m="1" x="445"/>
        <item m="1" x="812"/>
        <item m="1" x="440"/>
        <item m="1" x="477"/>
        <item m="1" x="570"/>
        <item m="1" x="479"/>
        <item m="1" x="672"/>
        <item m="1" x="505"/>
        <item m="1" x="468"/>
        <item m="1" x="311"/>
        <item m="1" x="585"/>
        <item m="1" x="317"/>
        <item m="1" x="647"/>
        <item m="1" x="510"/>
        <item m="1" x="155"/>
        <item m="1" x="161"/>
        <item m="1" x="681"/>
        <item m="1" x="598"/>
        <item m="1" x="356"/>
        <item m="1" x="93"/>
        <item m="1" x="677"/>
        <item m="1" x="437"/>
        <item m="1" x="654"/>
        <item m="1" x="850"/>
        <item m="1" x="535"/>
        <item m="1" x="374"/>
        <item m="1" x="381"/>
        <item m="1" x="376"/>
        <item m="1" x="191"/>
        <item m="1" x="547"/>
        <item m="1" x="694"/>
        <item m="1" x="797"/>
        <item m="1" x="752"/>
        <item m="1" x="406"/>
        <item m="1" x="404"/>
        <item m="1" x="644"/>
        <item m="1" x="630"/>
        <item m="1" x="398"/>
        <item m="1" x="761"/>
        <item m="1" x="684"/>
        <item m="1" x="857"/>
        <item m="1" x="504"/>
        <item m="1" x="600"/>
        <item m="1" x="288"/>
        <item m="1" x="860"/>
        <item m="1" x="512"/>
        <item m="1" x="119"/>
        <item m="1" x="483"/>
        <item m="1" x="68"/>
        <item m="1" x="758"/>
        <item m="1" x="606"/>
        <item m="1" x="594"/>
        <item m="1" x="503"/>
        <item m="1" x="314"/>
        <item m="1" x="793"/>
        <item m="1" x="66"/>
        <item m="1" x="861"/>
        <item m="1" x="485"/>
        <item m="1" x="583"/>
        <item m="1" x="792"/>
        <item m="1" x="666"/>
        <item m="1" x="219"/>
        <item m="1" x="469"/>
        <item m="1" x="417"/>
        <item m="1" x="595"/>
        <item m="1" x="45"/>
        <item m="1" x="135"/>
        <item m="1" x="261"/>
        <item m="1" x="664"/>
        <item m="1" x="419"/>
        <item m="1" x="675"/>
        <item m="1" x="43"/>
        <item m="1" x="856"/>
        <item m="1" x="229"/>
        <item m="1" x="519"/>
        <item m="1" x="55"/>
        <item m="1" x="235"/>
        <item m="1" x="73"/>
        <item m="1" x="612"/>
        <item m="1" x="358"/>
        <item m="1" x="670"/>
        <item m="1" x="368"/>
        <item m="1" x="179"/>
        <item m="1" x="80"/>
        <item m="1" x="709"/>
        <item m="1" x="409"/>
        <item m="1" x="343"/>
        <item m="1" x="399"/>
        <item m="1" x="402"/>
        <item m="1" x="552"/>
        <item m="1" x="798"/>
        <item m="1" x="86"/>
        <item m="1" x="247"/>
        <item m="1" x="421"/>
        <item m="1" x="772"/>
        <item m="1" x="661"/>
        <item m="1" x="484"/>
        <item m="1" x="142"/>
        <item m="1" x="623"/>
        <item m="1" x="501"/>
        <item m="1" x="532"/>
        <item m="1" x="353"/>
        <item m="1" x="716"/>
        <item m="1" x="526"/>
        <item m="1" x="89"/>
        <item m="1" x="87"/>
        <item m="1" x="615"/>
        <item m="1" x="204"/>
        <item m="1" x="787"/>
        <item m="1" x="158"/>
        <item m="1" x="387"/>
        <item m="1" x="137"/>
        <item m="1" x="601"/>
        <item m="1" x="156"/>
        <item m="1" x="706"/>
        <item m="1" x="215"/>
        <item m="1" x="442"/>
        <item m="1" x="249"/>
        <item m="1" x="511"/>
        <item m="1" x="330"/>
        <item m="1" x="255"/>
        <item m="1" x="546"/>
        <item m="1" x="848"/>
        <item m="1" x="577"/>
        <item m="1" x="820"/>
        <item m="1" x="830"/>
        <item m="1" x="369"/>
        <item m="1" x="593"/>
        <item m="1" x="309"/>
        <item m="1" x="587"/>
        <item m="1" x="349"/>
        <item m="1" x="221"/>
        <item m="1" x="648"/>
        <item m="1" x="603"/>
        <item m="1" x="328"/>
        <item m="1" x="278"/>
        <item m="1" x="422"/>
        <item m="1" x="489"/>
        <item m="1" x="237"/>
        <item m="1" x="863"/>
        <item m="1" x="655"/>
        <item m="1" x="259"/>
        <item m="1" x="246"/>
        <item m="1" x="682"/>
        <item m="1" x="620"/>
        <item m="1" x="267"/>
        <item m="1" x="556"/>
        <item m="1" x="662"/>
        <item m="1" x="509"/>
        <item m="1" x="140"/>
        <item m="1" x="739"/>
        <item m="1" x="496"/>
        <item m="1" x="473"/>
        <item m="1" x="626"/>
        <item m="1" x="515"/>
        <item m="1" x="641"/>
        <item m="1" x="310"/>
        <item m="1" x="553"/>
        <item m="1" x="635"/>
        <item m="1" x="843"/>
        <item m="1" x="122"/>
        <item m="1" x="56"/>
        <item m="1" x="591"/>
        <item m="1" x="803"/>
        <item m="1" x="773"/>
        <item m="1" x="434"/>
        <item m="1" x="492"/>
        <item m="1" x="500"/>
        <item m="1" x="613"/>
        <item m="1" x="308"/>
        <item m="1" x="537"/>
        <item m="1" x="201"/>
        <item m="1" x="380"/>
        <item m="1" x="450"/>
        <item m="1" x="611"/>
        <item m="1" x="199"/>
        <item m="1" x="299"/>
        <item m="1" x="836"/>
        <item m="1" x="65"/>
        <item m="1" x="559"/>
        <item m="1" x="665"/>
        <item m="1" x="168"/>
        <item m="1" x="522"/>
        <item m="1" x="451"/>
        <item m="1" x="76"/>
        <item m="1" x="410"/>
        <item m="1" x="338"/>
        <item m="1" x="103"/>
        <item m="1" x="447"/>
        <item m="1" x="444"/>
        <item m="1" x="332"/>
        <item m="1" x="250"/>
        <item m="1" x="540"/>
        <item m="1" x="117"/>
        <item m="1" x="275"/>
        <item m="1" x="346"/>
        <item m="1" x="844"/>
        <item m="1" x="728"/>
        <item m="1" x="723"/>
        <item m="1" x="283"/>
        <item m="1" x="636"/>
        <item m="1" x="743"/>
        <item m="1" x="750"/>
        <item m="1" x="364"/>
        <item m="1" x="164"/>
        <item m="1" x="498"/>
        <item m="1" x="646"/>
        <item m="1" x="432"/>
        <item m="1" x="520"/>
        <item m="1" x="362"/>
        <item m="1" x="108"/>
        <item m="1" x="858"/>
        <item m="1" x="397"/>
        <item m="1" x="425"/>
        <item m="1" x="403"/>
        <item m="1" x="212"/>
        <item m="1" x="220"/>
        <item m="1" x="828"/>
        <item m="1" x="304"/>
        <item m="1" x="634"/>
        <item m="1" x="337"/>
        <item m="1" x="438"/>
        <item m="1" x="466"/>
        <item m="1" x="769"/>
        <item m="1" x="342"/>
        <item m="1" x="426"/>
        <item m="1" x="74"/>
        <item m="1" x="608"/>
        <item m="1" x="673"/>
        <item m="1" x="756"/>
        <item m="1" x="224"/>
        <item m="1" x="685"/>
        <item m="1" x="248"/>
        <item m="1" x="41"/>
        <item m="1" x="563"/>
        <item m="1" x="99"/>
        <item m="1" x="538"/>
        <item m="1" x="413"/>
        <item m="1" x="184"/>
        <item m="1" x="703"/>
        <item m="1" x="740"/>
        <item m="1" x="33"/>
        <item m="1" x="575"/>
        <item m="1" x="777"/>
        <item m="1" x="47"/>
        <item m="1" x="817"/>
        <item m="1" x="779"/>
        <item m="1" x="471"/>
        <item m="1" x="262"/>
        <item m="1" x="516"/>
        <item m="1" x="57"/>
        <item m="1" x="306"/>
        <item m="1" x="799"/>
        <item m="1" x="379"/>
        <item m="1" x="855"/>
        <item m="1" x="638"/>
        <item m="1" x="186"/>
        <item m="1" x="652"/>
        <item m="1" x="727"/>
        <item m="1" x="253"/>
        <item m="1" x="118"/>
        <item m="1" x="242"/>
        <item m="1" x="245"/>
        <item m="1" x="478"/>
        <item m="1" x="147"/>
        <item m="1" x="621"/>
        <item m="1" x="420"/>
        <item m="1" x="581"/>
        <item m="1" x="690"/>
        <item m="1" x="669"/>
        <item m="1" x="258"/>
        <item m="1" x="67"/>
        <item m="1" x="737"/>
        <item m="1" x="461"/>
        <item m="1" x="545"/>
        <item m="1" x="804"/>
        <item m="1" x="599"/>
        <item m="1" x="268"/>
        <item m="1" x="211"/>
        <item m="1" x="433"/>
        <item m="1" x="384"/>
        <item m="1" x="360"/>
        <item m="1" x="632"/>
        <item m="1" x="525"/>
        <item m="1" x="42"/>
        <item m="1" x="480"/>
        <item m="1" x="192"/>
        <item m="1" x="104"/>
        <item m="1" x="98"/>
        <item m="1" x="29"/>
        <item m="1" x="266"/>
        <item m="1" x="558"/>
        <item m="1" x="183"/>
        <item m="1" x="284"/>
        <item m="1" x="711"/>
        <item m="1" x="336"/>
        <item m="1" x="234"/>
        <item m="1" x="174"/>
        <item m="1" x="279"/>
        <item m="1" x="602"/>
        <item m="1" x="513"/>
        <item m="1" x="152"/>
        <item m="1" x="232"/>
        <item m="1" x="295"/>
        <item m="1" x="131"/>
        <item m="1" x="751"/>
        <item m="1" x="534"/>
        <item m="1" x="745"/>
        <item m="1" x="329"/>
        <item m="1" x="766"/>
        <item m="1" x="486"/>
        <item m="1" x="441"/>
        <item m="1" x="753"/>
        <item m="1" x="82"/>
        <item m="1" x="533"/>
        <item m="1" x="616"/>
        <item m="1" x="566"/>
        <item m="1" x="193"/>
        <item m="1" x="312"/>
        <item m="1" x="350"/>
        <item m="1" x="796"/>
        <item m="1" x="298"/>
        <item m="1" x="472"/>
        <item m="1" x="46"/>
        <item m="1" x="699"/>
        <item m="1" x="243"/>
        <item m="1" x="225"/>
        <item m="1" x="81"/>
        <item m="1" x="551"/>
        <item m="1" x="436"/>
        <item m="1" x="177"/>
        <item m="1" x="826"/>
        <item m="1" x="151"/>
        <item m="1" x="814"/>
        <item m="1" x="256"/>
        <item m="1" x="385"/>
        <item m="1" x="132"/>
        <item m="1" x="455"/>
        <item m="1" x="149"/>
        <item m="1" x="493"/>
        <item m="1" x="178"/>
        <item m="1" x="318"/>
        <item m="1" x="584"/>
        <item m="1" x="835"/>
        <item m="1" x="210"/>
        <item m="1" x="560"/>
        <item m="1" x="270"/>
        <item m="1" x="474"/>
        <item m="1" x="292"/>
        <item m="1" x="300"/>
        <item m="1" x="129"/>
        <item m="1" x="702"/>
        <item m="1" x="391"/>
        <item m="1" x="660"/>
        <item m="1" x="795"/>
        <item m="1" x="573"/>
        <item m="1" x="806"/>
        <item m="1" x="165"/>
        <item m="1" x="217"/>
        <item m="1" x="689"/>
        <item m="1" x="734"/>
        <item m="1" x="757"/>
        <item m="1" x="491"/>
        <item m="1" x="443"/>
        <item m="1" x="222"/>
        <item m="1" x="196"/>
        <item m="1" x="95"/>
        <item m="1" x="841"/>
        <item m="1" x="313"/>
        <item m="1" x="631"/>
        <item m="1" x="209"/>
        <item m="1" x="607"/>
        <item m="1" x="371"/>
        <item m="1" x="456"/>
        <item m="1" x="71"/>
        <item m="1" x="230"/>
        <item m="1" x="865"/>
        <item m="1" x="722"/>
        <item m="1" x="464"/>
        <item m="1" x="791"/>
        <item m="1" x="770"/>
        <item m="1" x="572"/>
        <item m="1" x="807"/>
        <item m="1" x="625"/>
        <item m="1" x="719"/>
        <item m="1" x="96"/>
        <item m="1" x="50"/>
        <item m="1" x="838"/>
        <item m="1" x="481"/>
        <item m="1" x="707"/>
        <item m="1" x="153"/>
        <item m="1" x="163"/>
        <item m="1" x="77"/>
        <item m="1" x="58"/>
        <item m="1" x="139"/>
        <item m="1" x="614"/>
        <item m="1" x="390"/>
        <item m="1" x="521"/>
        <item m="1" x="517"/>
        <item m="1" x="75"/>
        <item m="1" x="109"/>
        <item m="1" x="465"/>
        <item m="1" x="44"/>
        <item m="1" x="208"/>
        <item m="1" x="693"/>
        <item m="1" x="90"/>
        <item m="1" x="48"/>
        <item m="1" x="263"/>
        <item m="1" x="257"/>
        <item m="1" x="482"/>
        <item m="1" x="205"/>
        <item m="1" x="116"/>
        <item m="1" x="251"/>
        <item m="1" x="470"/>
        <item m="1" x="226"/>
        <item m="1" x="788"/>
        <item m="1" x="148"/>
        <item m="1" x="37"/>
        <item m="1" x="831"/>
        <item m="1" x="604"/>
        <item m="1" x="124"/>
        <item m="1" x="386"/>
        <item m="1" x="123"/>
        <item m="1" x="53"/>
        <item m="1" x="233"/>
        <item m="1" x="271"/>
        <item m="1" x="541"/>
        <item m="1" x="852"/>
        <item m="1" x="763"/>
        <item m="1" x="731"/>
        <item m="1" x="424"/>
        <item m="1" x="287"/>
        <item m="1" x="507"/>
        <item m="1" x="25"/>
        <item m="1" x="528"/>
        <item m="1" x="274"/>
        <item m="1" x="297"/>
        <item m="1" x="609"/>
        <item m="1" x="213"/>
        <item m="1" x="107"/>
        <item m="1" x="747"/>
        <item m="1" x="824"/>
        <item m="1" x="324"/>
        <item m="1" x="326"/>
        <item m="1" x="335"/>
        <item m="1" x="749"/>
        <item m="1" x="643"/>
        <item m="1" x="527"/>
        <item m="1" x="351"/>
        <item m="1" x="762"/>
        <item m="1" x="555"/>
        <item m="1" x="378"/>
        <item m="1" x="825"/>
        <item m="1" x="182"/>
        <item m="1" x="710"/>
        <item m="1" x="60"/>
        <item m="1" x="290"/>
        <item m="1" x="228"/>
        <item m="1" x="764"/>
        <item m="1" x="741"/>
        <item m="1" x="686"/>
        <item m="1" x="754"/>
        <item m="1" x="565"/>
        <item m="1" x="618"/>
        <item m="1" x="637"/>
        <item m="1" x="667"/>
        <item m="1" x="588"/>
        <item m="1" x="834"/>
        <item m="1" x="851"/>
        <item m="1" x="372"/>
        <item m="1" x="341"/>
        <item m="1" x="316"/>
        <item m="1" x="272"/>
        <item m="1" x="252"/>
        <item m="1" x="198"/>
        <item m="1" x="170"/>
        <item m="1" x="144"/>
        <item m="1" x="97"/>
        <item m="1" x="72"/>
        <item m="1" x="40"/>
        <item m="1" x="862"/>
        <item m="1" x="805"/>
        <item m="1" x="782"/>
        <item m="1" x="760"/>
        <item m="1" x="729"/>
        <item m="1" x="708"/>
        <item m="1" x="688"/>
        <item t="default"/>
      </items>
    </pivotField>
    <pivotField dataField="1" showAll="0"/>
    <pivotField dataField="1" showAll="0"/>
    <pivotField dataField="1" showAll="0"/>
    <pivotField dataField="1" showAll="0"/>
    <pivotField dataField="1" showAll="0"/>
    <pivotField showAll="0"/>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5">
    <i>
      <x/>
    </i>
    <i i="1">
      <x v="1"/>
    </i>
    <i i="2">
      <x v="2"/>
    </i>
    <i i="3">
      <x v="3"/>
    </i>
    <i i="4">
      <x v="4"/>
    </i>
  </colItems>
  <dataFields count="5">
    <dataField name="Current Year" fld="1" baseField="0" baseItem="4" numFmtId="3"/>
    <dataField name="Prior Year" fld="2" baseField="0" baseItem="0" numFmtId="3"/>
    <dataField name="Prior Year + 1" fld="3" baseField="0" baseItem="4" numFmtId="3"/>
    <dataField name="Prior Year + 2" fld="4" baseField="0" baseItem="4" numFmtId="3"/>
    <dataField name="Year + 3" fld="5" baseField="0" baseItem="3" numFmtId="3"/>
  </dataFields>
  <chartFormats count="5">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3"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7" cacheId="59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BC5:BE27" firstHeaderRow="0" firstDataRow="1" firstDataCol="1" rowPageCount="1" colPageCount="1"/>
  <pivotFields count="7">
    <pivotField name="Customer Names" axis="axisRow" showAll="0">
      <items count="432">
        <item x="4"/>
        <item x="3"/>
        <item x="5"/>
        <item x="6"/>
        <item x="15"/>
        <item x="10"/>
        <item x="14"/>
        <item x="19"/>
        <item x="17"/>
        <item x="24"/>
        <item x="1"/>
        <item x="13"/>
        <item x="16"/>
        <item x="7"/>
        <item x="12"/>
        <item x="18"/>
        <item x="8"/>
        <item x="9"/>
        <item x="21"/>
        <item x="11"/>
        <item x="22"/>
        <item x="20"/>
        <item x="2"/>
        <item x="23"/>
        <item x="0"/>
        <item m="1" x="163"/>
        <item m="1" x="134"/>
        <item m="1" x="285"/>
        <item m="1" x="401"/>
        <item m="1" x="121"/>
        <item m="1" x="90"/>
        <item m="1" x="404"/>
        <item m="1" x="371"/>
        <item m="1" x="150"/>
        <item m="1" x="298"/>
        <item m="1" x="156"/>
        <item m="1" x="276"/>
        <item m="1" x="274"/>
        <item m="1" x="359"/>
        <item m="1" x="333"/>
        <item m="1" x="234"/>
        <item m="1" x="410"/>
        <item m="1" x="305"/>
        <item m="1" x="331"/>
        <item m="1" x="31"/>
        <item m="1" x="162"/>
        <item m="1" x="223"/>
        <item m="1" x="123"/>
        <item m="1" x="352"/>
        <item m="1" x="208"/>
        <item m="1" x="60"/>
        <item m="1" x="41"/>
        <item m="1" x="348"/>
        <item m="1" x="125"/>
        <item m="1" x="277"/>
        <item m="1" x="300"/>
        <item m="1" x="366"/>
        <item m="1" x="272"/>
        <item m="1" x="206"/>
        <item m="1" x="353"/>
        <item m="1" x="271"/>
        <item m="1" x="72"/>
        <item m="1" x="27"/>
        <item m="1" x="115"/>
        <item m="1" x="50"/>
        <item m="1" x="99"/>
        <item m="1" x="278"/>
        <item m="1" x="157"/>
        <item m="1" x="392"/>
        <item m="1" x="225"/>
        <item m="1" x="420"/>
        <item m="1" x="311"/>
        <item m="1" x="307"/>
        <item m="1" x="63"/>
        <item m="1" x="413"/>
        <item m="1" x="141"/>
        <item m="1" x="426"/>
        <item m="1" x="127"/>
        <item m="1" x="130"/>
        <item m="1" x="309"/>
        <item m="1" x="207"/>
        <item m="1" x="158"/>
        <item m="1" x="154"/>
        <item m="1" x="236"/>
        <item m="1" x="186"/>
        <item m="1" x="183"/>
        <item m="1" x="394"/>
        <item m="1" x="411"/>
        <item m="1" x="68"/>
        <item m="1" x="291"/>
        <item m="1" x="107"/>
        <item m="1" x="89"/>
        <item m="1" x="406"/>
        <item m="1" x="288"/>
        <item m="1" x="402"/>
        <item m="1" x="385"/>
        <item m="1" x="238"/>
        <item m="1" x="62"/>
        <item m="1" x="152"/>
        <item m="1" x="172"/>
        <item m="1" x="429"/>
        <item m="1" x="66"/>
        <item m="1" x="30"/>
        <item m="1" x="228"/>
        <item m="1" x="360"/>
        <item m="1" x="399"/>
        <item m="1" x="296"/>
        <item m="1" x="239"/>
        <item m="1" x="253"/>
        <item m="1" x="170"/>
        <item m="1" x="106"/>
        <item m="1" x="100"/>
        <item m="1" x="408"/>
        <item m="1" x="335"/>
        <item m="1" x="83"/>
        <item m="1" x="139"/>
        <item m="1" x="118"/>
        <item m="1" x="216"/>
        <item m="1" x="171"/>
        <item m="1" x="251"/>
        <item m="1" x="96"/>
        <item m="1" x="357"/>
        <item m="1" x="93"/>
        <item m="1" x="351"/>
        <item m="1" x="71"/>
        <item m="1" x="364"/>
        <item m="1" x="257"/>
        <item m="1" x="201"/>
        <item m="1" x="407"/>
        <item m="1" x="109"/>
        <item m="1" x="269"/>
        <item m="1" x="113"/>
        <item m="1" x="128"/>
        <item m="1" x="78"/>
        <item m="1" x="421"/>
        <item m="1" x="338"/>
        <item m="1" x="39"/>
        <item m="1" x="149"/>
        <item m="1" x="145"/>
        <item m="1" x="184"/>
        <item m="1" x="233"/>
        <item m="1" x="381"/>
        <item m="1" x="224"/>
        <item m="1" x="247"/>
        <item m="1" x="321"/>
        <item m="1" x="262"/>
        <item m="1" x="84"/>
        <item m="1" x="339"/>
        <item m="1" x="301"/>
        <item m="1" x="189"/>
        <item m="1" x="55"/>
        <item m="1" x="336"/>
        <item m="1" x="229"/>
        <item m="1" x="325"/>
        <item m="1" x="423"/>
        <item m="1" x="197"/>
        <item m="1" x="200"/>
        <item m="1" x="198"/>
        <item m="1" x="280"/>
        <item m="1" x="347"/>
        <item m="1" x="398"/>
        <item m="1" x="374"/>
        <item m="1" x="213"/>
        <item m="1" x="212"/>
        <item m="1" x="313"/>
        <item m="1" x="379"/>
        <item m="1" x="350"/>
        <item m="1" x="340"/>
        <item m="1" x="428"/>
        <item m="1" x="192"/>
        <item m="1" x="249"/>
        <item m="1" x="44"/>
        <item m="1" x="215"/>
        <item m="1" x="299"/>
        <item m="1" x="260"/>
        <item m="1" x="295"/>
        <item m="1" x="242"/>
        <item m="1" x="372"/>
        <item m="1" x="219"/>
        <item m="1" x="334"/>
        <item m="1" x="220"/>
        <item m="1" x="250"/>
        <item m="1" x="259"/>
        <item m="1" x="53"/>
        <item m="1" x="354"/>
        <item m="1" x="263"/>
        <item m="1" x="177"/>
        <item m="1" x="36"/>
        <item m="1" x="322"/>
        <item m="1" x="176"/>
        <item m="1" x="221"/>
        <item m="1" x="252"/>
        <item m="1" x="326"/>
        <item m="1" x="138"/>
        <item m="1" x="194"/>
        <item m="1" x="143"/>
        <item m="1" x="330"/>
        <item m="1" x="75"/>
        <item m="1" x="369"/>
        <item m="1" x="256"/>
        <item m="1" x="244"/>
        <item m="1" x="265"/>
        <item m="1" x="319"/>
        <item m="1" x="165"/>
        <item m="1" x="282"/>
        <item m="1" x="316"/>
        <item m="1" x="227"/>
        <item m="1" x="52"/>
        <item m="1" x="273"/>
        <item m="1" x="363"/>
        <item m="1" x="187"/>
        <item m="1" x="159"/>
        <item m="1" x="416"/>
        <item m="1" x="391"/>
        <item m="1" x="332"/>
        <item m="1" x="267"/>
        <item m="1" x="264"/>
        <item m="1" x="61"/>
        <item m="1" x="235"/>
        <item m="1" x="232"/>
        <item m="1" x="275"/>
        <item m="1" x="131"/>
        <item m="1" x="98"/>
        <item m="1" x="185"/>
        <item m="1" x="361"/>
        <item m="1" x="373"/>
        <item m="1" x="161"/>
        <item m="1" x="258"/>
        <item m="1" x="65"/>
        <item m="1" x="209"/>
        <item m="1" x="211"/>
        <item m="1" x="111"/>
        <item m="1" x="116"/>
        <item m="1" x="315"/>
        <item m="1" x="180"/>
        <item m="1" x="230"/>
        <item m="1" x="241"/>
        <item m="1" x="382"/>
        <item m="1" x="182"/>
        <item m="1" x="47"/>
        <item m="1" x="304"/>
        <item m="1" x="119"/>
        <item m="1" x="341"/>
        <item m="1" x="28"/>
        <item m="1" x="34"/>
        <item m="1" x="58"/>
        <item m="1" x="29"/>
        <item m="1" x="35"/>
        <item m="1" x="405"/>
        <item m="1" x="388"/>
        <item m="1" x="266"/>
        <item m="1" x="376"/>
        <item m="1" x="38"/>
        <item m="1" x="164"/>
        <item m="1" x="281"/>
        <item m="1" x="199"/>
        <item m="1" x="427"/>
        <item m="1" x="318"/>
        <item m="1" x="324"/>
        <item m="1" x="246"/>
        <item m="1" x="294"/>
        <item m="1" x="345"/>
        <item m="1" x="137"/>
        <item m="1" x="43"/>
        <item m="1" x="367"/>
        <item m="1" x="279"/>
        <item m="1" x="144"/>
        <item m="1" x="226"/>
        <item m="1" x="203"/>
        <item m="1" x="191"/>
        <item m="1" x="214"/>
        <item m="1" x="270"/>
        <item m="1" x="57"/>
        <item m="1" x="26"/>
        <item m="1" x="286"/>
        <item m="1" x="217"/>
        <item m="1" x="151"/>
        <item m="1" x="81"/>
        <item m="1" x="195"/>
        <item m="1" x="91"/>
        <item m="1" x="314"/>
        <item m="1" x="142"/>
        <item m="1" x="101"/>
        <item m="1" x="188"/>
        <item m="1" x="129"/>
        <item m="1" x="51"/>
        <item m="1" x="403"/>
        <item m="1" x="135"/>
        <item m="1" x="204"/>
        <item m="1" x="237"/>
        <item m="1" x="80"/>
        <item m="1" x="337"/>
        <item m="1" x="168"/>
        <item m="1" x="86"/>
        <item m="1" x="110"/>
        <item m="1" x="287"/>
        <item m="1" x="146"/>
        <item m="1" x="245"/>
        <item m="1" x="160"/>
        <item m="1" x="397"/>
        <item m="1" x="88"/>
        <item m="1" x="114"/>
        <item m="1" x="344"/>
        <item m="1" x="254"/>
        <item m="1" x="231"/>
        <item m="1" x="117"/>
        <item m="1" x="103"/>
        <item m="1" x="418"/>
        <item m="1" x="166"/>
        <item m="1" x="303"/>
        <item m="1" x="45"/>
        <item m="1" x="358"/>
        <item m="1" x="377"/>
        <item m="1" x="312"/>
        <item m="1" x="240"/>
        <item m="1" x="395"/>
        <item m="1" x="383"/>
        <item m="1" x="292"/>
        <item m="1" x="310"/>
        <item m="1" x="248"/>
        <item m="1" x="82"/>
        <item m="1" x="87"/>
        <item m="1" x="49"/>
        <item m="1" x="74"/>
        <item m="1" x="25"/>
        <item m="1" x="306"/>
        <item m="1" x="178"/>
        <item m="1" x="202"/>
        <item m="1" x="42"/>
        <item m="1" x="368"/>
        <item m="1" x="210"/>
        <item m="1" x="419"/>
        <item m="1" x="94"/>
        <item m="1" x="417"/>
        <item m="1" x="70"/>
        <item m="1" x="112"/>
        <item m="1" x="85"/>
        <item m="1" x="386"/>
        <item m="1" x="283"/>
        <item m="1" x="193"/>
        <item m="1" x="323"/>
        <item m="1" x="289"/>
        <item m="1" x="268"/>
        <item m="1" x="349"/>
        <item m="1" x="387"/>
        <item m="1" x="328"/>
        <item m="1" x="95"/>
        <item m="1" x="422"/>
        <item m="1" x="261"/>
        <item m="1" x="290"/>
        <item m="1" x="414"/>
        <item m="1" x="76"/>
        <item m="1" x="32"/>
        <item m="1" x="365"/>
        <item m="1" x="389"/>
        <item m="1" x="329"/>
        <item m="1" x="384"/>
        <item m="1" x="396"/>
        <item m="1" x="48"/>
        <item m="1" x="255"/>
        <item m="1" x="293"/>
        <item m="1" x="169"/>
        <item m="1" x="346"/>
        <item m="1" x="54"/>
        <item m="1" x="140"/>
        <item m="1" x="136"/>
        <item m="1" x="104"/>
        <item m="1" x="108"/>
        <item m="1" x="175"/>
        <item m="1" x="67"/>
        <item m="1" x="132"/>
        <item m="1" x="243"/>
        <item m="1" x="120"/>
        <item m="1" x="393"/>
        <item m="1" x="79"/>
        <item m="1" x="412"/>
        <item m="1" x="302"/>
        <item m="1" x="69"/>
        <item m="1" x="205"/>
        <item m="1" x="124"/>
        <item m="1" x="37"/>
        <item m="1" x="327"/>
        <item m="1" x="190"/>
        <item m="1" x="425"/>
        <item m="1" x="102"/>
        <item m="1" x="222"/>
        <item m="1" x="59"/>
        <item m="1" x="153"/>
        <item m="1" x="148"/>
        <item m="1" x="64"/>
        <item m="1" x="73"/>
        <item m="1" x="173"/>
        <item m="1" x="174"/>
        <item m="1" x="179"/>
        <item m="1" x="320"/>
        <item m="1" x="400"/>
        <item m="1" x="284"/>
        <item m="1" x="409"/>
        <item m="1" x="97"/>
        <item m="1" x="356"/>
        <item m="1" x="40"/>
        <item m="1" x="126"/>
        <item m="1" x="218"/>
        <item m="1" x="424"/>
        <item m="1" x="196"/>
        <item m="1" x="181"/>
        <item m="1" x="167"/>
        <item m="1" x="155"/>
        <item m="1" x="380"/>
        <item m="1" x="375"/>
        <item m="1" x="147"/>
        <item m="1" x="370"/>
        <item m="1" x="133"/>
        <item m="1" x="122"/>
        <item m="1" x="105"/>
        <item m="1" x="92"/>
        <item m="1" x="77"/>
        <item m="1" x="342"/>
        <item m="1" x="56"/>
        <item m="1" x="46"/>
        <item m="1" x="33"/>
        <item m="1" x="430"/>
        <item m="1" x="415"/>
        <item m="1" x="390"/>
        <item m="1" x="378"/>
        <item m="1" x="362"/>
        <item m="1" x="355"/>
        <item m="1" x="343"/>
        <item m="1" x="317"/>
        <item m="1" x="308"/>
        <item m="1" x="297"/>
        <item t="default"/>
      </items>
    </pivotField>
    <pivotField dataField="1" showAll="0"/>
    <pivotField dataField="1" showAll="0"/>
    <pivotField showAll="0"/>
    <pivotField showAll="0"/>
    <pivotField name="Year" axis="axisPage" showAll="0">
      <items count="5">
        <item x="2"/>
        <item x="0"/>
        <item x="1"/>
        <item x="3"/>
        <item t="default"/>
      </items>
    </pivotField>
    <pivotField showAll="0"/>
  </pivotFields>
  <rowFields count="1">
    <field x="0"/>
  </rowFields>
  <rowItems count="22">
    <i>
      <x/>
    </i>
    <i>
      <x v="1"/>
    </i>
    <i>
      <x v="2"/>
    </i>
    <i>
      <x v="3"/>
    </i>
    <i>
      <x v="4"/>
    </i>
    <i>
      <x v="5"/>
    </i>
    <i>
      <x v="6"/>
    </i>
    <i>
      <x v="7"/>
    </i>
    <i>
      <x v="8"/>
    </i>
    <i>
      <x v="10"/>
    </i>
    <i>
      <x v="11"/>
    </i>
    <i>
      <x v="12"/>
    </i>
    <i>
      <x v="13"/>
    </i>
    <i>
      <x v="14"/>
    </i>
    <i>
      <x v="15"/>
    </i>
    <i>
      <x v="16"/>
    </i>
    <i>
      <x v="17"/>
    </i>
    <i>
      <x v="18"/>
    </i>
    <i>
      <x v="19"/>
    </i>
    <i>
      <x v="22"/>
    </i>
    <i>
      <x v="24"/>
    </i>
    <i t="grand">
      <x/>
    </i>
  </rowItems>
  <colFields count="1">
    <field x="-2"/>
  </colFields>
  <colItems count="2">
    <i>
      <x/>
    </i>
    <i i="1">
      <x v="1"/>
    </i>
  </colItems>
  <pageFields count="1">
    <pageField fld="5" item="1" hier="-1"/>
  </pageFields>
  <dataFields count="2">
    <dataField name="Sales" fld="1" baseField="0" baseItem="0" numFmtId="3"/>
    <dataField name="Open Orders" fld="2" baseField="0" baseItem="0" numFmtId="3"/>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7" cacheId="56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5:W8" firstHeaderRow="1" firstDataRow="1" firstDataCol="1" rowPageCount="1" colPageCount="1"/>
  <pivotFields count="3">
    <pivotField name="Year" axis="axisPage" showAll="0">
      <items count="3">
        <item x="0"/>
        <item x="1"/>
        <item t="default"/>
      </items>
    </pivotField>
    <pivotField name="SIC Code" axis="axisRow" showAll="0">
      <items count="10">
        <item x="1"/>
        <item x="0"/>
        <item m="1" x="8"/>
        <item m="1" x="3"/>
        <item m="1" x="5"/>
        <item m="1" x="7"/>
        <item m="1" x="4"/>
        <item m="1" x="6"/>
        <item m="1" x="2"/>
        <item t="default"/>
      </items>
    </pivotField>
    <pivotField dataField="1" showAll="0"/>
  </pivotFields>
  <rowFields count="1">
    <field x="1"/>
  </rowFields>
  <rowItems count="3">
    <i>
      <x/>
    </i>
    <i>
      <x v="1"/>
    </i>
    <i t="grand">
      <x/>
    </i>
  </rowItems>
  <colItems count="1">
    <i/>
  </colItems>
  <pageFields count="1">
    <pageField fld="0" item="0" hier="-1"/>
  </pageFields>
  <dataFields count="1">
    <dataField name="Sales   " fld="2" baseField="1"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5" cacheId="49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8" rowHeaderCaption="Year/Month">
  <location ref="AM3:AO29" firstHeaderRow="0" firstDataRow="1" firstDataCol="1"/>
  <pivotFields count="6">
    <pivotField name="Year" axis="axisRow" showAll="0">
      <items count="6">
        <item h="1" m="1" x="4"/>
        <item h="1" x="2"/>
        <item x="1"/>
        <item h="1" x="3"/>
        <item h="1" x="0"/>
        <item t="default"/>
      </items>
    </pivotField>
    <pivotField showAll="0"/>
    <pivotField dataField="1" showAll="0"/>
    <pivotField dataField="1" showAll="0"/>
    <pivotField name="Month" axis="axisRow" showAll="0">
      <items count="14">
        <item x="8"/>
        <item x="7"/>
        <item x="6"/>
        <item x="5"/>
        <item x="4"/>
        <item x="3"/>
        <item x="2"/>
        <item x="1"/>
        <item x="0"/>
        <item x="11"/>
        <item x="10"/>
        <item x="9"/>
        <item x="12"/>
        <item t="default"/>
      </items>
    </pivotField>
    <pivotField name="Period " axis="axisRow" showAll="0">
      <items count="14">
        <item x="1"/>
        <item x="0"/>
        <item x="11"/>
        <item x="10"/>
        <item x="9"/>
        <item x="8"/>
        <item x="7"/>
        <item x="6"/>
        <item x="5"/>
        <item x="4"/>
        <item x="3"/>
        <item x="2"/>
        <item x="12"/>
        <item t="default"/>
      </items>
    </pivotField>
  </pivotFields>
  <rowFields count="3">
    <field x="0"/>
    <field x="5"/>
    <field x="4"/>
  </rowFields>
  <rowItems count="26">
    <i>
      <x v="2"/>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2">
    <i>
      <x/>
    </i>
    <i i="1">
      <x v="1"/>
    </i>
  </colItems>
  <dataFields count="2">
    <dataField name="Avg $ Invoice" fld="2" baseField="0" baseItem="0" numFmtId="171"/>
    <dataField name="Avg $ per Unit Sold" fld="3" baseField="5" baseItem="4" numFmtId="170"/>
  </dataFields>
  <chartFormats count="2">
    <chartFormat chart="27" format="4" series="1">
      <pivotArea type="data" outline="0" fieldPosition="0">
        <references count="1">
          <reference field="4294967294" count="1" selected="0">
            <x v="0"/>
          </reference>
        </references>
      </pivotArea>
    </chartFormat>
    <chartFormat chart="2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59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G5:AH6" firstHeaderRow="1" firstDataRow="1" firstDataCol="1" rowPageCount="1" colPageCount="1"/>
  <pivotFields count="3">
    <pivotField axis="axisRow" showAll="0">
      <items count="13">
        <item m="1" x="10"/>
        <item m="1" x="4"/>
        <item m="1" x="9"/>
        <item m="1" x="2"/>
        <item m="1" x="11"/>
        <item h="1" x="1"/>
        <item h="1" m="1" x="7"/>
        <item h="1" x="0"/>
        <item h="1" m="1" x="5"/>
        <item h="1" m="1" x="8"/>
        <item h="1" m="1" x="3"/>
        <item h="1" m="1" x="6"/>
        <item t="default"/>
      </items>
    </pivotField>
    <pivotField dataField="1" showAll="0"/>
    <pivotField name="Year" axis="axisPage" showAll="0">
      <items count="5">
        <item x="0"/>
        <item x="1"/>
        <item x="2"/>
        <item x="3"/>
        <item t="default"/>
      </items>
    </pivotField>
  </pivotFields>
  <rowFields count="1">
    <field x="0"/>
  </rowFields>
  <rowItems count="1">
    <i t="grand">
      <x/>
    </i>
  </rowItems>
  <colItems count="1">
    <i/>
  </colItems>
  <pageFields count="1">
    <pageField fld="2" hier="-1"/>
  </pageFields>
  <dataFields count="1">
    <dataField name="Sum of SALES" fld="1" baseField="0" baseItem="0" numFmtId="3"/>
  </dataFields>
  <chartFormats count="7">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0" count="1" selected="0">
            <x v="0"/>
          </reference>
        </references>
      </pivotArea>
    </chartFormat>
    <chartFormat chart="4" format="9">
      <pivotArea type="data" outline="0" fieldPosition="0">
        <references count="2">
          <reference field="4294967294" count="1" selected="0">
            <x v="0"/>
          </reference>
          <reference field="0" count="1" selected="0">
            <x v="1"/>
          </reference>
        </references>
      </pivotArea>
    </chartFormat>
    <chartFormat chart="4" format="10">
      <pivotArea type="data" outline="0" fieldPosition="0">
        <references count="2">
          <reference field="4294967294" count="1" selected="0">
            <x v="0"/>
          </reference>
          <reference field="0" count="1" selected="0">
            <x v="2"/>
          </reference>
        </references>
      </pivotArea>
    </chartFormat>
    <chartFormat chart="4" format="11">
      <pivotArea type="data" outline="0" fieldPosition="0">
        <references count="2">
          <reference field="4294967294" count="1" selected="0">
            <x v="0"/>
          </reference>
          <reference field="0" count="1" selected="0">
            <x v="3"/>
          </reference>
        </references>
      </pivotArea>
    </chartFormat>
    <chartFormat chart="4" format="12">
      <pivotArea type="data" outline="0" fieldPosition="0">
        <references count="2">
          <reference field="4294967294" count="1" selected="0">
            <x v="0"/>
          </reference>
          <reference field="0" count="1" selected="0">
            <x v="4"/>
          </reference>
        </references>
      </pivotArea>
    </chartFormat>
    <chartFormat chart="4" format="13">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3" cacheId="57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CG5:CI7" firstHeaderRow="0" firstDataRow="1" firstDataCol="1" rowPageCount="1" colPageCount="1"/>
  <pivotFields count="4">
    <pivotField axis="axisRow" showAll="0">
      <items count="3">
        <item x="0"/>
        <item m="1" x="1"/>
        <item t="default"/>
      </items>
    </pivotField>
    <pivotField dataField="1" showAll="0"/>
    <pivotField dataField="1" showAll="0"/>
    <pivotField name="Year" axis="axisPage" showAll="0">
      <items count="4">
        <item x="0"/>
        <item m="1" x="1"/>
        <item m="1" x="2"/>
        <item t="default"/>
      </items>
    </pivotField>
  </pivotFields>
  <rowFields count="1">
    <field x="0"/>
  </rowFields>
  <rowItems count="2">
    <i>
      <x/>
    </i>
    <i t="grand">
      <x/>
    </i>
  </rowItems>
  <colFields count="1">
    <field x="-2"/>
  </colFields>
  <colItems count="2">
    <i>
      <x/>
    </i>
    <i i="1">
      <x v="1"/>
    </i>
  </colItems>
  <pageFields count="1">
    <pageField fld="3" hier="-1"/>
  </pageFields>
  <dataFields count="2">
    <dataField name="% of Budget" fld="1" baseField="0" baseItem="0" numFmtId="3"/>
    <dataField name="Below Budget %" fld="2" baseField="0" baseItem="0" numFmtId="3"/>
  </dataField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8" cacheId="54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BM5:BN14" firstHeaderRow="1" firstDataRow="1" firstDataCol="1"/>
  <pivotFields count="4">
    <pivotField name="Product Line" axis="axisRow" showAll="0">
      <items count="18">
        <item x="0"/>
        <item x="1"/>
        <item h="1" x="2"/>
        <item h="1" m="1" x="13"/>
        <item h="1" m="1" x="5"/>
        <item h="1" m="1" x="8"/>
        <item h="1" m="1" x="15"/>
        <item h="1" m="1" x="4"/>
        <item h="1" m="1" x="12"/>
        <item h="1" m="1" x="9"/>
        <item h="1" m="1" x="7"/>
        <item h="1" m="1" x="14"/>
        <item h="1" m="1" x="6"/>
        <item h="1" m="1" x="11"/>
        <item h="1" m="1" x="10"/>
        <item h="1" m="1" x="3"/>
        <item h="1" m="1" x="16"/>
        <item t="default"/>
      </items>
    </pivotField>
    <pivotField showAll="0"/>
    <pivotField name="Year" axis="axisRow" showAll="0">
      <items count="5">
        <item x="0"/>
        <item x="1"/>
        <item x="2"/>
        <item x="3"/>
        <item t="default"/>
      </items>
    </pivotField>
    <pivotField dataField="1" showAll="0"/>
  </pivotFields>
  <rowFields count="2">
    <field x="2"/>
    <field x="0"/>
  </rowFields>
  <rowItems count="9">
    <i>
      <x/>
    </i>
    <i r="1">
      <x/>
    </i>
    <i>
      <x v="1"/>
    </i>
    <i r="1">
      <x/>
    </i>
    <i r="1">
      <x v="1"/>
    </i>
    <i>
      <x v="2"/>
    </i>
    <i r="1">
      <x/>
    </i>
    <i r="1">
      <x v="1"/>
    </i>
    <i t="grand">
      <x/>
    </i>
  </rowItems>
  <colItems count="1">
    <i/>
  </colItems>
  <dataFields count="1">
    <dataField name="Avg GM %" fld="3" baseField="0" baseItem="0" numFmtId="4"/>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8" cacheId="58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BI5:BJ8" firstHeaderRow="1" firstDataRow="1" firstDataCol="1" rowPageCount="1" colPageCount="1"/>
  <pivotFields count="4">
    <pivotField axis="axisRow" showAll="0">
      <items count="18">
        <item x="0"/>
        <item x="1"/>
        <item h="1" x="2"/>
        <item h="1" m="1" x="13"/>
        <item h="1" m="1" x="5"/>
        <item h="1" m="1" x="8"/>
        <item h="1" m="1" x="15"/>
        <item h="1" m="1" x="4"/>
        <item h="1" m="1" x="12"/>
        <item h="1" m="1" x="9"/>
        <item h="1" m="1" x="7"/>
        <item h="1" m="1" x="14"/>
        <item h="1" m="1" x="6"/>
        <item h="1" m="1" x="11"/>
        <item h="1" m="1" x="10"/>
        <item h="1" m="1" x="3"/>
        <item h="1" m="1" x="16"/>
        <item t="default"/>
      </items>
    </pivotField>
    <pivotField dataField="1" showAll="0"/>
    <pivotField name="Year" axis="axisPage" showAll="0">
      <items count="5">
        <item x="0"/>
        <item x="1"/>
        <item x="2"/>
        <item x="3"/>
        <item t="default"/>
      </items>
    </pivotField>
    <pivotField showAll="0"/>
  </pivotFields>
  <rowFields count="1">
    <field x="0"/>
  </rowFields>
  <rowItems count="3">
    <i>
      <x/>
    </i>
    <i>
      <x v="1"/>
    </i>
    <i t="grand">
      <x/>
    </i>
  </rowItems>
  <colItems count="1">
    <i/>
  </colItems>
  <pageFields count="1">
    <pageField fld="2" hier="-1"/>
  </pageFields>
  <dataFields count="1">
    <dataField name="Sales  " fld="1" baseField="0" baseItem="0" numFmtId="3"/>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2" cacheId="57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CB5:CD7" firstHeaderRow="0" firstDataRow="1" firstDataCol="1" rowPageCount="1" colPageCount="1"/>
  <pivotFields count="4">
    <pivotField axis="axisRow" showAll="0">
      <items count="3">
        <item x="0"/>
        <item x="1"/>
        <item t="default"/>
      </items>
    </pivotField>
    <pivotField dataField="1" showAll="0"/>
    <pivotField dataField="1" showAll="0"/>
    <pivotField name="Year" axis="axisPage" showAll="0">
      <items count="4">
        <item x="1"/>
        <item x="0"/>
        <item x="2"/>
        <item t="default"/>
      </items>
    </pivotField>
  </pivotFields>
  <rowFields count="1">
    <field x="0"/>
  </rowFields>
  <rowItems count="2">
    <i>
      <x/>
    </i>
    <i t="grand">
      <x/>
    </i>
  </rowItems>
  <colFields count="1">
    <field x="-2"/>
  </colFields>
  <colItems count="2">
    <i>
      <x/>
    </i>
    <i i="1">
      <x v="1"/>
    </i>
  </colItems>
  <pageFields count="1">
    <pageField fld="3" item="1" hier="-1"/>
  </pageFields>
  <dataFields count="2">
    <dataField name="Budget % Achieved" fld="1" baseField="0" baseItem="1" numFmtId="3"/>
    <dataField name="Below Budget %" fld="2" baseField="0" baseItem="1" numFmtId="3"/>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63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rowHeaderCaption="Year/Month">
  <location ref="A3:D11" firstHeaderRow="0" firstDataRow="1" firstDataCol="1"/>
  <pivotFields count="8">
    <pivotField name="Year" axis="axisRow" showAll="0">
      <items count="5">
        <item h="1" x="1"/>
        <item x="0"/>
        <item h="1" x="2"/>
        <item h="1" x="3"/>
        <item t="default"/>
      </items>
    </pivotField>
    <pivotField showAll="0"/>
    <pivotField dataField="1" showAll="0"/>
    <pivotField dataField="1" showAll="0"/>
    <pivotField showAll="0"/>
    <pivotField name="Month" axis="axisRow" showAll="0">
      <items count="14">
        <item h="1" x="0"/>
        <item h="1" x="1"/>
        <item h="1" x="2"/>
        <item h="1" x="3"/>
        <item h="1" x="4"/>
        <item x="5"/>
        <item x="6"/>
        <item x="7"/>
        <item h="1" x="8"/>
        <item h="1" x="9"/>
        <item h="1" x="10"/>
        <item h="1" x="11"/>
        <item h="1" x="12"/>
        <item t="default"/>
      </items>
    </pivotField>
    <pivotField name="Period " axis="axisRow" showAll="0">
      <items count="14">
        <item x="7"/>
        <item x="8"/>
        <item x="9"/>
        <item x="10"/>
        <item x="11"/>
        <item x="0"/>
        <item x="1"/>
        <item x="2"/>
        <item x="3"/>
        <item x="4"/>
        <item x="5"/>
        <item x="6"/>
        <item x="12"/>
        <item t="default"/>
      </items>
    </pivotField>
    <pivotField dataField="1" dragToRow="0" dragToCol="0" dragToPage="0" showAll="0" defaultSubtotal="0"/>
  </pivotFields>
  <rowFields count="3">
    <field x="0"/>
    <field x="6"/>
    <field x="5"/>
  </rowFields>
  <rowItems count="8">
    <i>
      <x v="1"/>
    </i>
    <i r="1">
      <x/>
    </i>
    <i r="2">
      <x v="7"/>
    </i>
    <i r="1">
      <x v="10"/>
    </i>
    <i r="2">
      <x v="5"/>
    </i>
    <i r="1">
      <x v="11"/>
    </i>
    <i r="2">
      <x v="6"/>
    </i>
    <i t="grand">
      <x/>
    </i>
  </rowItems>
  <colFields count="1">
    <field x="-2"/>
  </colFields>
  <colItems count="3">
    <i>
      <x/>
    </i>
    <i i="1">
      <x v="1"/>
    </i>
    <i i="2">
      <x v="2"/>
    </i>
  </colItems>
  <dataFields count="3">
    <dataField name="SALES " fld="2" baseField="0" baseItem="0" numFmtId="171"/>
    <dataField name="BUDGET " fld="3" baseField="0" baseItem="0" numFmtId="171"/>
    <dataField name="% of Budget " fld="7" baseField="0" baseItem="1" numFmtId="9"/>
  </dataFields>
  <chartFormats count="6">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60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C5:AD10" firstHeaderRow="1" firstDataRow="1" firstDataCol="1" rowPageCount="1" colPageCount="1"/>
  <pivotFields count="3">
    <pivotField axis="axisRow" showAll="0">
      <items count="10">
        <item x="3"/>
        <item x="2"/>
        <item x="1"/>
        <item x="0"/>
        <item m="1" x="8"/>
        <item m="1" x="4"/>
        <item m="1" x="5"/>
        <item m="1" x="6"/>
        <item m="1" x="7"/>
        <item t="default"/>
      </items>
    </pivotField>
    <pivotField dataField="1" showAll="0"/>
    <pivotField name="Year" axis="axisPage" showAll="0">
      <items count="3">
        <item x="0"/>
        <item x="1"/>
        <item t="default"/>
      </items>
    </pivotField>
  </pivotFields>
  <rowFields count="1">
    <field x="0"/>
  </rowFields>
  <rowItems count="5">
    <i>
      <x/>
    </i>
    <i>
      <x v="1"/>
    </i>
    <i>
      <x v="2"/>
    </i>
    <i>
      <x v="3"/>
    </i>
    <i t="grand">
      <x/>
    </i>
  </rowItems>
  <colItems count="1">
    <i/>
  </colItems>
  <pageFields count="1">
    <pageField fld="2" item="0" hier="-1"/>
  </pageFields>
  <dataFields count="1">
    <dataField name="Sum of SALES" fld="1" baseField="0" baseItem="0" numFmtId="3"/>
  </dataFields>
  <chartFormats count="10">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3" format="12">
      <pivotArea type="data" outline="0" fieldPosition="0">
        <references count="2">
          <reference field="4294967294" count="1" selected="0">
            <x v="0"/>
          </reference>
          <reference field="0" count="1" selected="0">
            <x v="1"/>
          </reference>
        </references>
      </pivotArea>
    </chartFormat>
    <chartFormat chart="3" format="13">
      <pivotArea type="data" outline="0" fieldPosition="0">
        <references count="2">
          <reference field="4294967294" count="1" selected="0">
            <x v="0"/>
          </reference>
          <reference field="0" count="1" selected="0">
            <x v="2"/>
          </reference>
        </references>
      </pivotArea>
    </chartFormat>
    <chartFormat chart="3" format="14">
      <pivotArea type="data" outline="0" fieldPosition="0">
        <references count="2">
          <reference field="4294967294" count="1" selected="0">
            <x v="0"/>
          </reference>
          <reference field="0" count="1" selected="0">
            <x v="3"/>
          </reference>
        </references>
      </pivotArea>
    </chartFormat>
    <chartFormat chart="3" format="15">
      <pivotArea type="data" outline="0" fieldPosition="0">
        <references count="2">
          <reference field="4294967294" count="1" selected="0">
            <x v="0"/>
          </reference>
          <reference field="0" count="1" selected="0">
            <x v="4"/>
          </reference>
        </references>
      </pivotArea>
    </chartFormat>
    <chartFormat chart="3" format="16">
      <pivotArea type="data" outline="0" fieldPosition="0">
        <references count="2">
          <reference field="4294967294" count="1" selected="0">
            <x v="0"/>
          </reference>
          <reference field="0" count="1" selected="0">
            <x v="5"/>
          </reference>
        </references>
      </pivotArea>
    </chartFormat>
    <chartFormat chart="3" format="17">
      <pivotArea type="data" outline="0" fieldPosition="0">
        <references count="2">
          <reference field="4294967294" count="1" selected="0">
            <x v="0"/>
          </reference>
          <reference field="0" count="1" selected="0">
            <x v="6"/>
          </reference>
        </references>
      </pivotArea>
    </chartFormat>
    <chartFormat chart="3" format="18">
      <pivotArea type="data" outline="0" fieldPosition="0">
        <references count="2">
          <reference field="4294967294" count="1" selected="0">
            <x v="0"/>
          </reference>
          <reference field="0" count="1" selected="0">
            <x v="7"/>
          </reference>
        </references>
      </pivotArea>
    </chartFormat>
    <chartFormat chart="3" format="19">
      <pivotArea type="data" outline="0" fieldPosition="0">
        <references count="2">
          <reference field="4294967294" count="1" selected="0">
            <x v="0"/>
          </reference>
          <reference field="0"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0" cacheId="58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3" rowHeaderCaption="Category">
  <location ref="BR5:BT7" firstHeaderRow="0" firstDataRow="1" firstDataCol="1" rowPageCount="1" colPageCount="1"/>
  <pivotFields count="4">
    <pivotField axis="axisRow" showAll="0">
      <items count="3">
        <item x="0"/>
        <item x="1"/>
        <item t="default"/>
      </items>
    </pivotField>
    <pivotField dataField="1" showAll="0"/>
    <pivotField dataField="1" showAll="0"/>
    <pivotField name="Year" axis="axisPage" showAll="0">
      <items count="5">
        <item x="2"/>
        <item x="1"/>
        <item x="0"/>
        <item x="3"/>
        <item t="default"/>
      </items>
    </pivotField>
  </pivotFields>
  <rowFields count="1">
    <field x="0"/>
  </rowFields>
  <rowItems count="2">
    <i>
      <x/>
    </i>
    <i t="grand">
      <x/>
    </i>
  </rowItems>
  <colFields count="1">
    <field x="-2"/>
  </colFields>
  <colItems count="2">
    <i>
      <x/>
    </i>
    <i i="1">
      <x v="1"/>
    </i>
  </colItems>
  <pageFields count="1">
    <pageField fld="3" item="2" hier="-1"/>
  </pageFields>
  <dataFields count="2">
    <dataField name="Budget % Achieved" fld="1" baseField="0" baseItem="0" numFmtId="4"/>
    <dataField name="Below Budget" fld="2" baseField="0" baseItem="0" numFmtId="4"/>
  </dataField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22" cacheId="7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I3:J20" firstHeaderRow="1" firstDataRow="1" firstDataCol="1"/>
  <pivotFields count="5">
    <pivotField name="Year" axis="axisRow" showAll="0">
      <items count="4">
        <item x="0"/>
        <item x="1"/>
        <item h="1" x="2"/>
        <item t="default"/>
      </items>
    </pivotField>
    <pivotField showAll="0"/>
    <pivotField dataField="1" showAll="0"/>
    <pivotField name="Month" axis="axisRow" showAll="0">
      <items count="8">
        <item x="0"/>
        <item x="1"/>
        <item x="2"/>
        <item x="3"/>
        <item x="4"/>
        <item x="5"/>
        <item m="1" x="6"/>
        <item t="default"/>
      </items>
    </pivotField>
    <pivotField name="Period " axis="axisRow" showAll="0">
      <items count="8">
        <item x="2"/>
        <item x="3"/>
        <item x="4"/>
        <item x="0"/>
        <item x="1"/>
        <item x="5"/>
        <item m="1" x="6"/>
        <item t="default"/>
      </items>
    </pivotField>
  </pivotFields>
  <rowFields count="3">
    <field x="0"/>
    <field x="4"/>
    <field x="3"/>
  </rowFields>
  <rowItems count="17">
    <i>
      <x/>
    </i>
    <i r="1">
      <x/>
    </i>
    <i r="2">
      <x v="2"/>
    </i>
    <i r="1">
      <x v="1"/>
    </i>
    <i r="2">
      <x v="3"/>
    </i>
    <i r="1">
      <x v="2"/>
    </i>
    <i r="2">
      <x v="4"/>
    </i>
    <i r="1">
      <x v="3"/>
    </i>
    <i r="2">
      <x/>
    </i>
    <i r="1">
      <x v="4"/>
    </i>
    <i r="2">
      <x v="1"/>
    </i>
    <i>
      <x v="1"/>
    </i>
    <i r="1">
      <x/>
    </i>
    <i r="2">
      <x v="2"/>
    </i>
    <i r="1">
      <x v="1"/>
    </i>
    <i r="2">
      <x v="3"/>
    </i>
    <i t="grand">
      <x/>
    </i>
  </rowItems>
  <colItems count="1">
    <i/>
  </colItems>
  <dataFields count="1">
    <dataField name="Avg $ Quote (MIN Value)" fld="2" subtotal="average" baseField="3" baseItem="3" numFmtId="3"/>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29" cacheId="72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6:E23" firstHeaderRow="0" firstDataRow="1" firstDataCol="1" rowPageCount="1" colPageCount="1"/>
  <pivotFields count="10">
    <pivotField name="Year" axis="axisRow" showAll="0">
      <items count="4">
        <item x="0"/>
        <item x="1"/>
        <item h="1" x="2"/>
        <item t="default"/>
      </items>
    </pivotField>
    <pivotField name="Month" showAll="0"/>
    <pivotField dataField="1" showAll="0"/>
    <pivotField dataField="1" showAll="0"/>
    <pivotField dataField="1" showAll="0"/>
    <pivotField dataField="1" showAll="0"/>
    <pivotField showAll="0"/>
    <pivotField name="Customer " axis="axisPage" showAll="0">
      <items count="17">
        <item x="0"/>
        <item m="1" x="2"/>
        <item m="1" x="12"/>
        <item m="1" x="9"/>
        <item m="1" x="1"/>
        <item m="1" x="11"/>
        <item m="1" x="13"/>
        <item m="1" x="6"/>
        <item m="1" x="15"/>
        <item m="1" x="8"/>
        <item m="1" x="14"/>
        <item m="1" x="4"/>
        <item m="1" x="3"/>
        <item m="1" x="10"/>
        <item m="1" x="5"/>
        <item m="1" x="7"/>
        <item t="default"/>
      </items>
    </pivotField>
    <pivotField name="Month   " axis="axisRow" showAll="0" defaultSubtotal="0">
      <items count="7">
        <item x="4"/>
        <item x="3"/>
        <item x="2"/>
        <item x="1"/>
        <item x="0"/>
        <item m="1" x="6"/>
        <item x="5"/>
      </items>
    </pivotField>
    <pivotField name="Period   " axis="axisRow" showAll="0" defaultSubtotal="0">
      <items count="7">
        <item x="2"/>
        <item x="1"/>
        <item x="0"/>
        <item m="1" x="6"/>
        <item x="4"/>
        <item x="3"/>
        <item x="5"/>
      </items>
    </pivotField>
  </pivotFields>
  <rowFields count="3">
    <field x="0"/>
    <field x="9"/>
    <field x="8"/>
  </rowFields>
  <rowItems count="17">
    <i>
      <x/>
    </i>
    <i r="1">
      <x/>
    </i>
    <i r="2">
      <x v="2"/>
    </i>
    <i r="1">
      <x v="1"/>
    </i>
    <i r="2">
      <x v="3"/>
    </i>
    <i r="1">
      <x v="2"/>
    </i>
    <i r="2">
      <x v="4"/>
    </i>
    <i r="1">
      <x v="4"/>
    </i>
    <i r="2">
      <x/>
    </i>
    <i r="1">
      <x v="5"/>
    </i>
    <i r="2">
      <x v="1"/>
    </i>
    <i>
      <x v="1"/>
    </i>
    <i r="1">
      <x/>
    </i>
    <i r="2">
      <x v="2"/>
    </i>
    <i r="1">
      <x v="1"/>
    </i>
    <i r="2">
      <x v="3"/>
    </i>
    <i t="grand">
      <x/>
    </i>
  </rowItems>
  <colFields count="1">
    <field x="-2"/>
  </colFields>
  <colItems count="4">
    <i>
      <x/>
    </i>
    <i i="1">
      <x v="1"/>
    </i>
    <i i="2">
      <x v="2"/>
    </i>
    <i i="3">
      <x v="3"/>
    </i>
  </colItems>
  <pageFields count="1">
    <pageField fld="7" hier="-1"/>
  </pageFields>
  <dataFields count="4">
    <dataField name="% Won" fld="2" baseField="0" baseItem="0" numFmtId="4"/>
    <dataField name="% Loss" fld="3" baseField="0" baseItem="0" numFmtId="2"/>
    <dataField name="% Close" fld="4" baseField="0" baseItem="0" numFmtId="4"/>
    <dataField name="% Open" fld="5" baseField="0" baseItem="0" numFmtId="4"/>
  </dataFields>
  <chartFormats count="4">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25" cacheId="7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N3:O20" firstHeaderRow="1" firstDataRow="1" firstDataCol="1"/>
  <pivotFields count="5">
    <pivotField name="Year" axis="axisRow" showAll="0">
      <items count="4">
        <item x="0"/>
        <item x="1"/>
        <item h="1" x="2"/>
        <item t="default"/>
      </items>
    </pivotField>
    <pivotField showAll="0"/>
    <pivotField dataField="1" showAll="0"/>
    <pivotField name="Month" axis="axisRow" showAll="0">
      <items count="8">
        <item x="0"/>
        <item x="1"/>
        <item x="2"/>
        <item x="3"/>
        <item x="4"/>
        <item x="5"/>
        <item m="1" x="6"/>
        <item t="default"/>
      </items>
    </pivotField>
    <pivotField name="Period " axis="axisRow" showAll="0">
      <items count="8">
        <item x="2"/>
        <item x="3"/>
        <item x="4"/>
        <item x="0"/>
        <item x="1"/>
        <item x="5"/>
        <item m="1" x="6"/>
        <item t="default"/>
      </items>
    </pivotField>
  </pivotFields>
  <rowFields count="3">
    <field x="0"/>
    <field x="4"/>
    <field x="3"/>
  </rowFields>
  <rowItems count="17">
    <i>
      <x/>
    </i>
    <i r="1">
      <x/>
    </i>
    <i r="2">
      <x v="2"/>
    </i>
    <i r="1">
      <x v="1"/>
    </i>
    <i r="2">
      <x v="3"/>
    </i>
    <i r="1">
      <x v="2"/>
    </i>
    <i r="2">
      <x v="4"/>
    </i>
    <i r="1">
      <x v="3"/>
    </i>
    <i r="2">
      <x/>
    </i>
    <i r="1">
      <x v="4"/>
    </i>
    <i r="2">
      <x v="1"/>
    </i>
    <i>
      <x v="1"/>
    </i>
    <i r="1">
      <x/>
    </i>
    <i r="2">
      <x v="2"/>
    </i>
    <i r="1">
      <x v="1"/>
    </i>
    <i r="2">
      <x v="3"/>
    </i>
    <i t="grand">
      <x/>
    </i>
  </rowItems>
  <colItems count="1">
    <i/>
  </colItems>
  <dataFields count="1">
    <dataField name="Avg Quote $ (MIN Value)" fld="2" subtotal="average" baseField="0" baseItem="0" numFmtId="171"/>
  </dataFields>
  <chartFormats count="2">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5" cacheId="6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A3:D29" firstHeaderRow="0" firstDataRow="1" firstDataCol="1"/>
  <pivotFields count="8">
    <pivotField name="Year" axis="axisRow" showAll="0">
      <items count="4">
        <item x="0"/>
        <item h="1" x="1"/>
        <item h="1" x="2"/>
        <item t="default"/>
      </items>
    </pivotField>
    <pivotField showAll="0"/>
    <pivotField dataField="1" showAll="0"/>
    <pivotField dataField="1" showAll="0"/>
    <pivotField showAll="0"/>
    <pivotField name="Month " axis="axisRow" showAll="0">
      <items count="14">
        <item x="0"/>
        <item x="1"/>
        <item x="2"/>
        <item x="3"/>
        <item x="4"/>
        <item x="5"/>
        <item x="6"/>
        <item x="7"/>
        <item x="8"/>
        <item x="9"/>
        <item x="10"/>
        <item x="11"/>
        <item x="12"/>
        <item t="default"/>
      </items>
    </pivotField>
    <pivotField name="Period " axis="axisRow" showAll="0">
      <items count="14">
        <item x="7"/>
        <item x="8"/>
        <item x="9"/>
        <item x="10"/>
        <item x="11"/>
        <item x="0"/>
        <item x="1"/>
        <item x="2"/>
        <item x="3"/>
        <item x="4"/>
        <item x="5"/>
        <item x="6"/>
        <item x="12"/>
        <item t="default"/>
      </items>
    </pivotField>
    <pivotField dataField="1" dragToRow="0" dragToCol="0" dragToPage="0" showAll="0" defaultSubtotal="0"/>
  </pivotFields>
  <rowFields count="3">
    <field x="0"/>
    <field x="6"/>
    <field x="5"/>
  </rowFields>
  <rowItems count="26">
    <i>
      <x/>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3">
    <i>
      <x/>
    </i>
    <i i="1">
      <x v="1"/>
    </i>
    <i i="2">
      <x v="2"/>
    </i>
  </colItems>
  <dataFields count="3">
    <dataField name="Actual  " fld="2" baseField="0" baseItem="0" numFmtId="171"/>
    <dataField name="Estimate  " fld="3" baseField="0" baseItem="0" numFmtId="171"/>
    <dataField name="Avg % Estimate " fld="7" subtotal="average" baseField="0" baseItem="0" numFmtId="10"/>
  </dataField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 cacheId="63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location ref="P4:S30" firstHeaderRow="0" firstDataRow="1" firstDataCol="1"/>
  <pivotFields count="8">
    <pivotField name="Year" axis="axisRow" showAll="0">
      <items count="4">
        <item x="0"/>
        <item h="1" x="1"/>
        <item x="2"/>
        <item t="default"/>
      </items>
    </pivotField>
    <pivotField showAll="0"/>
    <pivotField dataField="1" showAll="0"/>
    <pivotField dataField="1" showAll="0"/>
    <pivotField showAll="0"/>
    <pivotField name="Month" axis="axisRow" showAll="0">
      <items count="14">
        <item x="0"/>
        <item x="1"/>
        <item x="2"/>
        <item x="3"/>
        <item x="4"/>
        <item x="5"/>
        <item x="6"/>
        <item x="7"/>
        <item x="8"/>
        <item x="9"/>
        <item x="10"/>
        <item x="11"/>
        <item h="1" x="12"/>
        <item t="default"/>
      </items>
    </pivotField>
    <pivotField name="Period " axis="axisRow" showAll="0" sortType="ascending">
      <items count="14">
        <item x="7"/>
        <item x="8"/>
        <item x="9"/>
        <item x="10"/>
        <item x="11"/>
        <item x="0"/>
        <item x="1"/>
        <item x="2"/>
        <item x="3"/>
        <item x="4"/>
        <item x="5"/>
        <item x="6"/>
        <item x="12"/>
        <item t="default"/>
      </items>
    </pivotField>
    <pivotField dataField="1" dragToRow="0" dragToCol="0" dragToPage="0" showAll="0" defaultSubtotal="0"/>
  </pivotFields>
  <rowFields count="3">
    <field x="0"/>
    <field x="6"/>
    <field x="5"/>
  </rowFields>
  <rowItems count="26">
    <i>
      <x/>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3">
    <i>
      <x/>
    </i>
    <i i="1">
      <x v="1"/>
    </i>
    <i i="2">
      <x v="2"/>
    </i>
  </colItems>
  <dataFields count="3">
    <dataField name="Actual " fld="2" baseField="0" baseItem="0" numFmtId="171"/>
    <dataField name="Estimate  " fld="3" baseField="0" baseItem="0" numFmtId="171"/>
    <dataField name="Avg % Estimate" fld="7" subtotal="average" baseField="6" baseItem="1" numFmtId="9"/>
  </dataFields>
  <chartFormats count="6">
    <chartFormat chart="12" format="7" series="1">
      <pivotArea type="data" outline="0" fieldPosition="0">
        <references count="1">
          <reference field="4294967294" count="1" selected="0">
            <x v="0"/>
          </reference>
        </references>
      </pivotArea>
    </chartFormat>
    <chartFormat chart="12" format="8" series="1">
      <pivotArea type="data" outline="0" fieldPosition="0">
        <references count="1">
          <reference field="4294967294" count="1" selected="0">
            <x v="1"/>
          </reference>
        </references>
      </pivotArea>
    </chartFormat>
    <chartFormat chart="12" format="9" series="1">
      <pivotArea type="data" outline="0" fieldPosition="0">
        <references count="1">
          <reference field="4294967294" count="1" selected="0">
            <x v="2"/>
          </reference>
        </references>
      </pivotArea>
    </chartFormat>
    <chartFormat chart="14" format="13" series="1">
      <pivotArea type="data" outline="0" fieldPosition="0">
        <references count="1">
          <reference field="4294967294" count="1" selected="0">
            <x v="0"/>
          </reference>
        </references>
      </pivotArea>
    </chartFormat>
    <chartFormat chart="14" format="14" series="1">
      <pivotArea type="data" outline="0" fieldPosition="0">
        <references count="1">
          <reference field="4294967294" count="1" selected="0">
            <x v="1"/>
          </reference>
        </references>
      </pivotArea>
    </chartFormat>
    <chartFormat chart="14"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18" cacheId="6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I3:L29" firstHeaderRow="0" firstDataRow="1" firstDataCol="1"/>
  <pivotFields count="8">
    <pivotField name="Year" axis="axisRow" showAll="0">
      <items count="4">
        <item x="0"/>
        <item h="1" x="1"/>
        <item h="1" x="2"/>
        <item t="default"/>
      </items>
    </pivotField>
    <pivotField showAll="0"/>
    <pivotField dataField="1" showAll="0"/>
    <pivotField dataField="1" showAll="0"/>
    <pivotField showAll="0"/>
    <pivotField name="Month " axis="axisRow" showAll="0">
      <items count="14">
        <item x="0"/>
        <item x="1"/>
        <item x="2"/>
        <item x="3"/>
        <item x="4"/>
        <item x="5"/>
        <item x="6"/>
        <item x="7"/>
        <item x="8"/>
        <item x="9"/>
        <item x="10"/>
        <item x="11"/>
        <item h="1" x="12"/>
        <item t="default"/>
      </items>
    </pivotField>
    <pivotField name="Period " axis="axisRow" showAll="0">
      <items count="14">
        <item x="7"/>
        <item x="8"/>
        <item x="9"/>
        <item x="10"/>
        <item x="11"/>
        <item x="0"/>
        <item x="1"/>
        <item x="2"/>
        <item x="3"/>
        <item x="4"/>
        <item x="5"/>
        <item x="6"/>
        <item x="12"/>
        <item t="default"/>
      </items>
    </pivotField>
    <pivotField dataField="1" dragToRow="0" dragToCol="0" dragToPage="0" showAll="0" defaultSubtotal="0"/>
  </pivotFields>
  <rowFields count="3">
    <field x="0"/>
    <field x="6"/>
    <field x="5"/>
  </rowFields>
  <rowItems count="26">
    <i>
      <x/>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3">
    <i>
      <x/>
    </i>
    <i i="1">
      <x v="1"/>
    </i>
    <i i="2">
      <x v="2"/>
    </i>
  </colItems>
  <dataFields count="3">
    <dataField name="Actual   " fld="2" baseField="0" baseItem="0" numFmtId="3"/>
    <dataField name="Estimate " fld="3" baseField="5" baseItem="7" numFmtId="3"/>
    <dataField name="Avg % of Estimate" fld="7" subtotal="average" baseField="5" baseItem="10" numFmtId="10"/>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18" cacheId="70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H7:J15" firstHeaderRow="0" firstDataRow="1" firstDataCol="1" rowPageCount="3" colPageCount="1"/>
  <pivotFields count="7">
    <pivotField name="Year" axis="axisPage" showAll="0">
      <items count="4">
        <item x="0"/>
        <item x="1"/>
        <item x="2"/>
        <item t="default"/>
      </items>
    </pivotField>
    <pivotField showAll="0"/>
    <pivotField name="Scrap Code" axis="axisRow" showAll="0">
      <items count="9">
        <item x="6"/>
        <item x="4"/>
        <item x="1"/>
        <item x="0"/>
        <item x="2"/>
        <item x="3"/>
        <item x="5"/>
        <item h="1" x="7"/>
        <item t="default"/>
      </items>
    </pivotField>
    <pivotField dataField="1" showAll="0"/>
    <pivotField dataField="1" showAll="0"/>
    <pivotField name="Month" axis="axisPage" showAll="0">
      <items count="13">
        <item x="1"/>
        <item x="2"/>
        <item x="3"/>
        <item x="4"/>
        <item x="5"/>
        <item x="6"/>
        <item x="7"/>
        <item x="8"/>
        <item x="0"/>
        <item x="9"/>
        <item x="10"/>
        <item x="11"/>
        <item t="default"/>
      </items>
    </pivotField>
    <pivotField name="Period " axis="axisPage" showAll="0">
      <items count="13">
        <item x="7"/>
        <item x="8"/>
        <item x="0"/>
        <item x="9"/>
        <item x="10"/>
        <item x="1"/>
        <item x="2"/>
        <item x="3"/>
        <item x="4"/>
        <item x="5"/>
        <item x="6"/>
        <item x="11"/>
        <item t="default"/>
      </items>
    </pivotField>
  </pivotFields>
  <rowFields count="1">
    <field x="2"/>
  </rowFields>
  <rowItems count="8">
    <i>
      <x/>
    </i>
    <i>
      <x v="1"/>
    </i>
    <i>
      <x v="2"/>
    </i>
    <i>
      <x v="3"/>
    </i>
    <i>
      <x v="4"/>
    </i>
    <i>
      <x v="5"/>
    </i>
    <i>
      <x v="6"/>
    </i>
    <i t="grand">
      <x/>
    </i>
  </rowItems>
  <colFields count="1">
    <field x="-2"/>
  </colFields>
  <colItems count="2">
    <i>
      <x/>
    </i>
    <i i="1">
      <x v="1"/>
    </i>
  </colItems>
  <pageFields count="3">
    <pageField fld="0" hier="-1"/>
    <pageField fld="6" hier="-1"/>
    <pageField fld="5" hier="-1"/>
  </pageFields>
  <dataFields count="2">
    <dataField name="$ Cost" fld="3" baseField="2" baseItem="0" numFmtId="171"/>
    <dataField name="Units " fld="4" baseField="2" baseItem="0" numFmtId="3"/>
  </dataFields>
  <chartFormats count="2">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17" cacheId="69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N7:O15" firstHeaderRow="1" firstDataRow="1" firstDataCol="1" rowPageCount="3" colPageCount="1"/>
  <pivotFields count="7">
    <pivotField name="Year" axis="axisPage" showAll="0">
      <items count="4">
        <item x="0"/>
        <item x="1"/>
        <item x="2"/>
        <item t="default"/>
      </items>
    </pivotField>
    <pivotField showAll="0"/>
    <pivotField axis="axisRow" showAll="0">
      <items count="9">
        <item x="0"/>
        <item x="4"/>
        <item x="2"/>
        <item x="1"/>
        <item x="6"/>
        <item x="5"/>
        <item x="3"/>
        <item h="1" x="7"/>
        <item t="default"/>
      </items>
    </pivotField>
    <pivotField dataField="1" showAll="0"/>
    <pivotField showAll="0"/>
    <pivotField name="Month" axis="axisPage" showAll="0">
      <items count="13">
        <item x="1"/>
        <item x="2"/>
        <item x="3"/>
        <item x="4"/>
        <item x="5"/>
        <item x="6"/>
        <item x="7"/>
        <item x="8"/>
        <item x="0"/>
        <item x="9"/>
        <item x="10"/>
        <item x="11"/>
        <item t="default"/>
      </items>
    </pivotField>
    <pivotField name="Period" axis="axisPage" showAll="0">
      <items count="13">
        <item x="7"/>
        <item x="8"/>
        <item x="0"/>
        <item x="9"/>
        <item x="10"/>
        <item x="1"/>
        <item x="2"/>
        <item x="3"/>
        <item x="4"/>
        <item x="5"/>
        <item x="6"/>
        <item x="11"/>
        <item t="default"/>
      </items>
    </pivotField>
  </pivotFields>
  <rowFields count="1">
    <field x="2"/>
  </rowFields>
  <rowItems count="8">
    <i>
      <x/>
    </i>
    <i>
      <x v="1"/>
    </i>
    <i>
      <x v="2"/>
    </i>
    <i>
      <x v="3"/>
    </i>
    <i>
      <x v="4"/>
    </i>
    <i>
      <x v="5"/>
    </i>
    <i>
      <x v="6"/>
    </i>
    <i t="grand">
      <x/>
    </i>
  </rowItems>
  <colItems count="1">
    <i/>
  </colItems>
  <pageFields count="3">
    <pageField fld="0" hier="-1"/>
    <pageField fld="6" hier="-1"/>
    <pageField fld="5" hier="-1"/>
  </pageFields>
  <dataFields count="1">
    <dataField name="Cost of Quality" fld="3" baseField="2" baseItem="3" numFmtId="171"/>
  </dataFields>
  <chartFormats count="2">
    <chartFormat chart="2" format="1"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19" cacheId="70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3:D29" firstHeaderRow="0" firstDataRow="1" firstDataCol="1"/>
  <pivotFields count="7">
    <pivotField name="Year" axis="axisRow" showAll="0">
      <items count="5">
        <item h="1" x="1"/>
        <item x="0"/>
        <item h="1" x="2"/>
        <item h="1" x="3"/>
        <item t="default"/>
      </items>
    </pivotField>
    <pivotField showAll="0"/>
    <pivotField dataField="1" showAll="0"/>
    <pivotField dataField="1" showAll="0"/>
    <pivotField dataField="1" showAll="0"/>
    <pivotField name="Month" axis="axisRow" showAll="0">
      <items count="14">
        <item x="0"/>
        <item x="1"/>
        <item x="2"/>
        <item x="3"/>
        <item x="4"/>
        <item x="5"/>
        <item x="6"/>
        <item x="7"/>
        <item x="8"/>
        <item x="9"/>
        <item x="10"/>
        <item x="11"/>
        <item h="1" x="12"/>
        <item t="default"/>
      </items>
    </pivotField>
    <pivotField name="Period  " axis="axisRow" showAll="0">
      <items count="14">
        <item x="7"/>
        <item x="8"/>
        <item x="9"/>
        <item x="10"/>
        <item x="11"/>
        <item x="0"/>
        <item x="1"/>
        <item x="2"/>
        <item x="3"/>
        <item x="4"/>
        <item x="5"/>
        <item x="6"/>
        <item h="1" x="12"/>
        <item t="default"/>
      </items>
    </pivotField>
  </pivotFields>
  <rowFields count="3">
    <field x="0"/>
    <field x="6"/>
    <field x="5"/>
  </rowFields>
  <rowItems count="26">
    <i>
      <x v="1"/>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3">
    <i>
      <x/>
    </i>
    <i i="1">
      <x v="1"/>
    </i>
    <i i="2">
      <x v="2"/>
    </i>
  </colItems>
  <dataFields count="3">
    <dataField name="Sales " fld="2" baseField="6" baseItem="2" numFmtId="3"/>
    <dataField name="Rework " fld="3" baseField="5" baseItem="8" numFmtId="3"/>
    <dataField name="Rework % of Sales" fld="4" baseField="0" baseItem="0" numFmtId="2"/>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5" cacheId="56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M3:N4" firstHeaderRow="1" firstDataRow="1" firstDataCol="1"/>
  <pivotFields count="5">
    <pivotField name="Year " axis="axisRow" showAll="0">
      <items count="6">
        <item h="1" m="1" x="2"/>
        <item h="1" m="1" x="1"/>
        <item m="1" x="3"/>
        <item h="1" m="1" x="4"/>
        <item h="1" x="0"/>
        <item t="default"/>
      </items>
    </pivotField>
    <pivotField showAll="0"/>
    <pivotField dataField="1" showAll="0"/>
    <pivotField name="Month" showAll="0"/>
    <pivotField name="Period   " showAll="0"/>
  </pivotFields>
  <rowFields count="1">
    <field x="0"/>
  </rowFields>
  <rowItems count="1">
    <i t="grand">
      <x/>
    </i>
  </rowItems>
  <colItems count="1">
    <i/>
  </colItems>
  <dataFields count="1">
    <dataField name="RMA'S" fld="2" baseField="0" baseItem="2" numFmtId="3"/>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4" cacheId="56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I3:J4" firstHeaderRow="1" firstDataRow="1" firstDataCol="1"/>
  <pivotFields count="5">
    <pivotField name="Year " axis="axisRow" showAll="0">
      <items count="6">
        <item h="1" m="1" x="2"/>
        <item m="1" x="1"/>
        <item m="1" x="3"/>
        <item m="1" x="4"/>
        <item h="1" x="0"/>
        <item t="default"/>
      </items>
    </pivotField>
    <pivotField showAll="0"/>
    <pivotField dataField="1" showAll="0"/>
    <pivotField name="Month" axis="axisRow" showAll="0">
      <items count="14">
        <item m="1" x="2"/>
        <item m="1" x="3"/>
        <item m="1" x="9"/>
        <item m="1" x="4"/>
        <item m="1" x="12"/>
        <item m="1" x="11"/>
        <item m="1" x="8"/>
        <item m="1" x="10"/>
        <item m="1" x="1"/>
        <item m="1" x="7"/>
        <item m="1" x="5"/>
        <item m="1" x="6"/>
        <item x="0"/>
        <item t="default"/>
      </items>
    </pivotField>
    <pivotField name="Period   " axis="axisRow" showAll="0">
      <items count="15">
        <item m="1" x="6"/>
        <item m="1" x="3"/>
        <item m="1" x="7"/>
        <item m="1" x="12"/>
        <item m="1" x="2"/>
        <item m="1" x="4"/>
        <item m="1" x="5"/>
        <item m="1" x="8"/>
        <item m="1" x="9"/>
        <item m="1" x="10"/>
        <item m="1" x="11"/>
        <item m="1" x="13"/>
        <item x="0"/>
        <item m="1" x="1"/>
        <item t="default"/>
      </items>
    </pivotField>
  </pivotFields>
  <rowFields count="3">
    <field x="0"/>
    <field x="4"/>
    <field x="3"/>
  </rowFields>
  <rowItems count="1">
    <i t="grand">
      <x/>
    </i>
  </rowItems>
  <colItems count="1">
    <i/>
  </colItems>
  <dataFields count="1">
    <dataField name="RMA'S" fld="2" baseField="3" baseItem="8" numFmtId="3"/>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6" cacheId="56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Q3:R4" firstHeaderRow="1" firstDataRow="1" firstDataCol="1"/>
  <pivotFields count="5">
    <pivotField name="Year " axis="axisRow" showAll="0">
      <items count="6">
        <item h="1" m="1" x="2"/>
        <item h="1" m="1" x="1"/>
        <item h="1" m="1" x="3"/>
        <item m="1" x="4"/>
        <item h="1" x="0"/>
        <item t="default"/>
      </items>
    </pivotField>
    <pivotField showAll="0"/>
    <pivotField dataField="1" showAll="0"/>
    <pivotField name="Month" showAll="0"/>
    <pivotField name="Period   " showAll="0"/>
  </pivotFields>
  <rowFields count="1">
    <field x="0"/>
  </rowFields>
  <rowItems count="1">
    <i t="grand">
      <x/>
    </i>
  </rowItems>
  <colItems count="1">
    <i/>
  </colItems>
  <dataFields count="1">
    <dataField name="RMA'S" fld="2" baseField="0" baseItem="3" numFmtId="3"/>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25" cacheId="64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location ref="S2:U5" firstHeaderRow="1" firstDataRow="2" firstDataCol="1"/>
  <pivotFields count="7">
    <pivotField showAll="0"/>
    <pivotField showAll="0"/>
    <pivotField showAll="0"/>
    <pivotField dataField="1" showAll="0"/>
    <pivotField axis="axisCol" showAll="0">
      <items count="4">
        <item x="1"/>
        <item x="0"/>
        <item h="1" x="2"/>
        <item t="default"/>
      </items>
    </pivotField>
    <pivotField showAll="0"/>
    <pivotField axis="axisRow" showAll="0" defaultSubtotal="0">
      <items count="6">
        <item x="0"/>
        <item h="1" x="1"/>
        <item h="1" x="2"/>
        <item h="1" m="1" x="4"/>
        <item h="1" m="1" x="3"/>
        <item h="1" m="1" x="5"/>
      </items>
    </pivotField>
  </pivotFields>
  <rowFields count="1">
    <field x="6"/>
  </rowFields>
  <rowItems count="2">
    <i>
      <x/>
    </i>
    <i t="grand">
      <x/>
    </i>
  </rowItems>
  <colFields count="1">
    <field x="4"/>
  </colFields>
  <colItems count="2">
    <i>
      <x/>
    </i>
    <i>
      <x v="1"/>
    </i>
  </colItems>
  <dataFields count="1">
    <dataField name="Sum of HOURS_WORKED" fld="3" showDataAs="percentOfRow" baseField="2"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2" cacheId="64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3">
  <location ref="O1:P14" firstHeaderRow="1" firstDataRow="2" firstDataCol="1"/>
  <pivotFields count="7">
    <pivotField showAll="0"/>
    <pivotField showAll="0"/>
    <pivotField axis="axisRow" showAll="0">
      <items count="7">
        <item x="0"/>
        <item x="1"/>
        <item x="2"/>
        <item m="1" x="4"/>
        <item m="1" x="5"/>
        <item m="1" x="3"/>
        <item t="default"/>
      </items>
    </pivotField>
    <pivotField dataField="1" showAll="0"/>
    <pivotField axis="axisCol" showAll="0">
      <items count="4">
        <item x="1"/>
        <item x="0"/>
        <item h="1" x="2"/>
        <item t="default"/>
      </items>
    </pivotField>
    <pivotField axis="axisRow" showAll="0">
      <items count="14">
        <item x="5"/>
        <item x="6"/>
        <item x="7"/>
        <item x="8"/>
        <item x="9"/>
        <item x="10"/>
        <item x="11"/>
        <item x="0"/>
        <item x="1"/>
        <item x="2"/>
        <item x="3"/>
        <item x="4"/>
        <item x="12"/>
        <item t="default"/>
      </items>
    </pivotField>
    <pivotField axis="axisRow" showAll="0" defaultSubtotal="0">
      <items count="6">
        <item h="1" x="0"/>
        <item x="1"/>
        <item h="1" x="2"/>
        <item h="1" m="1" x="4"/>
        <item h="1" m="1" x="3"/>
        <item h="1" m="1" x="5"/>
      </items>
    </pivotField>
  </pivotFields>
  <rowFields count="3">
    <field x="6"/>
    <field x="2"/>
    <field x="5"/>
  </rowFields>
  <rowItems count="12">
    <i>
      <x v="1"/>
    </i>
    <i r="1">
      <x v="1"/>
    </i>
    <i r="2">
      <x/>
    </i>
    <i r="2">
      <x v="1"/>
    </i>
    <i r="2">
      <x v="2"/>
    </i>
    <i r="2">
      <x v="3"/>
    </i>
    <i r="2">
      <x v="4"/>
    </i>
    <i r="2">
      <x v="5"/>
    </i>
    <i r="2">
      <x v="6"/>
    </i>
    <i r="2">
      <x v="7"/>
    </i>
    <i r="2">
      <x v="8"/>
    </i>
    <i t="grand">
      <x/>
    </i>
  </rowItems>
  <colFields count="1">
    <field x="4"/>
  </colFields>
  <colItems count="1">
    <i>
      <x/>
    </i>
  </colItems>
  <dataFields count="1">
    <dataField name="Sum of HOURS_WORKED" fld="3" showDataAs="percentOfRow" baseField="2" baseItem="0" numFmtId="10"/>
  </dataFields>
  <chartFormats count="3">
    <chartFormat chart="2" format="4" series="1">
      <pivotArea type="data" outline="0" fieldPosition="0">
        <references count="2">
          <reference field="4294967294" count="1" selected="0">
            <x v="0"/>
          </reference>
          <reference field="4" count="1" selected="0">
            <x v="0"/>
          </reference>
        </references>
      </pivotArea>
    </chartFormat>
    <chartFormat chart="2" format="5" series="1">
      <pivotArea type="data" outline="0" fieldPosition="0">
        <references count="2">
          <reference field="4294967294" count="1" selected="0">
            <x v="0"/>
          </reference>
          <reference field="4"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21" cacheId="6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J1:M21" firstHeaderRow="1" firstDataRow="2" firstDataCol="1"/>
  <pivotFields count="7">
    <pivotField showAll="0"/>
    <pivotField showAll="0"/>
    <pivotField axis="axisRow" showAll="0">
      <items count="7">
        <item x="0"/>
        <item x="1"/>
        <item x="2"/>
        <item m="1" x="4"/>
        <item m="1" x="5"/>
        <item m="1" x="3"/>
        <item t="default"/>
      </items>
    </pivotField>
    <pivotField dataField="1" showAll="0"/>
    <pivotField axis="axisCol" showAll="0">
      <items count="4">
        <item x="1"/>
        <item x="0"/>
        <item h="1" x="2"/>
        <item t="default"/>
      </items>
    </pivotField>
    <pivotField axis="axisRow" showAll="0">
      <items count="14">
        <item x="5"/>
        <item x="6"/>
        <item x="7"/>
        <item x="8"/>
        <item x="9"/>
        <item x="10"/>
        <item x="11"/>
        <item x="0"/>
        <item x="1"/>
        <item x="2"/>
        <item x="3"/>
        <item x="4"/>
        <item x="12"/>
        <item t="default"/>
      </items>
    </pivotField>
    <pivotField axis="axisRow" showAll="0" defaultSubtotal="0">
      <items count="6">
        <item x="0"/>
        <item x="1"/>
        <item h="1" x="2"/>
        <item h="1" m="1" x="4"/>
        <item h="1" m="1" x="3"/>
        <item h="1" m="1" x="5"/>
      </items>
    </pivotField>
  </pivotFields>
  <rowFields count="3">
    <field x="6"/>
    <field x="2"/>
    <field x="5"/>
  </rowFields>
  <rowItems count="19">
    <i>
      <x/>
    </i>
    <i r="1">
      <x/>
    </i>
    <i r="2">
      <x v="7"/>
    </i>
    <i r="2">
      <x v="8"/>
    </i>
    <i r="2">
      <x v="9"/>
    </i>
    <i r="2">
      <x v="10"/>
    </i>
    <i r="2">
      <x v="11"/>
    </i>
    <i>
      <x v="1"/>
    </i>
    <i r="1">
      <x v="1"/>
    </i>
    <i r="2">
      <x/>
    </i>
    <i r="2">
      <x v="1"/>
    </i>
    <i r="2">
      <x v="2"/>
    </i>
    <i r="2">
      <x v="3"/>
    </i>
    <i r="2">
      <x v="4"/>
    </i>
    <i r="2">
      <x v="5"/>
    </i>
    <i r="2">
      <x v="6"/>
    </i>
    <i r="2">
      <x v="7"/>
    </i>
    <i r="2">
      <x v="8"/>
    </i>
    <i t="grand">
      <x/>
    </i>
  </rowItems>
  <colFields count="1">
    <field x="4"/>
  </colFields>
  <colItems count="3">
    <i>
      <x/>
    </i>
    <i>
      <x v="1"/>
    </i>
    <i t="grand">
      <x/>
    </i>
  </colItems>
  <dataFields count="1">
    <dataField name="Sum of HOURS_WORKED" fld="3" baseField="5"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26" cacheId="64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location ref="X2:Y5" firstHeaderRow="1" firstDataRow="2" firstDataCol="1"/>
  <pivotFields count="7">
    <pivotField showAll="0"/>
    <pivotField showAll="0"/>
    <pivotField showAll="0"/>
    <pivotField dataField="1" showAll="0"/>
    <pivotField axis="axisCol" showAll="0">
      <items count="4">
        <item x="1"/>
        <item x="0"/>
        <item h="1" x="2"/>
        <item t="default"/>
      </items>
    </pivotField>
    <pivotField showAll="0"/>
    <pivotField axis="axisRow" showAll="0" defaultSubtotal="0">
      <items count="6">
        <item h="1" x="0"/>
        <item x="1"/>
        <item h="1" x="2"/>
        <item h="1" m="1" x="4"/>
        <item h="1" m="1" x="3"/>
        <item h="1" m="1" x="5"/>
      </items>
    </pivotField>
  </pivotFields>
  <rowFields count="1">
    <field x="6"/>
  </rowFields>
  <rowItems count="2">
    <i>
      <x v="1"/>
    </i>
    <i t="grand">
      <x/>
    </i>
  </rowItems>
  <colFields count="1">
    <field x="4"/>
  </colFields>
  <colItems count="1">
    <i>
      <x/>
    </i>
  </colItems>
  <dataFields count="1">
    <dataField name="Sum of HOURS_WORKED" fld="3" showDataAs="percentOfRow" baseField="2"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7" cacheId="6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O6:P7" firstHeaderRow="1" firstDataRow="1" firstDataCol="1" rowPageCount="3" colPageCount="1"/>
  <pivotFields count="10">
    <pivotField showAll="0"/>
    <pivotField showAll="0"/>
    <pivotField showAll="0"/>
    <pivotField axis="axisRow" showAll="0">
      <items count="4">
        <item m="1" x="2"/>
        <item m="1" x="1"/>
        <item h="1" x="0"/>
        <item t="default"/>
      </items>
    </pivotField>
    <pivotField dataField="1" showAll="0"/>
    <pivotField showAll="0"/>
    <pivotField axis="axisPage" showAll="0">
      <items count="3">
        <item x="0"/>
        <item m="1" x="1"/>
        <item t="default"/>
      </items>
    </pivotField>
    <pivotField showAll="0"/>
    <pivotField axis="axisPage" showAll="0">
      <items count="3">
        <item m="1" x="1"/>
        <item x="0"/>
        <item t="default"/>
      </items>
    </pivotField>
    <pivotField axis="axisPage" showAll="0" defaultSubtotal="0">
      <items count="2">
        <item m="1" x="1"/>
        <item x="0"/>
      </items>
    </pivotField>
  </pivotFields>
  <rowFields count="1">
    <field x="3"/>
  </rowFields>
  <rowItems count="1">
    <i t="grand">
      <x/>
    </i>
  </rowItems>
  <colItems count="1">
    <i/>
  </colItems>
  <pageFields count="3">
    <pageField fld="9" hier="-1"/>
    <pageField fld="6" hier="-1"/>
    <pageField fld="8" hier="-1"/>
  </pageFields>
  <dataFields count="1">
    <dataField name="Sum of HOURS_WORKED" fld="4" baseField="3" baseItem="1" numFmtId="4"/>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8" cacheId="6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S3:T4" firstHeaderRow="1" firstDataRow="1" firstDataCol="1"/>
  <pivotFields count="10">
    <pivotField showAll="0"/>
    <pivotField showAll="0"/>
    <pivotField showAll="0"/>
    <pivotField axis="axisRow" showAll="0">
      <items count="4">
        <item m="1" x="2"/>
        <item m="1" x="1"/>
        <item h="1" x="0"/>
        <item t="default"/>
      </items>
    </pivotField>
    <pivotField dataField="1" showAll="0"/>
    <pivotField showAll="0"/>
    <pivotField showAll="0"/>
    <pivotField showAll="0"/>
    <pivotField showAll="0"/>
    <pivotField axis="axisRow" showAll="0" defaultSubtotal="0">
      <items count="2">
        <item m="1" x="1"/>
        <item h="1" x="0"/>
      </items>
    </pivotField>
  </pivotFields>
  <rowFields count="2">
    <field x="9"/>
    <field x="3"/>
  </rowFields>
  <rowItems count="1">
    <i t="grand">
      <x/>
    </i>
  </rowItems>
  <colItems count="1">
    <i/>
  </colItems>
  <dataFields count="1">
    <dataField name="Sum of HOURS_WORKED" fld="4" baseField="3" baseItem="1" numFmtId="4"/>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 cacheId="6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V3:W4" firstHeaderRow="1" firstDataRow="1" firstDataCol="1"/>
  <pivotFields count="10">
    <pivotField showAll="0"/>
    <pivotField showAll="0"/>
    <pivotField showAll="0"/>
    <pivotField axis="axisRow" showAll="0">
      <items count="4">
        <item m="1" x="2"/>
        <item m="1" x="1"/>
        <item h="1" x="0"/>
        <item t="default"/>
      </items>
    </pivotField>
    <pivotField dataField="1" showAll="0"/>
    <pivotField showAll="0"/>
    <pivotField showAll="0"/>
    <pivotField showAll="0"/>
    <pivotField showAll="0"/>
    <pivotField axis="axisRow" showAll="0" defaultSubtotal="0">
      <items count="2">
        <item m="1" x="1"/>
        <item h="1" x="0"/>
      </items>
    </pivotField>
  </pivotFields>
  <rowFields count="2">
    <field x="9"/>
    <field x="3"/>
  </rowFields>
  <rowItems count="1">
    <i t="grand">
      <x/>
    </i>
  </rowItems>
  <colItems count="1">
    <i/>
  </colItems>
  <dataFields count="1">
    <dataField name="Sum of HOURS_WORKED" fld="4" baseField="3" baseItem="1" numFmtId="4"/>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1" cacheId="6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13:L35" firstHeaderRow="1" firstDataRow="1" firstDataCol="1"/>
  <pivotFields count="7">
    <pivotField showAll="0"/>
    <pivotField showAll="0"/>
    <pivotField axis="axisRow" showAll="0">
      <items count="7">
        <item x="0"/>
        <item x="1"/>
        <item x="2"/>
        <item m="1" x="4"/>
        <item m="1" x="5"/>
        <item m="1" x="3"/>
        <item t="default"/>
      </items>
    </pivotField>
    <pivotField dataField="1" showAll="0"/>
    <pivotField showAll="0"/>
    <pivotField axis="axisRow" showAll="0">
      <items count="14">
        <item x="5"/>
        <item x="6"/>
        <item x="7"/>
        <item x="8"/>
        <item x="9"/>
        <item x="10"/>
        <item x="11"/>
        <item x="0"/>
        <item x="1"/>
        <item x="2"/>
        <item x="3"/>
        <item x="4"/>
        <item x="12"/>
        <item t="default"/>
      </items>
    </pivotField>
    <pivotField axis="axisRow" showAll="0" defaultSubtotal="0">
      <items count="6">
        <item x="0"/>
        <item x="1"/>
        <item x="2"/>
        <item m="1" x="4"/>
        <item m="1" x="3"/>
        <item m="1" x="5"/>
      </items>
    </pivotField>
  </pivotFields>
  <rowFields count="3">
    <field x="6"/>
    <field x="2"/>
    <field x="5"/>
  </rowFields>
  <rowItems count="22">
    <i>
      <x/>
    </i>
    <i r="1">
      <x/>
    </i>
    <i r="2">
      <x v="7"/>
    </i>
    <i r="2">
      <x v="8"/>
    </i>
    <i r="2">
      <x v="9"/>
    </i>
    <i r="2">
      <x v="10"/>
    </i>
    <i r="2">
      <x v="11"/>
    </i>
    <i>
      <x v="1"/>
    </i>
    <i r="1">
      <x v="1"/>
    </i>
    <i r="2">
      <x/>
    </i>
    <i r="2">
      <x v="1"/>
    </i>
    <i r="2">
      <x v="2"/>
    </i>
    <i r="2">
      <x v="3"/>
    </i>
    <i r="2">
      <x v="4"/>
    </i>
    <i r="2">
      <x v="5"/>
    </i>
    <i r="2">
      <x v="6"/>
    </i>
    <i r="2">
      <x v="7"/>
    </i>
    <i r="2">
      <x v="8"/>
    </i>
    <i>
      <x v="2"/>
    </i>
    <i r="1">
      <x v="2"/>
    </i>
    <i r="2">
      <x v="12"/>
    </i>
    <i t="grand">
      <x/>
    </i>
  </rowItems>
  <colItems count="1">
    <i/>
  </colItems>
  <dataFields count="1">
    <dataField name="Labor Hours" fld="3" baseField="5" baseItem="3"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33" cacheId="66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H14:AI16" firstHeaderRow="1" firstDataRow="1" firstDataCol="1"/>
  <pivotFields count="6">
    <pivotField axis="axisRow" showAll="0">
      <items count="8">
        <item h="1" x="2"/>
        <item h="1" x="1"/>
        <item x="3"/>
        <item h="1" x="0"/>
        <item h="1" m="1" x="6"/>
        <item h="1" m="1" x="5"/>
        <item h="1" x="4"/>
        <item t="default"/>
      </items>
    </pivotField>
    <pivotField showAll="0"/>
    <pivotField showAll="0"/>
    <pivotField showAll="0"/>
    <pivotField showAll="0"/>
    <pivotField dataField="1" showAll="0"/>
  </pivotFields>
  <rowFields count="1">
    <field x="0"/>
  </rowFields>
  <rowItems count="2">
    <i>
      <x v="2"/>
    </i>
    <i t="grand">
      <x/>
    </i>
  </rowItems>
  <colItems count="1">
    <i/>
  </colItems>
  <dataFields count="1">
    <dataField name="Sales per Man Hour " fld="5" baseField="0" baseItem="0" numFmtId="170"/>
  </dataField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32" cacheId="66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D14:AE16" firstHeaderRow="1" firstDataRow="1" firstDataCol="1"/>
  <pivotFields count="6">
    <pivotField axis="axisRow" showAll="0">
      <items count="8">
        <item h="1" x="2"/>
        <item x="1"/>
        <item h="1" x="3"/>
        <item h="1" x="0"/>
        <item h="1" m="1" x="6"/>
        <item h="1" m="1" x="5"/>
        <item h="1" x="4"/>
        <item t="default"/>
      </items>
    </pivotField>
    <pivotField showAll="0"/>
    <pivotField showAll="0"/>
    <pivotField showAll="0"/>
    <pivotField showAll="0"/>
    <pivotField dataField="1" showAll="0"/>
  </pivotFields>
  <rowFields count="1">
    <field x="0"/>
  </rowFields>
  <rowItems count="2">
    <i>
      <x v="1"/>
    </i>
    <i t="grand">
      <x/>
    </i>
  </rowItems>
  <colItems count="1">
    <i/>
  </colItems>
  <dataFields count="1">
    <dataField name="Sales per Man Hour " fld="5" baseField="0" baseItem="0" numFmtId="170"/>
  </dataField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30" cacheId="54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B23" firstHeaderRow="1" firstDataRow="1" firstDataCol="1"/>
  <pivotFields count="7">
    <pivotField axis="axisRow" showAll="0">
      <items count="5">
        <item x="1"/>
        <item x="0"/>
        <item x="2"/>
        <item x="3"/>
        <item t="default"/>
      </items>
    </pivotField>
    <pivotField showAll="0"/>
    <pivotField dataField="1" showAll="0"/>
    <pivotField showAll="0"/>
    <pivotField showAll="0"/>
    <pivotField axis="axisRow" showAll="0">
      <items count="14">
        <item x="0"/>
        <item x="1"/>
        <item x="2"/>
        <item x="3"/>
        <item x="4"/>
        <item x="5"/>
        <item x="6"/>
        <item x="7"/>
        <item x="8"/>
        <item x="9"/>
        <item x="10"/>
        <item x="11"/>
        <item x="12"/>
        <item t="default"/>
      </items>
    </pivotField>
    <pivotField showAll="0"/>
  </pivotFields>
  <rowFields count="2">
    <field x="0"/>
    <field x="5"/>
  </rowFields>
  <rowItems count="22">
    <i>
      <x/>
    </i>
    <i r="1">
      <x v="6"/>
    </i>
    <i r="1">
      <x v="9"/>
    </i>
    <i>
      <x v="1"/>
    </i>
    <i r="1">
      <x/>
    </i>
    <i r="1">
      <x v="1"/>
    </i>
    <i r="1">
      <x v="2"/>
    </i>
    <i r="1">
      <x v="3"/>
    </i>
    <i r="1">
      <x v="4"/>
    </i>
    <i r="1">
      <x v="5"/>
    </i>
    <i r="1">
      <x v="6"/>
    </i>
    <i r="1">
      <x v="7"/>
    </i>
    <i r="1">
      <x v="8"/>
    </i>
    <i r="1">
      <x v="9"/>
    </i>
    <i r="1">
      <x v="10"/>
    </i>
    <i r="1">
      <x v="11"/>
    </i>
    <i>
      <x v="2"/>
    </i>
    <i r="1">
      <x v="7"/>
    </i>
    <i r="1">
      <x v="8"/>
    </i>
    <i>
      <x v="3"/>
    </i>
    <i r="1">
      <x v="12"/>
    </i>
    <i t="grand">
      <x/>
    </i>
  </rowItems>
  <colItems count="1">
    <i/>
  </colItems>
  <dataFields count="1">
    <dataField name="Sales  "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2" cacheId="66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Y14:Z32" firstHeaderRow="1" firstDataRow="1" firstDataCol="1"/>
  <pivotFields count="6">
    <pivotField axis="axisRow" showAll="0">
      <items count="8">
        <item h="1" x="2"/>
        <item x="1"/>
        <item x="3"/>
        <item h="1" x="0"/>
        <item h="1" m="1" x="6"/>
        <item h="1" m="1" x="5"/>
        <item h="1" x="4"/>
        <item t="default"/>
      </items>
    </pivotField>
    <pivotField axis="axisRow" showAll="0">
      <items count="7">
        <item x="2"/>
        <item x="1"/>
        <item x="3"/>
        <item x="0"/>
        <item m="1" x="4"/>
        <item m="1" x="5"/>
        <item t="default"/>
      </items>
    </pivotField>
    <pivotField axis="axisRow" showAll="0">
      <items count="15">
        <item x="6"/>
        <item x="7"/>
        <item x="8"/>
        <item x="9"/>
        <item x="10"/>
        <item x="11"/>
        <item x="12"/>
        <item x="1"/>
        <item x="2"/>
        <item x="3"/>
        <item x="4"/>
        <item x="5"/>
        <item x="0"/>
        <item x="13"/>
        <item t="default"/>
      </items>
    </pivotField>
    <pivotField showAll="0"/>
    <pivotField showAll="0"/>
    <pivotField dataField="1" showAll="0"/>
  </pivotFields>
  <rowFields count="3">
    <field x="0"/>
    <field x="1"/>
    <field x="2"/>
  </rowFields>
  <rowItems count="18">
    <i>
      <x v="1"/>
    </i>
    <i r="1">
      <x v="1"/>
    </i>
    <i r="2">
      <x v="7"/>
    </i>
    <i r="2">
      <x v="8"/>
    </i>
    <i r="2">
      <x v="9"/>
    </i>
    <i r="2">
      <x v="10"/>
    </i>
    <i r="2">
      <x v="11"/>
    </i>
    <i>
      <x v="2"/>
    </i>
    <i r="1">
      <x v="2"/>
    </i>
    <i r="2">
      <x/>
    </i>
    <i r="2">
      <x v="1"/>
    </i>
    <i r="2">
      <x v="2"/>
    </i>
    <i r="2">
      <x v="3"/>
    </i>
    <i r="2">
      <x v="4"/>
    </i>
    <i r="2">
      <x v="5"/>
    </i>
    <i r="2">
      <x v="6"/>
    </i>
    <i r="2">
      <x v="8"/>
    </i>
    <i t="grand">
      <x/>
    </i>
  </rowItems>
  <colItems count="1">
    <i/>
  </colItems>
  <dataFields count="1">
    <dataField name="Sales per Man Hour " fld="5" baseField="0" baseItem="0" numFmtId="170"/>
  </dataField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3" cacheId="68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H3:K29" firstHeaderRow="0" firstDataRow="1" firstDataCol="1"/>
  <pivotFields count="9">
    <pivotField showAll="0"/>
    <pivotField name="Year " axis="axisRow" showAll="0">
      <items count="4">
        <item x="0"/>
        <item h="1" x="1"/>
        <item h="1" x="2"/>
        <item t="default"/>
      </items>
    </pivotField>
    <pivotField showAll="0"/>
    <pivotField dataField="1" showAll="0"/>
    <pivotField dataField="1" showAll="0"/>
    <pivotField showAll="0"/>
    <pivotField name="Month " axis="axisRow" showAll="0">
      <items count="14">
        <item x="0"/>
        <item x="1"/>
        <item x="2"/>
        <item x="3"/>
        <item x="4"/>
        <item x="5"/>
        <item x="6"/>
        <item x="7"/>
        <item x="8"/>
        <item x="9"/>
        <item x="10"/>
        <item x="11"/>
        <item x="12"/>
        <item t="default"/>
      </items>
    </pivotField>
    <pivotField name="Period  " axis="axisRow" showAll="0">
      <items count="14">
        <item x="7"/>
        <item x="8"/>
        <item x="9"/>
        <item x="10"/>
        <item x="11"/>
        <item x="0"/>
        <item x="1"/>
        <item x="2"/>
        <item x="3"/>
        <item x="4"/>
        <item x="5"/>
        <item x="6"/>
        <item h="1" x="12"/>
        <item t="default"/>
      </items>
    </pivotField>
    <pivotField dataField="1" dragToRow="0" dragToCol="0" dragToPage="0" showAll="0" defaultSubtotal="0"/>
  </pivotFields>
  <rowFields count="3">
    <field x="1"/>
    <field x="7"/>
    <field x="6"/>
  </rowFields>
  <rowItems count="26">
    <i>
      <x/>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3">
    <i>
      <x/>
    </i>
    <i i="1">
      <x v="1"/>
    </i>
    <i i="2">
      <x v="2"/>
    </i>
  </colItems>
  <dataFields count="3">
    <dataField name="Units Produced" fld="3" baseField="6" baseItem="10" numFmtId="3"/>
    <dataField name="Units Scrapped" fld="4" baseField="7" baseItem="4" numFmtId="3"/>
    <dataField name="% Scrapped " fld="8" baseField="6" baseItem="7" numFmtId="10"/>
  </dataFields>
  <chartFormats count="6">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2" cacheId="67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7:D18" firstHeaderRow="0" firstDataRow="1" firstDataCol="1" rowPageCount="3" colPageCount="1"/>
  <pivotFields count="9">
    <pivotField axis="axisRow" showAll="0" measureFilter="1">
      <items count="73">
        <item x="0"/>
        <item x="1"/>
        <item x="57"/>
        <item x="2"/>
        <item x="3"/>
        <item x="4"/>
        <item x="58"/>
        <item x="59"/>
        <item x="5"/>
        <item x="6"/>
        <item x="7"/>
        <item x="8"/>
        <item x="9"/>
        <item x="10"/>
        <item x="11"/>
        <item x="12"/>
        <item x="13"/>
        <item x="14"/>
        <item x="67"/>
        <item x="60"/>
        <item x="61"/>
        <item x="15"/>
        <item x="16"/>
        <item x="17"/>
        <item x="18"/>
        <item x="19"/>
        <item x="62"/>
        <item x="20"/>
        <item x="21"/>
        <item x="68"/>
        <item x="22"/>
        <item x="23"/>
        <item x="24"/>
        <item x="69"/>
        <item x="25"/>
        <item x="26"/>
        <item x="63"/>
        <item x="27"/>
        <item x="28"/>
        <item x="29"/>
        <item x="30"/>
        <item x="31"/>
        <item x="32"/>
        <item x="33"/>
        <item x="64"/>
        <item x="34"/>
        <item x="65"/>
        <item x="35"/>
        <item x="36"/>
        <item x="37"/>
        <item x="38"/>
        <item x="39"/>
        <item x="40"/>
        <item x="41"/>
        <item x="42"/>
        <item x="43"/>
        <item x="44"/>
        <item x="45"/>
        <item x="46"/>
        <item x="47"/>
        <item x="48"/>
        <item x="49"/>
        <item x="50"/>
        <item x="51"/>
        <item x="52"/>
        <item x="66"/>
        <item x="53"/>
        <item x="70"/>
        <item x="54"/>
        <item x="55"/>
        <item x="56"/>
        <item x="71"/>
        <item t="default"/>
      </items>
    </pivotField>
    <pivotField name="Year " axis="axisPage" showAll="0">
      <items count="4">
        <item x="0"/>
        <item x="1"/>
        <item x="2"/>
        <item t="default"/>
      </items>
    </pivotField>
    <pivotField showAll="0"/>
    <pivotField dataField="1" showAll="0"/>
    <pivotField dataField="1" showAll="0"/>
    <pivotField dataField="1" showAll="0"/>
    <pivotField name="Month" axis="axisPage" showAll="0">
      <items count="14">
        <item x="0"/>
        <item x="1"/>
        <item x="2"/>
        <item x="3"/>
        <item x="4"/>
        <item x="5"/>
        <item x="6"/>
        <item x="7"/>
        <item x="8"/>
        <item x="9"/>
        <item x="10"/>
        <item x="11"/>
        <item x="12"/>
        <item t="default"/>
      </items>
    </pivotField>
    <pivotField name="Period  " axis="axisPage" showAll="0">
      <items count="14">
        <item x="7"/>
        <item x="8"/>
        <item x="9"/>
        <item x="10"/>
        <item x="11"/>
        <item x="0"/>
        <item x="1"/>
        <item x="2"/>
        <item x="3"/>
        <item x="4"/>
        <item x="5"/>
        <item x="6"/>
        <item x="12"/>
        <item t="default"/>
      </items>
    </pivotField>
    <pivotField dragToRow="0" dragToCol="0" dragToPage="0" showAll="0" defaultSubtotal="0"/>
  </pivotFields>
  <rowFields count="1">
    <field x="0"/>
  </rowFields>
  <rowItems count="11">
    <i>
      <x/>
    </i>
    <i>
      <x v="11"/>
    </i>
    <i>
      <x v="20"/>
    </i>
    <i>
      <x v="27"/>
    </i>
    <i>
      <x v="36"/>
    </i>
    <i>
      <x v="39"/>
    </i>
    <i>
      <x v="46"/>
    </i>
    <i>
      <x v="47"/>
    </i>
    <i>
      <x v="56"/>
    </i>
    <i>
      <x v="59"/>
    </i>
    <i t="grand">
      <x/>
    </i>
  </rowItems>
  <colFields count="1">
    <field x="-2"/>
  </colFields>
  <colItems count="3">
    <i>
      <x/>
    </i>
    <i i="1">
      <x v="1"/>
    </i>
    <i i="2">
      <x v="2"/>
    </i>
  </colItems>
  <pageFields count="3">
    <pageField fld="1" item="0" hier="-1"/>
    <pageField fld="7" hier="-1"/>
    <pageField fld="6" hier="-1"/>
  </pageFields>
  <dataFields count="3">
    <dataField name="Hours Worked " fld="3" baseField="1" baseItem="0" numFmtId="3"/>
    <dataField name="Hours Available" fld="4" baseField="1" baseItem="0" numFmtId="3"/>
    <dataField name="WC Utilization %" fld="5" baseField="1" baseItem="0" numFmtId="2"/>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9" cacheId="55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Z2:AD3" firstHeaderRow="0" firstDataRow="1" firstDataCol="1"/>
  <pivotFields count="9">
    <pivotField showAll="0"/>
    <pivotField name="Year" axis="axisRow" showAll="0">
      <items count="6">
        <item h="1" m="1" x="2"/>
        <item h="1" m="1" x="1"/>
        <item m="1" x="3"/>
        <item h="1" m="1" x="4"/>
        <item h="1" x="0"/>
        <item t="default"/>
      </items>
    </pivotField>
    <pivotField dataField="1" showAll="0"/>
    <pivotField dataField="1" showAll="0"/>
    <pivotField dataField="1" showAll="0"/>
    <pivotField dataField="1" showAll="0"/>
    <pivotField showAll="0"/>
    <pivotField name="Month" axis="axisRow" showAll="0">
      <items count="14">
        <item m="1" x="2"/>
        <item m="1" x="3"/>
        <item m="1" x="9"/>
        <item m="1" x="4"/>
        <item m="1" x="12"/>
        <item m="1" x="11"/>
        <item m="1" x="8"/>
        <item m="1" x="10"/>
        <item m="1" x="1"/>
        <item m="1" x="7"/>
        <item m="1" x="5"/>
        <item m="1" x="6"/>
        <item x="0"/>
        <item t="default"/>
      </items>
    </pivotField>
    <pivotField name="Period   " axis="axisRow" showAll="0">
      <items count="15">
        <item m="1" x="6"/>
        <item m="1" x="3"/>
        <item m="1" x="7"/>
        <item m="1" x="12"/>
        <item m="1" x="2"/>
        <item m="1" x="4"/>
        <item m="1" x="5"/>
        <item m="1" x="8"/>
        <item m="1" x="9"/>
        <item m="1" x="10"/>
        <item m="1" x="11"/>
        <item m="1" x="13"/>
        <item x="0"/>
        <item m="1" x="1"/>
        <item t="default"/>
      </items>
    </pivotField>
  </pivotFields>
  <rowFields count="3">
    <field x="1"/>
    <field x="8"/>
    <field x="7"/>
  </rowFields>
  <rowItems count="1">
    <i t="grand">
      <x/>
    </i>
  </rowItems>
  <colFields count="1">
    <field x="-2"/>
  </colFields>
  <colItems count="4">
    <i>
      <x/>
    </i>
    <i i="1">
      <x v="1"/>
    </i>
    <i i="2">
      <x v="2"/>
    </i>
    <i i="3">
      <x v="3"/>
    </i>
  </colItems>
  <dataFields count="4">
    <dataField name="On-Time  " fld="2" baseField="1" baseItem="0" numFmtId="3"/>
    <dataField name="Late  " fld="3" baseField="1" baseItem="0" numFmtId="3"/>
    <dataField name="Early " fld="4" baseField="1" baseItem="0" numFmtId="3"/>
    <dataField name="% On-Time" fld="5" baseField="1" baseItem="0" numFmtId="10"/>
  </dataFields>
  <chartFormats count="4">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 cacheId="7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R2:AU28" firstHeaderRow="0" firstDataRow="1" firstDataCol="1"/>
  <pivotFields count="8">
    <pivotField showAll="0"/>
    <pivotField name="Year" axis="axisRow" showAll="0">
      <items count="12">
        <item h="1" x="0"/>
        <item h="1" x="1"/>
        <item h="1" x="2"/>
        <item h="1" x="3"/>
        <item h="1" x="4"/>
        <item h="1" x="5"/>
        <item x="6"/>
        <item h="1" x="7"/>
        <item h="1" x="8"/>
        <item h="1" x="9"/>
        <item h="1" x="10"/>
        <item t="default"/>
      </items>
    </pivotField>
    <pivotField showAll="0"/>
    <pivotField dataField="1" showAll="0"/>
    <pivotField dataField="1" showAll="0"/>
    <pivotField name="Month" axis="axisRow" showAll="0">
      <items count="14">
        <item x="4"/>
        <item x="5"/>
        <item x="6"/>
        <item x="7"/>
        <item x="2"/>
        <item x="10"/>
        <item x="3"/>
        <item x="11"/>
        <item x="8"/>
        <item x="1"/>
        <item x="9"/>
        <item x="0"/>
        <item h="1" x="12"/>
        <item t="default"/>
      </items>
    </pivotField>
    <pivotField name="Period  " axis="axisRow" showAll="0">
      <items count="15">
        <item x="11"/>
        <item x="6"/>
        <item x="7"/>
        <item x="8"/>
        <item x="12"/>
        <item x="1"/>
        <item x="2"/>
        <item x="3"/>
        <item x="4"/>
        <item x="5"/>
        <item x="10"/>
        <item x="9"/>
        <item h="1" x="0"/>
        <item h="1" m="1" x="13"/>
        <item t="default"/>
      </items>
    </pivotField>
    <pivotField dataField="1" showAll="0"/>
  </pivotFields>
  <rowFields count="3">
    <field x="1"/>
    <field x="6"/>
    <field x="5"/>
  </rowFields>
  <rowItems count="26">
    <i>
      <x v="6"/>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Fields count="1">
    <field x="-2"/>
  </colFields>
  <colItems count="3">
    <i>
      <x/>
    </i>
    <i i="1">
      <x v="1"/>
    </i>
    <i i="2">
      <x v="2"/>
    </i>
  </colItems>
  <dataFields count="3">
    <dataField name="Hours Act" fld="4" baseField="1" baseItem="0" numFmtId="3"/>
    <dataField name="Hours Est" fld="3" baseField="1" baseItem="0" numFmtId="3"/>
    <dataField name="% of Estimate" fld="7" baseField="1" baseItem="0" numFmtId="3"/>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5" cacheId="68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V2:W28" firstHeaderRow="1" firstDataRow="1" firstDataCol="1"/>
  <pivotFields count="6">
    <pivotField showAll="0"/>
    <pivotField name="Year " axis="axisRow" showAll="0">
      <items count="4">
        <item x="0"/>
        <item h="1" x="1"/>
        <item h="1" x="2"/>
        <item t="default"/>
      </items>
    </pivotField>
    <pivotField showAll="0"/>
    <pivotField name="Month" axis="axisRow" showAll="0">
      <items count="14">
        <item x="0"/>
        <item x="1"/>
        <item x="2"/>
        <item x="3"/>
        <item x="4"/>
        <item x="5"/>
        <item x="6"/>
        <item x="7"/>
        <item x="8"/>
        <item x="9"/>
        <item x="10"/>
        <item x="11"/>
        <item h="1" x="12"/>
        <item t="default"/>
      </items>
    </pivotField>
    <pivotField name="Period  " axis="axisRow" showAll="0">
      <items count="14">
        <item x="7"/>
        <item x="8"/>
        <item x="9"/>
        <item x="10"/>
        <item x="11"/>
        <item x="0"/>
        <item x="1"/>
        <item x="2"/>
        <item x="3"/>
        <item x="4"/>
        <item x="5"/>
        <item x="6"/>
        <item h="1" x="12"/>
        <item t="default"/>
      </items>
    </pivotField>
    <pivotField dataField="1" showAll="0"/>
  </pivotFields>
  <rowFields count="3">
    <field x="1"/>
    <field x="4"/>
    <field x="3"/>
  </rowFields>
  <rowItems count="26">
    <i>
      <x/>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Items count="1">
    <i/>
  </colItems>
  <dataFields count="1">
    <dataField name="Avg Cost" fld="5" baseField="1" baseItem="0" numFmtId="17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67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T4:U30" firstHeaderRow="1" firstDataRow="1" firstDataCol="1"/>
  <pivotFields count="5">
    <pivotField name="Year" axis="axisRow" showAll="0">
      <items count="5">
        <item h="1" x="0"/>
        <item x="1"/>
        <item h="1" x="2"/>
        <item h="1" x="3"/>
        <item t="default"/>
      </items>
    </pivotField>
    <pivotField showAll="0"/>
    <pivotField dataField="1" showAll="0"/>
    <pivotField name="Month" axis="axisRow" showAll="0">
      <items count="14">
        <item x="2"/>
        <item x="3"/>
        <item x="4"/>
        <item x="5"/>
        <item x="6"/>
        <item x="7"/>
        <item x="0"/>
        <item x="8"/>
        <item x="9"/>
        <item x="1"/>
        <item x="10"/>
        <item x="11"/>
        <item h="1" x="12"/>
        <item t="default"/>
      </items>
    </pivotField>
    <pivotField name="Period  " axis="axisRow" showAll="0">
      <items count="14">
        <item x="8"/>
        <item x="9"/>
        <item x="1"/>
        <item x="10"/>
        <item x="11"/>
        <item x="2"/>
        <item x="3"/>
        <item x="4"/>
        <item x="5"/>
        <item x="6"/>
        <item x="7"/>
        <item x="0"/>
        <item h="1" x="12"/>
        <item t="default"/>
      </items>
    </pivotField>
  </pivotFields>
  <rowFields count="3">
    <field x="0"/>
    <field x="4"/>
    <field x="3"/>
  </rowFields>
  <rowItems count="26">
    <i>
      <x v="1"/>
    </i>
    <i r="1">
      <x/>
    </i>
    <i r="2">
      <x v="7"/>
    </i>
    <i r="1">
      <x v="1"/>
    </i>
    <i r="2">
      <x v="8"/>
    </i>
    <i r="1">
      <x v="2"/>
    </i>
    <i r="2">
      <x v="9"/>
    </i>
    <i r="1">
      <x v="3"/>
    </i>
    <i r="2">
      <x v="10"/>
    </i>
    <i r="1">
      <x v="4"/>
    </i>
    <i r="2">
      <x v="11"/>
    </i>
    <i r="1">
      <x v="5"/>
    </i>
    <i r="2">
      <x/>
    </i>
    <i r="1">
      <x v="6"/>
    </i>
    <i r="2">
      <x v="1"/>
    </i>
    <i r="1">
      <x v="7"/>
    </i>
    <i r="2">
      <x v="2"/>
    </i>
    <i r="1">
      <x v="8"/>
    </i>
    <i r="2">
      <x v="3"/>
    </i>
    <i r="1">
      <x v="9"/>
    </i>
    <i r="2">
      <x v="4"/>
    </i>
    <i r="1">
      <x v="10"/>
    </i>
    <i r="2">
      <x v="5"/>
    </i>
    <i r="1">
      <x v="11"/>
    </i>
    <i r="2">
      <x v="6"/>
    </i>
    <i t="grand">
      <x/>
    </i>
  </rowItems>
  <colItems count="1">
    <i/>
  </colItems>
  <dataFields count="1">
    <dataField name="Sum of TOTAL" fld="2" baseField="4" baseItem="11" numFmtId="171"/>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 cacheId="63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AJ3:AL5" firstHeaderRow="0" firstDataRow="1" firstDataCol="1"/>
  <pivotFields count="29">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5">
        <item h="1" x="0"/>
        <item x="1"/>
        <item h="1" x="2"/>
        <item h="1" x="3"/>
        <item h="1" m="1" x="4"/>
      </items>
    </pivotField>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24"/>
  </rowFields>
  <rowItems count="2">
    <i>
      <x v="1"/>
    </i>
    <i t="grand">
      <x/>
    </i>
  </rowItems>
  <colFields count="1">
    <field x="-2"/>
  </colFields>
  <colItems count="2">
    <i>
      <x/>
    </i>
    <i i="1">
      <x v="1"/>
    </i>
  </colItems>
  <dataFields count="2">
    <dataField name="OH % of Sales " fld="28" baseField="0" baseItem="0" numFmtId="10"/>
    <dataField name="EBITDA % of Sales " fld="27" baseField="0" baseItem="0" numFmtId="10"/>
  </dataFields>
  <formats count="6">
    <format dxfId="64">
      <pivotArea type="all" dataOnly="0" outline="0" fieldPosition="0"/>
    </format>
    <format dxfId="63">
      <pivotArea outline="0" collapsedLevelsAreSubtotals="1" fieldPosition="0"/>
    </format>
    <format dxfId="62">
      <pivotArea field="24" type="button" dataOnly="0" labelOnly="1" outline="0" axis="axisRow" fieldPosition="0"/>
    </format>
    <format dxfId="61">
      <pivotArea dataOnly="0" labelOnly="1" fieldPosition="0">
        <references count="1">
          <reference field="24" count="0"/>
        </references>
      </pivotArea>
    </format>
    <format dxfId="60">
      <pivotArea dataOnly="0" labelOnly="1" grandRow="1" outline="0" fieldPosition="0"/>
    </format>
    <format dxfId="59">
      <pivotArea dataOnly="0" labelOnly="1" outline="0" fieldPosition="0">
        <references count="1">
          <reference field="4294967294" count="2">
            <x v="0"/>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639" applyNumberFormats="0" applyBorderFormats="0" applyFontFormats="0" applyPatternFormats="0" applyAlignmentFormats="0" applyWidthHeightFormats="1" dataCaption="Values" errorCaption="0" showError="1" missingCaption="0" updatedVersion="5" minRefreshableVersion="3" useAutoFormatting="1" itemPrintTitles="1" createdVersion="5" indent="0" outline="1" outlineData="1" multipleFieldFilters="0" chartFormat="21">
  <location ref="AD1:AH10" firstHeaderRow="0" firstDataRow="1" firstDataCol="1"/>
  <pivotFields count="29">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
        <item h="1" x="6"/>
        <item h="1" x="7"/>
        <item x="8"/>
        <item x="9"/>
        <item x="10"/>
        <item x="11"/>
        <item x="1"/>
        <item h="1" x="2"/>
        <item h="1" x="3"/>
        <item h="1" x="0"/>
        <item h="1" x="4"/>
        <item h="1" x="5"/>
        <item h="1" x="12"/>
        <item t="default"/>
      </items>
    </pivotField>
    <pivotField axis="axisRow" showAll="0" defaultSubtotal="0">
      <items count="5">
        <item h="1" x="0"/>
        <item x="1"/>
        <item x="2"/>
        <item h="1" x="3"/>
        <item h="1" m="1" x="4"/>
      </items>
    </pivotField>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24"/>
    <field x="23"/>
  </rowFields>
  <rowItems count="9">
    <i>
      <x v="1"/>
    </i>
    <i r="1">
      <x v="6"/>
    </i>
    <i>
      <x v="2"/>
    </i>
    <i r="1">
      <x v="2"/>
    </i>
    <i r="1">
      <x v="3"/>
    </i>
    <i r="1">
      <x v="4"/>
    </i>
    <i r="1">
      <x v="5"/>
    </i>
    <i r="1">
      <x v="6"/>
    </i>
    <i t="grand">
      <x/>
    </i>
  </rowItems>
  <colFields count="1">
    <field x="-2"/>
  </colFields>
  <colItems count="4">
    <i>
      <x/>
    </i>
    <i i="1">
      <x v="1"/>
    </i>
    <i i="2">
      <x v="2"/>
    </i>
    <i i="3">
      <x v="3"/>
    </i>
  </colItems>
  <dataFields count="4">
    <dataField name="OH " fld="25" baseField="0" baseItem="0" numFmtId="171"/>
    <dataField name="EBITDA " fld="26" baseField="0" baseItem="0" numFmtId="171"/>
    <dataField name="EBITDA % of Sales " fld="27" baseField="23" baseItem="2" numFmtId="10"/>
    <dataField name="OH % of Sales " fld="28" baseField="23" baseItem="8" numFmtId="10"/>
  </dataFields>
  <formats count="7">
    <format dxfId="71">
      <pivotArea type="all" dataOnly="0" outline="0" fieldPosition="0"/>
    </format>
    <format dxfId="70">
      <pivotArea outline="0" collapsedLevelsAreSubtotals="1" fieldPosition="0"/>
    </format>
    <format dxfId="69">
      <pivotArea field="24" type="button" dataOnly="0" labelOnly="1" outline="0" axis="axisRow" fieldPosition="0"/>
    </format>
    <format dxfId="68">
      <pivotArea dataOnly="0" labelOnly="1" fieldPosition="0">
        <references count="1">
          <reference field="24" count="0"/>
        </references>
      </pivotArea>
    </format>
    <format dxfId="67">
      <pivotArea dataOnly="0" labelOnly="1" grandRow="1" outline="0" fieldPosition="0"/>
    </format>
    <format dxfId="66">
      <pivotArea dataOnly="0" labelOnly="1" fieldPosition="0">
        <references count="2">
          <reference field="23" count="0"/>
          <reference field="24" count="0" selected="0"/>
        </references>
      </pivotArea>
    </format>
    <format dxfId="65">
      <pivotArea dataOnly="0" labelOnly="1" outline="0" fieldPosition="0">
        <references count="1">
          <reference field="4294967294" count="4">
            <x v="0"/>
            <x v="1"/>
            <x v="2"/>
            <x v="3"/>
          </reference>
        </references>
      </pivotArea>
    </format>
  </formats>
  <chartFormats count="10">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1"/>
          </reference>
        </references>
      </pivotArea>
    </chartFormat>
    <chartFormat chart="13" format="10" series="1">
      <pivotArea type="data" outline="0" fieldPosition="0">
        <references count="1">
          <reference field="4294967294" count="1" selected="0">
            <x v="2"/>
          </reference>
        </references>
      </pivotArea>
    </chartFormat>
    <chartFormat chart="13" format="11" series="1">
      <pivotArea type="data" outline="0" fieldPosition="0">
        <references count="1">
          <reference field="4294967294" count="1" selected="0">
            <x v="3"/>
          </reference>
        </references>
      </pivotArea>
    </chartFormat>
    <chartFormat chart="16" format="16" series="1">
      <pivotArea type="data" outline="0" fieldPosition="0">
        <references count="1">
          <reference field="4294967294" count="1" selected="0">
            <x v="0"/>
          </reference>
        </references>
      </pivotArea>
    </chartFormat>
    <chartFormat chart="16" format="17" series="1">
      <pivotArea type="data" outline="0" fieldPosition="0">
        <references count="1">
          <reference field="4294967294" count="1" selected="0">
            <x v="1"/>
          </reference>
        </references>
      </pivotArea>
    </chartFormat>
    <chartFormat chart="16" format="18" series="1">
      <pivotArea type="data" outline="0" fieldPosition="0">
        <references count="1">
          <reference field="4294967294" count="1" selected="0">
            <x v="2"/>
          </reference>
        </references>
      </pivotArea>
    </chartFormat>
    <chartFormat chart="16"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3" cacheId="63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AN3:AP5" firstHeaderRow="0" firstDataRow="1" firstDataCol="1"/>
  <pivotFields count="29">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5">
        <item h="1" x="0"/>
        <item h="1" x="1"/>
        <item x="2"/>
        <item h="1" x="3"/>
        <item h="1" m="1" x="4"/>
      </items>
    </pivotField>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24"/>
  </rowFields>
  <rowItems count="2">
    <i>
      <x v="2"/>
    </i>
    <i t="grand">
      <x/>
    </i>
  </rowItems>
  <colFields count="1">
    <field x="-2"/>
  </colFields>
  <colItems count="2">
    <i>
      <x/>
    </i>
    <i i="1">
      <x v="1"/>
    </i>
  </colItems>
  <dataFields count="2">
    <dataField name="OH % of Sales " fld="28" baseField="0" baseItem="0" numFmtId="10"/>
    <dataField name="EBITDA % of Sales " fld="27" baseField="0" baseItem="0" numFmtId="10"/>
  </dataFields>
  <formats count="6">
    <format dxfId="77">
      <pivotArea type="all" dataOnly="0" outline="0" fieldPosition="0"/>
    </format>
    <format dxfId="76">
      <pivotArea outline="0" collapsedLevelsAreSubtotals="1" fieldPosition="0"/>
    </format>
    <format dxfId="75">
      <pivotArea field="24" type="button" dataOnly="0" labelOnly="1" outline="0" axis="axisRow" fieldPosition="0"/>
    </format>
    <format dxfId="74">
      <pivotArea dataOnly="0" labelOnly="1" fieldPosition="0">
        <references count="1">
          <reference field="24" count="0"/>
        </references>
      </pivotArea>
    </format>
    <format dxfId="73">
      <pivotArea dataOnly="0" labelOnly="1" grandRow="1" outline="0" fieldPosition="0"/>
    </format>
    <format dxfId="72">
      <pivotArea dataOnly="0" labelOnly="1" outline="0" fieldPosition="0">
        <references count="1">
          <reference field="4294967294" count="2">
            <x v="0"/>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6" cacheId="66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location ref="AY19:BB27" firstHeaderRow="0" firstDataRow="1" firstDataCol="1"/>
  <pivotFields count="4">
    <pivotField axis="axisRow" showAll="0">
      <items count="11">
        <item x="0"/>
        <item x="1"/>
        <item x="2"/>
        <item x="3"/>
        <item x="4"/>
        <item x="5"/>
        <item x="6"/>
        <item h="1" x="7"/>
        <item h="1" x="8"/>
        <item h="1" x="9"/>
        <item t="default"/>
      </items>
    </pivotField>
    <pivotField dataField="1" numFmtId="10" showAll="0"/>
    <pivotField dataField="1" numFmtId="10" showAll="0"/>
    <pivotField dataField="1" numFmtId="9" showAll="0" defaultSubtotal="0"/>
  </pivotFields>
  <rowFields count="1">
    <field x="0"/>
  </rowFields>
  <rowItems count="8">
    <i>
      <x/>
    </i>
    <i>
      <x v="1"/>
    </i>
    <i>
      <x v="2"/>
    </i>
    <i>
      <x v="3"/>
    </i>
    <i>
      <x v="4"/>
    </i>
    <i>
      <x v="5"/>
    </i>
    <i>
      <x v="6"/>
    </i>
    <i t="grand">
      <x/>
    </i>
  </rowItems>
  <colFields count="1">
    <field x="-2"/>
  </colFields>
  <colItems count="3">
    <i>
      <x/>
    </i>
    <i i="1">
      <x v="1"/>
    </i>
    <i i="2">
      <x v="2"/>
    </i>
  </colItems>
  <dataFields count="3">
    <dataField name="ROA " fld="1" baseField="0" baseItem="1" numFmtId="10"/>
    <dataField name=" ROE " fld="2" baseField="0" baseItem="5" numFmtId="10"/>
    <dataField name="ROE Target " fld="3" baseField="0" baseItem="1" numFmtId="10"/>
  </dataFields>
  <chartFormats count="6">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7" format="7" series="1">
      <pivotArea type="data" outline="0" fieldPosition="0">
        <references count="1">
          <reference field="4294967294" count="1" selected="0">
            <x v="2"/>
          </reference>
        </references>
      </pivotArea>
    </chartFormat>
    <chartFormat chart="15" format="20" series="1">
      <pivotArea type="data" outline="0" fieldPosition="0">
        <references count="1">
          <reference field="4294967294" count="1" selected="0">
            <x v="0"/>
          </reference>
        </references>
      </pivotArea>
    </chartFormat>
    <chartFormat chart="15" format="21" series="1">
      <pivotArea type="data" outline="0" fieldPosition="0">
        <references count="1">
          <reference field="4294967294" count="1" selected="0">
            <x v="1"/>
          </reference>
        </references>
      </pivotArea>
    </chartFormat>
    <chartFormat chart="15" format="2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9" cacheId="65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location ref="BK19:BL25" firstHeaderRow="1" firstDataRow="1" firstDataCol="1"/>
  <pivotFields count="2">
    <pivotField axis="axisRow" showAll="0">
      <items count="11">
        <item h="1" x="0"/>
        <item x="1"/>
        <item x="2"/>
        <item x="3"/>
        <item x="4"/>
        <item x="5"/>
        <item h="1" x="6"/>
        <item h="1" x="7"/>
        <item h="1" x="8"/>
        <item h="1" x="9"/>
        <item t="default"/>
      </items>
    </pivotField>
    <pivotField dataField="1" showAll="0"/>
  </pivotFields>
  <rowFields count="1">
    <field x="0"/>
  </rowFields>
  <rowItems count="6">
    <i>
      <x v="1"/>
    </i>
    <i>
      <x v="2"/>
    </i>
    <i>
      <x v="3"/>
    </i>
    <i>
      <x v="4"/>
    </i>
    <i>
      <x v="5"/>
    </i>
    <i t="grand">
      <x/>
    </i>
  </rowItems>
  <colItems count="1">
    <i/>
  </colItems>
  <dataFields count="1">
    <dataField name="Sum of Sales Growth" fld="1" baseField="0" baseItem="1" numFmtId="10"/>
  </dataFields>
  <chartFormats count="2">
    <chartFormat chart="5"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0" cacheId="65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location ref="BO19:BQ27" firstHeaderRow="0" firstDataRow="1" firstDataCol="1"/>
  <pivotFields count="3">
    <pivotField axis="axisRow" showAll="0">
      <items count="11">
        <item x="0"/>
        <item x="1"/>
        <item x="2"/>
        <item x="3"/>
        <item x="4"/>
        <item x="5"/>
        <item x="6"/>
        <item h="1" x="7"/>
        <item h="1" x="8"/>
        <item h="1" x="9"/>
        <item t="default"/>
      </items>
    </pivotField>
    <pivotField dataField="1" showAll="0"/>
    <pivotField dataField="1" showAll="0"/>
  </pivotFields>
  <rowFields count="1">
    <field x="0"/>
  </rowFields>
  <rowItems count="8">
    <i>
      <x/>
    </i>
    <i>
      <x v="1"/>
    </i>
    <i>
      <x v="2"/>
    </i>
    <i>
      <x v="3"/>
    </i>
    <i>
      <x v="4"/>
    </i>
    <i>
      <x v="5"/>
    </i>
    <i>
      <x v="6"/>
    </i>
    <i t="grand">
      <x/>
    </i>
  </rowItems>
  <colFields count="1">
    <field x="-2"/>
  </colFields>
  <colItems count="2">
    <i>
      <x/>
    </i>
    <i i="1">
      <x v="1"/>
    </i>
  </colItems>
  <dataFields count="2">
    <dataField name=" Inventory Turnover" fld="1" baseField="0" baseItem="1" numFmtId="4"/>
    <dataField name="Target " fld="2" baseField="0" baseItem="3" numFmtId="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0" format="10" series="1">
      <pivotArea type="data" outline="0" fieldPosition="0">
        <references count="1">
          <reference field="4294967294" count="1" selected="0">
            <x v="0"/>
          </reference>
        </references>
      </pivotArea>
    </chartFormat>
    <chartFormat chart="10"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8" cacheId="6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6">
  <location ref="BE19:BH26" firstHeaderRow="0" firstDataRow="1" firstDataCol="1"/>
  <pivotFields count="4">
    <pivotField axis="axisRow" showAll="0">
      <items count="11">
        <item x="0"/>
        <item x="1"/>
        <item x="2"/>
        <item x="3"/>
        <item x="4"/>
        <item x="5"/>
        <item h="1" x="6"/>
        <item h="1" x="7"/>
        <item h="1" x="8"/>
        <item h="1" x="9"/>
        <item t="default"/>
      </items>
    </pivotField>
    <pivotField dataField="1" numFmtId="2" showAll="0"/>
    <pivotField dataField="1" numFmtId="2" showAll="0"/>
    <pivotField dataField="1" numFmtId="2" showAll="0"/>
  </pivotFields>
  <rowFields count="1">
    <field x="0"/>
  </rowFields>
  <rowItems count="7">
    <i>
      <x/>
    </i>
    <i>
      <x v="1"/>
    </i>
    <i>
      <x v="2"/>
    </i>
    <i>
      <x v="3"/>
    </i>
    <i>
      <x v="4"/>
    </i>
    <i>
      <x v="5"/>
    </i>
    <i t="grand">
      <x/>
    </i>
  </rowItems>
  <colFields count="1">
    <field x="-2"/>
  </colFields>
  <colItems count="3">
    <i>
      <x/>
    </i>
    <i i="1">
      <x v="1"/>
    </i>
    <i i="2">
      <x v="2"/>
    </i>
  </colItems>
  <dataFields count="3">
    <dataField name="DSO " fld="1" baseField="0" baseItem="1" numFmtId="4"/>
    <dataField name=" CC " fld="2" baseField="0" baseItem="2" numFmtId="4"/>
    <dataField name=" CC Target" fld="3"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5" format="15" series="1">
      <pivotArea type="data" outline="0" fieldPosition="0">
        <references count="1">
          <reference field="4294967294" count="1" selected="0">
            <x v="0"/>
          </reference>
        </references>
      </pivotArea>
    </chartFormat>
    <chartFormat chart="15" format="16" series="1">
      <pivotArea type="data" outline="0" fieldPosition="0">
        <references count="1">
          <reference field="4294967294" count="1" selected="0">
            <x v="1"/>
          </reference>
        </references>
      </pivotArea>
    </chartFormat>
    <chartFormat chart="15"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3" cacheId="6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V3:Y6" firstHeaderRow="0" firstDataRow="1" firstDataCol="1"/>
  <pivotFields count="8">
    <pivotField name="Year" axis="axisRow" showAll="0">
      <items count="4">
        <item x="0"/>
        <item x="1"/>
        <item h="1" x="2"/>
        <item t="default"/>
      </items>
    </pivotField>
    <pivotField showAll="0"/>
    <pivotField dataField="1" showAll="0"/>
    <pivotField dataField="1" showAll="0"/>
    <pivotField showAll="0"/>
    <pivotField name="Month " showAll="0"/>
    <pivotField name="Period " showAll="0"/>
    <pivotField dataField="1" dragToRow="0" dragToCol="0" dragToPage="0" showAll="0" defaultSubtotal="0"/>
  </pivotFields>
  <rowFields count="1">
    <field x="0"/>
  </rowFields>
  <rowItems count="3">
    <i>
      <x/>
    </i>
    <i>
      <x v="1"/>
    </i>
    <i t="grand">
      <x/>
    </i>
  </rowItems>
  <colFields count="1">
    <field x="-2"/>
  </colFields>
  <colItems count="3">
    <i>
      <x/>
    </i>
    <i i="1">
      <x v="1"/>
    </i>
    <i i="2">
      <x v="2"/>
    </i>
  </colItems>
  <dataFields count="3">
    <dataField name="Actual  " fld="2" baseField="0" baseItem="0" numFmtId="171"/>
    <dataField name="Estimate  " fld="3" baseField="0" baseItem="0" numFmtId="171"/>
    <dataField name="Avg % Estimate " fld="7" subtotal="average" baseField="0" baseItem="0" numFmtId="10"/>
  </dataFields>
  <chartFormats count="6">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7" cacheId="67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AX5:AZ8" firstHeaderRow="0" firstDataRow="1" firstDataCol="1"/>
  <pivotFields count="9">
    <pivotField showAll="0"/>
    <pivotField name="Year " axis="axisRow" showAll="0">
      <items count="4">
        <item x="0"/>
        <item x="1"/>
        <item h="1" x="2"/>
        <item t="default"/>
      </items>
    </pivotField>
    <pivotField showAll="0"/>
    <pivotField dataField="1" showAll="0"/>
    <pivotField dataField="1" showAll="0"/>
    <pivotField showAll="0"/>
    <pivotField name="Month" showAll="0"/>
    <pivotField name="Period  " showAll="0"/>
    <pivotField dragToRow="0" dragToCol="0" dragToPage="0" showAll="0" defaultSubtotal="0"/>
  </pivotFields>
  <rowFields count="1">
    <field x="1"/>
  </rowFields>
  <rowItems count="3">
    <i>
      <x/>
    </i>
    <i>
      <x v="1"/>
    </i>
    <i t="grand">
      <x/>
    </i>
  </rowItems>
  <colFields count="1">
    <field x="-2"/>
  </colFields>
  <colItems count="2">
    <i>
      <x/>
    </i>
    <i i="1">
      <x v="1"/>
    </i>
  </colItems>
  <dataFields count="2">
    <dataField name="Hours Worked" fld="3" baseField="1" baseItem="0" numFmtId="3"/>
    <dataField name="Hours Available" fld="4" baseField="1" baseItem="0" numFmtId="3"/>
  </dataFields>
  <chartFormats count="2">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4" cacheId="639" applyNumberFormats="0" applyBorderFormats="0" applyFontFormats="0" applyPatternFormats="0" applyAlignmentFormats="0" applyWidthHeightFormats="1" dataCaption="Values" errorCaption="0" showError="1" missingCaption="0" updatedVersion="5" minRefreshableVersion="3" useAutoFormatting="1" itemPrintTitles="1" createdVersion="5" indent="0" outline="1" outlineData="1" multipleFieldFilters="0" chartFormat="23">
  <location ref="O1:S5" firstHeaderRow="0" firstDataRow="1" firstDataCol="1"/>
  <pivotFields count="29">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5">
        <item x="0"/>
        <item x="1"/>
        <item x="2"/>
        <item h="1" x="3"/>
        <item h="1" m="1" x="4"/>
      </items>
    </pivotField>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4"/>
  </rowFields>
  <rowItems count="4">
    <i>
      <x/>
    </i>
    <i>
      <x v="1"/>
    </i>
    <i>
      <x v="2"/>
    </i>
    <i t="grand">
      <x/>
    </i>
  </rowItems>
  <colFields count="1">
    <field x="-2"/>
  </colFields>
  <colItems count="4">
    <i>
      <x/>
    </i>
    <i i="1">
      <x v="1"/>
    </i>
    <i i="2">
      <x v="2"/>
    </i>
    <i i="3">
      <x v="3"/>
    </i>
  </colItems>
  <dataFields count="4">
    <dataField name="OH " fld="25" baseField="0" baseItem="0" numFmtId="171"/>
    <dataField name="EBITDA " fld="26" baseField="0" baseItem="0" numFmtId="171"/>
    <dataField name="EBITDA % of Sales " fld="27" baseField="23" baseItem="2" numFmtId="10"/>
    <dataField name="OH % of Sales " fld="28" baseField="23" baseItem="8" numFmtId="10"/>
  </dataFields>
  <formats count="6">
    <format dxfId="5">
      <pivotArea type="all" dataOnly="0" outline="0" fieldPosition="0"/>
    </format>
    <format dxfId="4">
      <pivotArea outline="0" collapsedLevelsAreSubtotals="1" fieldPosition="0"/>
    </format>
    <format dxfId="3">
      <pivotArea field="24" type="button" dataOnly="0" labelOnly="1" outline="0" axis="axisRow" fieldPosition="0"/>
    </format>
    <format dxfId="2">
      <pivotArea dataOnly="0" labelOnly="1" fieldPosition="0">
        <references count="1">
          <reference field="24" count="0"/>
        </references>
      </pivotArea>
    </format>
    <format dxfId="1">
      <pivotArea dataOnly="0" labelOnly="1" grandRow="1" outline="0" fieldPosition="0"/>
    </format>
    <format dxfId="0">
      <pivotArea dataOnly="0" labelOnly="1" outline="0" fieldPosition="0">
        <references count="1">
          <reference field="4294967294" count="4">
            <x v="0"/>
            <x v="1"/>
            <x v="2"/>
            <x v="3"/>
          </reference>
        </references>
      </pivotArea>
    </format>
  </formats>
  <chartFormats count="14">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1"/>
          </reference>
        </references>
      </pivotArea>
    </chartFormat>
    <chartFormat chart="13" format="10" series="1">
      <pivotArea type="data" outline="0" fieldPosition="0">
        <references count="1">
          <reference field="4294967294" count="1" selected="0">
            <x v="2"/>
          </reference>
        </references>
      </pivotArea>
    </chartFormat>
    <chartFormat chart="13" format="11" series="1">
      <pivotArea type="data" outline="0" fieldPosition="0">
        <references count="1">
          <reference field="4294967294" count="1" selected="0">
            <x v="3"/>
          </reference>
        </references>
      </pivotArea>
    </chartFormat>
    <chartFormat chart="16" format="16" series="1">
      <pivotArea type="data" outline="0" fieldPosition="0">
        <references count="1">
          <reference field="4294967294" count="1" selected="0">
            <x v="0"/>
          </reference>
        </references>
      </pivotArea>
    </chartFormat>
    <chartFormat chart="16" format="17" series="1">
      <pivotArea type="data" outline="0" fieldPosition="0">
        <references count="1">
          <reference field="4294967294" count="1" selected="0">
            <x v="1"/>
          </reference>
        </references>
      </pivotArea>
    </chartFormat>
    <chartFormat chart="16" format="18" series="1">
      <pivotArea type="data" outline="0" fieldPosition="0">
        <references count="1">
          <reference field="4294967294" count="1" selected="0">
            <x v="2"/>
          </reference>
        </references>
      </pivotArea>
    </chartFormat>
    <chartFormat chart="16" format="19" series="1">
      <pivotArea type="data" outline="0" fieldPosition="0">
        <references count="1">
          <reference field="4294967294" count="1" selected="0">
            <x v="3"/>
          </reference>
        </references>
      </pivotArea>
    </chartFormat>
    <chartFormat chart="22" format="8" series="1">
      <pivotArea type="data" outline="0" fieldPosition="0">
        <references count="1">
          <reference field="4294967294" count="1" selected="0">
            <x v="0"/>
          </reference>
        </references>
      </pivotArea>
    </chartFormat>
    <chartFormat chart="22" format="9" series="1">
      <pivotArea type="data" outline="0" fieldPosition="0">
        <references count="1">
          <reference field="4294967294" count="1" selected="0">
            <x v="1"/>
          </reference>
        </references>
      </pivotArea>
    </chartFormat>
    <chartFormat chart="22" format="10" series="1">
      <pivotArea type="data" outline="0" fieldPosition="0">
        <references count="1">
          <reference field="4294967294" count="1" selected="0">
            <x v="2"/>
          </reference>
        </references>
      </pivotArea>
    </chartFormat>
    <chartFormat chart="22"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26" cacheId="66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location ref="AR4:AS7" firstHeaderRow="1" firstDataRow="1" firstDataCol="1"/>
  <pivotFields count="6">
    <pivotField axis="axisRow" showAll="0">
      <items count="8">
        <item h="1" x="2"/>
        <item x="1"/>
        <item x="3"/>
        <item h="1" x="0"/>
        <item m="1" x="6"/>
        <item h="1" m="1" x="5"/>
        <item h="1" x="4"/>
        <item t="default"/>
      </items>
    </pivotField>
    <pivotField showAll="0"/>
    <pivotField showAll="0"/>
    <pivotField showAll="0"/>
    <pivotField showAll="0"/>
    <pivotField dataField="1" showAll="0"/>
  </pivotFields>
  <rowFields count="1">
    <field x="0"/>
  </rowFields>
  <rowItems count="3">
    <i>
      <x v="1"/>
    </i>
    <i>
      <x v="2"/>
    </i>
    <i t="grand">
      <x/>
    </i>
  </rowItems>
  <colItems count="1">
    <i/>
  </colItems>
  <dataFields count="1">
    <dataField name="Sum of Sales per Man Hour" fld="5" baseField="0" baseItem="1" numFmtId="171"/>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20" cacheId="630" applyNumberFormats="0" applyBorderFormats="0" applyFontFormats="0" applyPatternFormats="0" applyAlignmentFormats="0" applyWidthHeightFormats="1" dataCaption="Values" errorCaption="0" showError="1" missingCaption="0" updatedVersion="5" minRefreshableVersion="3" useAutoFormatting="1" itemPrintTitles="1" createdVersion="5" indent="0" outline="1" outlineData="1" multipleFieldFilters="0" chartFormat="11" rowHeaderCaption="Year/Month">
  <location ref="A3:D7" firstHeaderRow="0" firstDataRow="1" firstDataCol="1"/>
  <pivotFields count="8">
    <pivotField name="Year" axis="axisRow" showAll="0">
      <items count="5">
        <item x="1"/>
        <item x="0"/>
        <item x="2"/>
        <item h="1" x="3"/>
        <item t="default"/>
      </items>
    </pivotField>
    <pivotField showAll="0"/>
    <pivotField dataField="1" showAll="0"/>
    <pivotField dataField="1" showAll="0"/>
    <pivotField showAll="0"/>
    <pivotField name="Month" showAll="0"/>
    <pivotField name="Period " showAll="0"/>
    <pivotField dataField="1" dragToRow="0" dragToCol="0" dragToPage="0" showAll="0" defaultSubtotal="0"/>
  </pivotFields>
  <rowFields count="1">
    <field x="0"/>
  </rowFields>
  <rowItems count="4">
    <i>
      <x/>
    </i>
    <i>
      <x v="1"/>
    </i>
    <i>
      <x v="2"/>
    </i>
    <i t="grand">
      <x/>
    </i>
  </rowItems>
  <colFields count="1">
    <field x="-2"/>
  </colFields>
  <colItems count="3">
    <i>
      <x/>
    </i>
    <i i="1">
      <x v="1"/>
    </i>
    <i i="2">
      <x v="2"/>
    </i>
  </colItems>
  <dataFields count="3">
    <dataField name="SALES " fld="2" baseField="0" baseItem="0" numFmtId="171"/>
    <dataField name="BUDGET " fld="3" baseField="0" baseItem="0" numFmtId="171"/>
    <dataField name="% of Budget " fld="7" baseField="0" baseItem="1" numFmtId="9"/>
  </dataFields>
  <chartFormats count="11">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 chart="10" format="9">
      <pivotArea type="data" outline="0" fieldPosition="0">
        <references count="2">
          <reference field="4294967294" count="1" selected="0">
            <x v="1"/>
          </reference>
          <reference field="0" count="1" selected="0">
            <x v="1"/>
          </reference>
        </references>
      </pivotArea>
    </chartFormat>
    <chartFormat chart="10" format="10">
      <pivotArea type="data" outline="0" fieldPosition="0">
        <references count="2">
          <reference field="4294967294" count="1" selected="0">
            <x v="1"/>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5" cacheId="55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location ref="AJ2:AN3" firstHeaderRow="0" firstDataRow="1" firstDataCol="1"/>
  <pivotFields count="9">
    <pivotField showAll="0"/>
    <pivotField name="Year" axis="axisRow" showAll="0">
      <items count="6">
        <item h="1" m="1" x="2"/>
        <item m="1" x="1"/>
        <item m="1" x="3"/>
        <item m="1" x="4"/>
        <item h="1" x="0"/>
        <item t="default"/>
      </items>
    </pivotField>
    <pivotField dataField="1" showAll="0"/>
    <pivotField dataField="1" showAll="0"/>
    <pivotField dataField="1" showAll="0"/>
    <pivotField dataField="1" showAll="0"/>
    <pivotField showAll="0"/>
    <pivotField name="Month" showAll="0"/>
    <pivotField name="Period   " showAll="0"/>
  </pivotFields>
  <rowFields count="1">
    <field x="1"/>
  </rowFields>
  <rowItems count="1">
    <i t="grand">
      <x/>
    </i>
  </rowItems>
  <colFields count="1">
    <field x="-2"/>
  </colFields>
  <colItems count="4">
    <i>
      <x/>
    </i>
    <i i="1">
      <x v="1"/>
    </i>
    <i i="2">
      <x v="2"/>
    </i>
    <i i="3">
      <x v="3"/>
    </i>
  </colItems>
  <dataFields count="4">
    <dataField name="On-Time  " fld="2" baseField="1" baseItem="0" numFmtId="3"/>
    <dataField name="Late  " fld="3" baseField="1" baseItem="0" numFmtId="3"/>
    <dataField name="Early " fld="4" baseField="1" baseItem="0" numFmtId="3"/>
    <dataField name="% On-Time" fld="5" baseField="1" baseItem="1" numFmtId="2"/>
  </dataFields>
  <chartFormats count="8">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16" format="8" series="1">
      <pivotArea type="data" outline="0" fieldPosition="0">
        <references count="1">
          <reference field="4294967294" count="1" selected="0">
            <x v="0"/>
          </reference>
        </references>
      </pivotArea>
    </chartFormat>
    <chartFormat chart="16" format="9" series="1">
      <pivotArea type="data" outline="0" fieldPosition="0">
        <references count="1">
          <reference field="4294967294" count="1" selected="0">
            <x v="1"/>
          </reference>
        </references>
      </pivotArea>
    </chartFormat>
    <chartFormat chart="16" format="10" series="1">
      <pivotArea type="data" outline="0" fieldPosition="0">
        <references count="1">
          <reference field="4294967294" count="1" selected="0">
            <x v="2"/>
          </reference>
        </references>
      </pivotArea>
    </chartFormat>
    <chartFormat chart="16"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24" cacheId="70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AC3:AF7" firstHeaderRow="0" firstDataRow="1" firstDataCol="1"/>
  <pivotFields count="7">
    <pivotField name="Year" axis="axisRow" showAll="0">
      <items count="5">
        <item x="1"/>
        <item x="0"/>
        <item x="2"/>
        <item h="1" x="3"/>
        <item t="default"/>
      </items>
    </pivotField>
    <pivotField showAll="0"/>
    <pivotField dataField="1" showAll="0"/>
    <pivotField dataField="1" showAll="0"/>
    <pivotField dataField="1" showAll="0"/>
    <pivotField name="Month" showAll="0"/>
    <pivotField name="Period  " showAll="0"/>
  </pivotFields>
  <rowFields count="1">
    <field x="0"/>
  </rowFields>
  <rowItems count="4">
    <i>
      <x/>
    </i>
    <i>
      <x v="1"/>
    </i>
    <i>
      <x v="2"/>
    </i>
    <i t="grand">
      <x/>
    </i>
  </rowItems>
  <colFields count="1">
    <field x="-2"/>
  </colFields>
  <colItems count="3">
    <i>
      <x/>
    </i>
    <i i="1">
      <x v="1"/>
    </i>
    <i i="2">
      <x v="2"/>
    </i>
  </colItems>
  <dataFields count="3">
    <dataField name="Sales " fld="2" baseField="6" baseItem="2" numFmtId="3"/>
    <dataField name="Rework " fld="3" baseField="5" baseItem="8" numFmtId="3"/>
    <dataField name="Rework % of Sales" fld="4" baseField="0" baseItem="0" numFmtId="2"/>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21" cacheId="60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rowHeaderCaption="Year">
  <location ref="H3:I7" firstHeaderRow="1" firstDataRow="1" firstDataCol="1"/>
  <pivotFields count="5">
    <pivotField name="Year " axis="axisRow" showAll="0">
      <items count="5">
        <item x="1"/>
        <item x="0"/>
        <item x="2"/>
        <item h="1" x="3"/>
        <item t="default"/>
      </items>
    </pivotField>
    <pivotField showAll="0"/>
    <pivotField dataField="1" showAll="0"/>
    <pivotField name="Month" showAll="0"/>
    <pivotField name="Period " showAll="0"/>
  </pivotFields>
  <rowFields count="1">
    <field x="0"/>
  </rowFields>
  <rowItems count="4">
    <i>
      <x/>
    </i>
    <i>
      <x v="1"/>
    </i>
    <i>
      <x v="2"/>
    </i>
    <i t="grand">
      <x/>
    </i>
  </rowItems>
  <colItems count="1">
    <i/>
  </colItems>
  <dataFields count="1">
    <dataField name="Average GM %" fld="2" subtotal="average" baseField="0" baseItem="0" numFmtId="4"/>
  </dataFields>
  <chartFormats count="2">
    <chartFormat chart="4"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1" cacheId="49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A1:B9" firstHeaderRow="1" firstDataRow="1" firstDataCol="1"/>
  <pivotFields count="4">
    <pivotField axis="axisRow" showAll="0">
      <items count="8">
        <item x="0"/>
        <item x="1"/>
        <item x="2"/>
        <item x="3"/>
        <item x="4"/>
        <item x="5"/>
        <item x="6"/>
        <item t="default"/>
      </items>
    </pivotField>
    <pivotField showAll="0"/>
    <pivotField showAll="0"/>
    <pivotField dataField="1" numFmtId="10" showAll="0"/>
  </pivotFields>
  <rowFields count="1">
    <field x="0"/>
  </rowFields>
  <rowItems count="8">
    <i>
      <x/>
    </i>
    <i>
      <x v="1"/>
    </i>
    <i>
      <x v="2"/>
    </i>
    <i>
      <x v="3"/>
    </i>
    <i>
      <x v="4"/>
    </i>
    <i>
      <x v="5"/>
    </i>
    <i>
      <x v="6"/>
    </i>
    <i t="grand">
      <x/>
    </i>
  </rowItems>
  <colItems count="1">
    <i/>
  </colItems>
  <dataFields count="1">
    <dataField name="Sum of % o Rejects" fld="3"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Global_PLA" connectionId="4" autoFormatId="16" applyNumberFormats="0" applyBorderFormats="0" applyFontFormats="0" applyPatternFormats="0" applyAlignmentFormats="0" applyWidthHeightFormats="0">
  <queryTableRefresh nextId="3">
    <queryTableFields count="2">
      <queryTableField id="1" name="CUSTOMER_NAME" tableColumnId="1"/>
      <queryTableField id="2" name="TOTAL_SALES" tableColumnId="2"/>
    </queryTableFields>
  </queryTableRefresh>
</queryTable>
</file>

<file path=xl/queryTables/queryTable2.xml><?xml version="1.0" encoding="utf-8"?>
<queryTable xmlns="http://schemas.openxmlformats.org/spreadsheetml/2006/main" name="Query from Global_PLA_1" connectionId="5" autoFormatId="16" applyNumberFormats="0" applyBorderFormats="0" applyFontFormats="0" applyPatternFormats="0" applyAlignmentFormats="0" applyWidthHeightFormats="0">
  <queryTableRefresh nextId="11">
    <queryTableFields count="6">
      <queryTableField id="1" name="RU_YEAR" tableColumnId="1"/>
      <queryTableField id="2" name="RU_MONTH" tableColumnId="2"/>
      <queryTableField id="3" name="OPEN_ORDER_TOTAL" tableColumnId="3"/>
      <queryTableField id="4" name="OPEN_ORDER_LINES" tableColumnId="4"/>
      <queryTableField id="9" name="MONTH_CHAR" tableColumnId="5"/>
      <queryTableField id="10" name="PERIOD" tableColumnId="6"/>
    </queryTableFields>
    <queryTableDeletedFields count="4">
      <deletedField name="RU_YEAR"/>
      <deletedField name="RU_MONTH"/>
      <deletedField name="OPEN_ORDER_TOTAL"/>
      <deletedField name="OPEN_ORDER_LINES"/>
    </queryTableDeletedFields>
  </queryTableRefresh>
</queryTable>
</file>

<file path=xl/queryTables/queryTable3.xml><?xml version="1.0" encoding="utf-8"?>
<queryTable xmlns="http://schemas.openxmlformats.org/spreadsheetml/2006/main" name="Query from Global_PLA_2" connectionId="6"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SALES" tableColumnId="3"/>
      <queryTableField id="4" name="BUDGET" tableColumnId="4"/>
      <queryTableField id="5" name="PER_OF_BUDGET" tableColumnId="5"/>
      <queryTableField id="6" name="MONTH_CHAR" tableColumnId="6"/>
      <queryTableField id="7" name="PERIOD" tableColumnId="7"/>
    </queryTableFields>
  </queryTableRefresh>
</queryTable>
</file>

<file path=xl/queryTables/queryTable4.xml><?xml version="1.0" encoding="utf-8"?>
<queryTable xmlns="http://schemas.openxmlformats.org/spreadsheetml/2006/main" name="Query from Global_PLA_3" connectionId="7"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SALES" tableColumnId="3"/>
      <queryTableField id="4" name="BUDGET" tableColumnId="4"/>
      <queryTableField id="5" name="PER_OF_BUDGET" tableColumnId="5"/>
      <queryTableField id="6" name="MONTH_CHAR" tableColumnId="6"/>
      <queryTableField id="7" name="PERIOD" tableColumnId="7"/>
    </queryTableFields>
  </queryTableRefresh>
</queryTable>
</file>

<file path=xl/queryTables/queryTable5.xml><?xml version="1.0" encoding="utf-8"?>
<queryTable xmlns="http://schemas.openxmlformats.org/spreadsheetml/2006/main" name="Query from Global_PLA_4" connectionId="8"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SALES" tableColumnId="3"/>
      <queryTableField id="4" name="BUDGET" tableColumnId="4"/>
      <queryTableField id="5" name="PER_OF_BUDGET" tableColumnId="5"/>
      <queryTableField id="6" name="MONTH_CHAR" tableColumnId="6"/>
      <queryTableField id="7" name="PERIOD" tableColumnId="7"/>
    </queryTableFields>
  </queryTableRefresh>
</queryTable>
</file>

<file path=xl/queryTables/queryTable6.xml><?xml version="1.0" encoding="utf-8"?>
<queryTable xmlns="http://schemas.openxmlformats.org/spreadsheetml/2006/main" name="Query from Global_PLA_5" connectionId="9"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GM_PERCENT" tableColumnId="3"/>
      <queryTableField id="4" name="MONTH_CHAR" tableColumnId="4"/>
      <queryTableField id="5" name="PERIOD" tableColumnId="5"/>
    </queryTableFields>
  </queryTableRefresh>
</queryTable>
</file>

<file path=xl/queryTables/queryTable7.xml><?xml version="1.0" encoding="utf-8"?>
<queryTable xmlns="http://schemas.openxmlformats.org/spreadsheetml/2006/main" name="Query from Global_PLA_6" connectionId="10"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GM_PERCENT" tableColumnId="3"/>
      <queryTableField id="4" name="SALES" tableColumnId="4"/>
      <queryTableField id="5" name="COST" tableColumnId="5"/>
      <queryTableField id="6" name="MONTH_CHAR" tableColumnId="6"/>
      <queryTableField id="7" name="PERIOD" tableColumnId="7"/>
    </queryTableFields>
  </queryTableRefresh>
</queryTable>
</file>

<file path=xl/queryTables/queryTable8.xml><?xml version="1.0" encoding="utf-8"?>
<queryTable xmlns="http://schemas.openxmlformats.org/spreadsheetml/2006/main" name="Query from Global_PLA_7" connectionId="11"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GM_PERCENT" tableColumnId="3"/>
      <queryTableField id="4" name="SALES" tableColumnId="4"/>
      <queryTableField id="5" name="COST" tableColumnId="5"/>
      <queryTableField id="6" name="MONTH_CHAR" tableColumnId="6"/>
      <queryTableField id="7" name="PERIOD" tableColumnId="7"/>
    </queryTableFields>
  </queryTableRefresh>
</queryTable>
</file>

<file path=xl/queryTables/queryTable9.xml><?xml version="1.0" encoding="utf-8"?>
<queryTable xmlns="http://schemas.openxmlformats.org/spreadsheetml/2006/main" name="Query from Global_PLA_8" connectionId="12" autoFormatId="16" applyNumberFormats="0" applyBorderFormats="0" applyFontFormats="0" applyPatternFormats="0" applyAlignmentFormats="0" applyWidthHeightFormats="0">
  <queryTableRefresh nextId="7">
    <queryTableFields count="6">
      <queryTableField id="1" name="RU_YEAR" tableColumnId="1"/>
      <queryTableField id="2" name="SIC_CODE" tableColumnId="2"/>
      <queryTableField id="3" name="SALES" tableColumnId="3"/>
      <queryTableField id="4" name="RU_MONTH" tableColumnId="4"/>
      <queryTableField id="5" name="MONTH_CHAR" tableColumnId="5"/>
      <queryTableField id="6" name="PERIOD" tableColumnId="6"/>
    </queryTableFields>
  </queryTableRefresh>
</queryTable>
</file>

<file path=xl/queryTables/queryTable10.xml><?xml version="1.0" encoding="utf-8"?>
<queryTable xmlns="http://schemas.openxmlformats.org/spreadsheetml/2006/main" name="Query from Global_PLA_9" connectionId="13" autoFormatId="16" applyNumberFormats="0" applyBorderFormats="0" applyFontFormats="0" applyPatternFormats="0" applyAlignmentFormats="0" applyWidthHeightFormats="0">
  <queryTableRefresh nextId="6">
    <queryTableFields count="3">
      <queryTableField id="1" name="RU_YEAR" tableColumnId="1"/>
      <queryTableField id="2" name="SIC_CODE" tableColumnId="2"/>
      <queryTableField id="3" name="SALES" tableColumnId="3"/>
    </queryTableFields>
  </queryTableRefresh>
</queryTable>
</file>

<file path=xl/queryTables/queryTable11.xml><?xml version="1.0" encoding="utf-8"?>
<queryTable xmlns="http://schemas.openxmlformats.org/spreadsheetml/2006/main" name="Query from Global_PLA_10" connectionId="14" autoFormatId="16" applyNumberFormats="0" applyBorderFormats="0" applyFontFormats="0" applyPatternFormats="0" applyAlignmentFormats="0" applyWidthHeightFormats="0">
  <queryTableRefresh nextId="6">
    <queryTableFields count="3">
      <queryTableField id="1" name="RU_YEAR" tableColumnId="1"/>
      <queryTableField id="2" name="SIC_CODE" tableColumnId="2"/>
      <queryTableField id="3" name="SALES" tableColumnId="3"/>
    </queryTableFields>
  </queryTableRefresh>
</queryTable>
</file>

<file path=xl/queryTables/queryTable12.xml><?xml version="1.0" encoding="utf-8"?>
<queryTable xmlns="http://schemas.openxmlformats.org/spreadsheetml/2006/main" name="Query from GLOBAL_RDS" connectionId="15" autoFormatId="16" applyNumberFormats="0" applyBorderFormats="0" applyFontFormats="0" applyPatternFormats="0" applyAlignmentFormats="0" applyWidthHeightFormats="0">
  <queryTableRefresh nextId="4">
    <queryTableFields count="3">
      <queryTableField id="1" name="CUSTOMER_NAME" tableColumnId="1"/>
      <queryTableField id="2" name="SALES" tableColumnId="2"/>
      <queryTableField id="3" name="RU_YEAR" tableColumnId="3"/>
    </queryTableFields>
  </queryTableRefresh>
</queryTable>
</file>

<file path=xl/queryTables/queryTable13.xml><?xml version="1.0" encoding="utf-8"?>
<queryTable xmlns="http://schemas.openxmlformats.org/spreadsheetml/2006/main" name="Query from GLOBAL_RDS_1" connectionId="16" autoFormatId="16" applyNumberFormats="0" applyBorderFormats="0" applyFontFormats="0" applyPatternFormats="0" applyAlignmentFormats="0" applyWidthHeightFormats="0">
  <queryTableRefresh nextId="4">
    <queryTableFields count="3">
      <queryTableField id="1" name="SALESMAN" tableColumnId="1"/>
      <queryTableField id="2" name="SALES" tableColumnId="2"/>
      <queryTableField id="3" name="RU_YEAR" tableColumnId="3"/>
    </queryTableFields>
  </queryTableRefresh>
</queryTable>
</file>

<file path=xl/queryTables/queryTable14.xml><?xml version="1.0" encoding="utf-8"?>
<queryTable xmlns="http://schemas.openxmlformats.org/spreadsheetml/2006/main" name="Query from GLOBAL_RDS_2" connectionId="17" autoFormatId="16" applyNumberFormats="0" applyBorderFormats="0" applyFontFormats="0" applyPatternFormats="0" applyAlignmentFormats="0" applyWidthHeightFormats="0">
  <queryTableRefresh nextId="7">
    <queryTableFields count="6">
      <queryTableField id="1" name="RU_YEAR" tableColumnId="1"/>
      <queryTableField id="2" name="RU_MONTH" tableColumnId="2"/>
      <queryTableField id="3" name="AVG_SALES_INV" tableColumnId="3"/>
      <queryTableField id="4" name="AVG_SALES_UNIT" tableColumnId="4"/>
      <queryTableField id="5" name="MONTH_CHAR" tableColumnId="5"/>
      <queryTableField id="6" name="PERIOD" tableColumnId="6"/>
    </queryTableFields>
  </queryTableRefresh>
</queryTable>
</file>

<file path=xl/queryTables/queryTable15.xml><?xml version="1.0" encoding="utf-8"?>
<queryTable xmlns="http://schemas.openxmlformats.org/spreadsheetml/2006/main" name="Query from GLOBAL_RDS_3" connectionId="18" autoFormatId="16" applyNumberFormats="0" applyBorderFormats="0" applyFontFormats="0" applyPatternFormats="0" applyAlignmentFormats="0" applyWidthHeightFormats="0">
  <queryTableRefresh nextId="7">
    <queryTableFields count="6">
      <queryTableField id="1" name="RU_YEAR" tableColumnId="1"/>
      <queryTableField id="2" name="RU_MONTH" tableColumnId="2"/>
      <queryTableField id="3" name="AVG_SALES_INV" tableColumnId="3"/>
      <queryTableField id="4" name="AVG_SALES_UNIT" tableColumnId="4"/>
      <queryTableField id="5" name="MONTH_CHAR" tableColumnId="5"/>
      <queryTableField id="6" name="PERIOD" tableColumnId="6"/>
    </queryTableFields>
  </queryTableRefresh>
</queryTable>
</file>

<file path=xl/queryTables/queryTable16.xml><?xml version="1.0" encoding="utf-8"?>
<queryTable xmlns="http://schemas.openxmlformats.org/spreadsheetml/2006/main" name="Query from GLOBAL_RDS_4" connectionId="19" autoFormatId="16" applyNumberFormats="0" applyBorderFormats="0" applyFontFormats="0" applyPatternFormats="0" applyAlignmentFormats="0" applyWidthHeightFormats="0">
  <queryTableRefresh nextId="7">
    <queryTableFields count="6">
      <queryTableField id="1" name="RU_YEAR" tableColumnId="1"/>
      <queryTableField id="2" name="RU_MONTH" tableColumnId="2"/>
      <queryTableField id="3" name="AVG_SALES_INV" tableColumnId="3"/>
      <queryTableField id="4" name="AVG_SALES_UNIT" tableColumnId="4"/>
      <queryTableField id="5" name="MONTH_CHAR" tableColumnId="5"/>
      <queryTableField id="6" name="PERIOD" tableColumnId="6"/>
    </queryTableFields>
  </queryTableRefresh>
</queryTable>
</file>

<file path=xl/queryTables/queryTable17.xml><?xml version="1.0" encoding="utf-8"?>
<queryTable xmlns="http://schemas.openxmlformats.org/spreadsheetml/2006/main" name="Query from GLOBAL_RDS_5" connectionId="20" autoFormatId="16" applyNumberFormats="0" applyBorderFormats="0" applyFontFormats="0" applyPatternFormats="0" applyAlignmentFormats="0" applyWidthHeightFormats="0">
  <queryTableRefresh nextId="5">
    <queryTableFields count="4">
      <queryTableField id="1" name="PRODUCT_LINE" tableColumnId="1"/>
      <queryTableField id="2" name="SALES" tableColumnId="2"/>
      <queryTableField id="3" name="RU_YEAR" tableColumnId="3"/>
      <queryTableField id="4" name="GM_PERCENT" tableColumnId="4"/>
    </queryTableFields>
  </queryTableRefresh>
</queryTable>
</file>

<file path=xl/queryTables/queryTable18.xml><?xml version="1.0" encoding="utf-8"?>
<queryTable xmlns="http://schemas.openxmlformats.org/spreadsheetml/2006/main" name="Query from GLOBAL_RDS_9" connectionId="25" autoFormatId="16" applyNumberFormats="0" applyBorderFormats="0" applyFontFormats="0" applyPatternFormats="0" applyAlignmentFormats="0" applyWidthHeightFormats="0">
  <queryTableRefresh nextId="8">
    <queryTableFields count="7">
      <queryTableField id="1" name="CUSTOMER_NAME" tableColumnId="1"/>
      <queryTableField id="2" name="YEAR1" tableColumnId="2"/>
      <queryTableField id="3" name="YEAR2" tableColumnId="3"/>
      <queryTableField id="4" name="YEAR3" tableColumnId="4"/>
      <queryTableField id="5" name="YEAR4" tableColumnId="5"/>
      <queryTableField id="6" name="YEAR5" tableColumnId="6"/>
      <queryTableField id="7" name="CUSTOMER" tableColumnId="7"/>
    </queryTableFields>
  </queryTableRefresh>
</queryTable>
</file>

<file path=xl/queryTables/queryTable19.xml><?xml version="1.0" encoding="utf-8"?>
<queryTable xmlns="http://schemas.openxmlformats.org/spreadsheetml/2006/main" name="Query from GLOBAL_RDS_10" connectionId="26" autoFormatId="16" applyNumberFormats="0" applyBorderFormats="0" applyFontFormats="0" applyPatternFormats="0" applyAlignmentFormats="0" applyWidthHeightFormats="0">
  <queryTableRefresh nextId="8" unboundColumnsRight="1">
    <queryTableFields count="7">
      <queryTableField id="1" name="CUSTOMER_NAME" tableColumnId="1"/>
      <queryTableField id="2" name="HIST" tableColumnId="2"/>
      <queryTableField id="3" name="OPENA" tableColumnId="3"/>
      <queryTableField id="4" name="GRAND_TOTAL" tableColumnId="4"/>
      <queryTableField id="5" name="CUSTOMER" tableColumnId="5"/>
      <queryTableField id="7" name="RU_YEAR" tableColumnId="7"/>
      <queryTableField id="6" dataBound="0" tableColumnId="6"/>
    </queryTableFields>
  </queryTableRefresh>
</queryTable>
</file>

<file path=xl/queryTables/queryTable20.xml><?xml version="1.0" encoding="utf-8"?>
<queryTable xmlns="http://schemas.openxmlformats.org/spreadsheetml/2006/main" name="Query from Global_PLA_11" connectionId="21" autoFormatId="16" applyNumberFormats="0" applyBorderFormats="0" applyFontFormats="0" applyPatternFormats="0" applyAlignmentFormats="0" applyWidthHeightFormats="0">
  <queryTableRefresh nextId="5">
    <queryTableFields count="4">
      <queryTableField id="1" name="CATEGORY" tableColumnId="1"/>
      <queryTableField id="2" name="BUDGET" tableColumnId="2"/>
      <queryTableField id="3" name="BUDGET_BELOW" tableColumnId="3"/>
      <queryTableField id="4" name="RU_YEAR" tableColumnId="4"/>
    </queryTableFields>
  </queryTableRefresh>
</queryTable>
</file>

<file path=xl/queryTables/queryTable21.xml><?xml version="1.0" encoding="utf-8"?>
<queryTable xmlns="http://schemas.openxmlformats.org/spreadsheetml/2006/main" name="Query from GLOBAL_RDS_11" connectionId="22" autoFormatId="16" applyNumberFormats="0" applyBorderFormats="0" applyFontFormats="0" applyPatternFormats="0" applyAlignmentFormats="0" applyWidthHeightFormats="0">
  <queryTableRefresh nextId="5">
    <queryTableFields count="4">
      <queryTableField id="1" name="CATEGORY" tableColumnId="1"/>
      <queryTableField id="2" name="BUDGET" tableColumnId="2"/>
      <queryTableField id="3" name="BUDGET_BELOW" tableColumnId="3"/>
      <queryTableField id="4" name="RU_YEAR" tableColumnId="4"/>
    </queryTableFields>
  </queryTableRefresh>
</queryTable>
</file>

<file path=xl/queryTables/queryTable22.xml><?xml version="1.0" encoding="utf-8"?>
<queryTable xmlns="http://schemas.openxmlformats.org/spreadsheetml/2006/main" name="Query from GLOBAL_RDS_12" connectionId="23" autoFormatId="16" applyNumberFormats="0" applyBorderFormats="0" applyFontFormats="0" applyPatternFormats="0" applyAlignmentFormats="0" applyWidthHeightFormats="0">
  <queryTableRefresh nextId="5">
    <queryTableFields count="4">
      <queryTableField id="1" name="CATEGORY" tableColumnId="1"/>
      <queryTableField id="2" name="BUDGET" tableColumnId="2"/>
      <queryTableField id="3" name="BUDGET_BELOW" tableColumnId="3"/>
      <queryTableField id="4" name="RU_YEAR" tableColumnId="4"/>
    </queryTableFields>
  </queryTableRefresh>
</queryTable>
</file>

<file path=xl/queryTables/queryTable23.xml><?xml version="1.0" encoding="utf-8"?>
<queryTable xmlns="http://schemas.openxmlformats.org/spreadsheetml/2006/main" name="Query from GLOBAL_RDS_13" connectionId="24" autoFormatId="16" applyNumberFormats="0" applyBorderFormats="0" applyFontFormats="0" applyPatternFormats="0" applyAlignmentFormats="0" applyWidthHeightFormats="0">
  <queryTableRefresh nextId="5">
    <queryTableFields count="4">
      <queryTableField id="1" name="CATEGORY" tableColumnId="1"/>
      <queryTableField id="2" name="BUDGET" tableColumnId="2"/>
      <queryTableField id="3" name="BUDGET_BELOW" tableColumnId="3"/>
      <queryTableField id="4" name="RU_YEAR" tableColumnId="4"/>
    </queryTableFields>
  </queryTableRefresh>
</queryTable>
</file>

<file path=xl/queryTables/queryTable24.xml><?xml version="1.0" encoding="utf-8"?>
<queryTable xmlns="http://schemas.openxmlformats.org/spreadsheetml/2006/main" name="Query from GLOBAL_RDS" connectionId="27" autoFormatId="16" applyNumberFormats="0" applyBorderFormats="0" applyFontFormats="0" applyPatternFormats="0" applyAlignmentFormats="0" applyWidthHeightFormats="0">
  <queryTableRefresh nextId="13">
    <queryTableFields count="10">
      <queryTableField id="1" name="RU_YEAR" tableColumnId="1"/>
      <queryTableField id="2" name="RU_MONTH" tableColumnId="2"/>
      <queryTableField id="3" name="PERCENT_WON" tableColumnId="3"/>
      <queryTableField id="4" name="PERCENT_LOSS" tableColumnId="4"/>
      <queryTableField id="5" name="PERCENT_CLOSE" tableColumnId="5"/>
      <queryTableField id="6" name="PERCENT_OPEN" tableColumnId="6"/>
      <queryTableField id="9" name="CUSTOMER" tableColumnId="7"/>
      <queryTableField id="10" name="CUSTOMER_NAME" tableColumnId="8"/>
      <queryTableField id="11" name="MONTH_CHAR" tableColumnId="9"/>
      <queryTableField id="12" name="PERIOD" tableColumnId="10"/>
    </queryTableFields>
  </queryTableRefresh>
</queryTable>
</file>

<file path=xl/queryTables/queryTable25.xml><?xml version="1.0" encoding="utf-8"?>
<queryTable xmlns="http://schemas.openxmlformats.org/spreadsheetml/2006/main" name="Query from GLOBAL_RDS_1" connectionId="28" autoFormatId="16" applyNumberFormats="0" applyBorderFormats="0" applyFontFormats="0" applyPatternFormats="0" applyAlignmentFormats="0" applyWidthHeightFormats="0">
  <queryTableRefresh nextId="10">
    <queryTableFields count="9">
      <queryTableField id="1" name="CUSTOMER_NAME" tableColumnId="1"/>
      <queryTableField id="2" name="RU_YEAR" tableColumnId="2"/>
      <queryTableField id="3" name="RU_MONTH" tableColumnId="3"/>
      <queryTableField id="4" name="PERCENT_WON" tableColumnId="4"/>
      <queryTableField id="5" name="PERCENT_LOSS" tableColumnId="5"/>
      <queryTableField id="6" name="PERCENT_CLOSE" tableColumnId="6"/>
      <queryTableField id="7" name="PERCENT_OPEN" tableColumnId="7"/>
      <queryTableField id="8" name="MONTH_CHAR" tableColumnId="8"/>
      <queryTableField id="9" name="PERIOD" tableColumnId="9"/>
    </queryTableFields>
  </queryTableRefresh>
</queryTable>
</file>

<file path=xl/queryTables/queryTable26.xml><?xml version="1.0" encoding="utf-8"?>
<queryTable xmlns="http://schemas.openxmlformats.org/spreadsheetml/2006/main" name="Query from GLOBAL_RDS_2" connectionId="29" autoFormatId="16" applyNumberFormats="0" applyBorderFormats="0" applyFontFormats="0" applyPatternFormats="0" applyAlignmentFormats="0" applyWidthHeightFormats="0">
  <queryTableRefresh nextId="10">
    <queryTableFields count="9">
      <queryTableField id="1" name="CUSTOMER_NAME" tableColumnId="1"/>
      <queryTableField id="2" name="RU_YEAR" tableColumnId="2"/>
      <queryTableField id="3" name="RU_MONTH" tableColumnId="3"/>
      <queryTableField id="4" name="PERCENT_WON" tableColumnId="4"/>
      <queryTableField id="5" name="PERCENT_LOSS" tableColumnId="5"/>
      <queryTableField id="6" name="PERCENT_CLOSE" tableColumnId="6"/>
      <queryTableField id="7" name="PERCENT_OPEN" tableColumnId="7"/>
      <queryTableField id="8" name="MONTH_CHAR" tableColumnId="8"/>
      <queryTableField id="9" name="PERIOD" tableColumnId="9"/>
    </queryTableFields>
  </queryTableRefresh>
</queryTable>
</file>

<file path=xl/queryTables/queryTable27.xml><?xml version="1.0" encoding="utf-8"?>
<queryTable xmlns="http://schemas.openxmlformats.org/spreadsheetml/2006/main" name="Query from GLOBAL_RDS_3" connectionId="30"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AVERAGE" tableColumnId="3"/>
      <queryTableField id="4" name="MONTH_CHAR" tableColumnId="4"/>
      <queryTableField id="5" name="PERIOD" tableColumnId="5"/>
    </queryTableFields>
  </queryTableRefresh>
</queryTable>
</file>

<file path=xl/queryTables/queryTable28.xml><?xml version="1.0" encoding="utf-8"?>
<queryTable xmlns="http://schemas.openxmlformats.org/spreadsheetml/2006/main" name="Query from GLOBAL_RDS_4" connectionId="31"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AVERAGE" tableColumnId="3"/>
      <queryTableField id="4" name="MONTH_CHAR" tableColumnId="4"/>
      <queryTableField id="5" name="PERIOD" tableColumnId="5"/>
    </queryTableFields>
  </queryTableRefresh>
</queryTable>
</file>

<file path=xl/queryTables/queryTable29.xml><?xml version="1.0" encoding="utf-8"?>
<queryTable xmlns="http://schemas.openxmlformats.org/spreadsheetml/2006/main" name="Query from GLOBAL_RDS_5" connectionId="32"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AVERAGE" tableColumnId="3"/>
      <queryTableField id="4" name="MONTH_CHAR" tableColumnId="4"/>
      <queryTableField id="5" name="PERIOD" tableColumnId="5"/>
    </queryTableFields>
  </queryTableRefresh>
</queryTable>
</file>

<file path=xl/queryTables/queryTable30.xml><?xml version="1.0" encoding="utf-8"?>
<queryTable xmlns="http://schemas.openxmlformats.org/spreadsheetml/2006/main" name="Query from GLOBAL_RDS_6" connectionId="33"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AVERAGE" tableColumnId="3"/>
      <queryTableField id="4" name="MONTH_CHAR" tableColumnId="4"/>
      <queryTableField id="5" name="PERIOD" tableColumnId="5"/>
    </queryTableFields>
  </queryTableRefresh>
</queryTable>
</file>

<file path=xl/queryTables/queryTable31.xml><?xml version="1.0" encoding="utf-8"?>
<queryTable xmlns="http://schemas.openxmlformats.org/spreadsheetml/2006/main" name="Query from GLOBAL_RDS_7" connectionId="34"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AVERAGE" tableColumnId="3"/>
      <queryTableField id="4" name="MONTH_CHAR" tableColumnId="4"/>
      <queryTableField id="5" name="PERIOD" tableColumnId="5"/>
    </queryTableFields>
  </queryTableRefresh>
</queryTable>
</file>

<file path=xl/queryTables/queryTable32.xml><?xml version="1.0" encoding="utf-8"?>
<queryTable xmlns="http://schemas.openxmlformats.org/spreadsheetml/2006/main" name="Query from GLOBAL_RDS_8" connectionId="35"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AVERAGE" tableColumnId="3"/>
      <queryTableField id="4" name="MONTH_CHAR" tableColumnId="4"/>
      <queryTableField id="5" name="PERIOD" tableColumnId="5"/>
    </queryTableFields>
  </queryTableRefresh>
</queryTable>
</file>

<file path=xl/queryTables/queryTable33.xml><?xml version="1.0" encoding="utf-8"?>
<queryTable xmlns="http://schemas.openxmlformats.org/spreadsheetml/2006/main" name="Query from GLOBAL_RDS" connectionId="36"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ACTUAL" tableColumnId="3"/>
      <queryTableField id="4" name="ESTIMATE" tableColumnId="4"/>
      <queryTableField id="5" name="PERCENTAGE" tableColumnId="5"/>
      <queryTableField id="6" name="MONTH_CHAR" tableColumnId="6"/>
      <queryTableField id="7" name="PERIOD" tableColumnId="7"/>
    </queryTableFields>
  </queryTableRefresh>
</queryTable>
</file>

<file path=xl/queryTables/queryTable34.xml><?xml version="1.0" encoding="utf-8"?>
<queryTable xmlns="http://schemas.openxmlformats.org/spreadsheetml/2006/main" name="Query from GLOBAL_RDS_1" connectionId="37"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ACTUAL" tableColumnId="3"/>
      <queryTableField id="4" name="ESTIMATE" tableColumnId="4"/>
      <queryTableField id="5" name="PERCENTAGE" tableColumnId="5"/>
      <queryTableField id="6" name="MONTH_CHAR" tableColumnId="6"/>
      <queryTableField id="7" name="PERIOD" tableColumnId="7"/>
    </queryTableFields>
  </queryTableRefresh>
</queryTable>
</file>

<file path=xl/queryTables/queryTable35.xml><?xml version="1.0" encoding="utf-8"?>
<queryTable xmlns="http://schemas.openxmlformats.org/spreadsheetml/2006/main" name="Query from GLOBAL_RDS_2" connectionId="38"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ACTUAL" tableColumnId="3"/>
      <queryTableField id="4" name="ESTIMATE" tableColumnId="4"/>
      <queryTableField id="5" name="PERCENTAGE" tableColumnId="5"/>
      <queryTableField id="6" name="MONTH_CHAR" tableColumnId="6"/>
      <queryTableField id="7" name="PERIOD" tableColumnId="7"/>
    </queryTableFields>
  </queryTableRefresh>
</queryTable>
</file>

<file path=xl/queryTables/queryTable36.xml><?xml version="1.0" encoding="utf-8"?>
<queryTable xmlns="http://schemas.openxmlformats.org/spreadsheetml/2006/main" name="Query from GLOBAL_RDS_3" connectionId="39"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ACTUAL" tableColumnId="3"/>
      <queryTableField id="4" name="ESTIMATE" tableColumnId="4"/>
      <queryTableField id="5" name="PERCENTAGE" tableColumnId="5"/>
      <queryTableField id="6" name="MONTH_CHAR" tableColumnId="6"/>
      <queryTableField id="7" name="PERIOD" tableColumnId="7"/>
    </queryTableFields>
  </queryTableRefresh>
</queryTable>
</file>

<file path=xl/queryTables/queryTable37.xml><?xml version="1.0" encoding="utf-8"?>
<queryTable xmlns="http://schemas.openxmlformats.org/spreadsheetml/2006/main" name="Query from GLOBAL_RDS_4" connectionId="40"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ACTUAL" tableColumnId="3"/>
      <queryTableField id="4" name="ESTIMATE" tableColumnId="4"/>
      <queryTableField id="5" name="PERCENTAGE" tableColumnId="5"/>
      <queryTableField id="6" name="MONTH_CHAR" tableColumnId="6"/>
      <queryTableField id="7" name="PERIOD" tableColumnId="7"/>
    </queryTableFields>
  </queryTableRefresh>
</queryTable>
</file>

<file path=xl/queryTables/queryTable38.xml><?xml version="1.0" encoding="utf-8"?>
<queryTable xmlns="http://schemas.openxmlformats.org/spreadsheetml/2006/main" name="Query from GLOBAL_RDS" connectionId="41"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COST" tableColumnId="3"/>
      <queryTableField id="4" name="MONTH_CHAR" tableColumnId="4"/>
      <queryTableField id="5" name="PERIOD" tableColumnId="5"/>
    </queryTableFields>
  </queryTableRefresh>
</queryTable>
</file>

<file path=xl/queryTables/queryTable39.xml><?xml version="1.0" encoding="utf-8"?>
<queryTable xmlns="http://schemas.openxmlformats.org/spreadsheetml/2006/main" name="Query from GLOBAL_RDS_1" connectionId="42"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SALES" tableColumnId="3"/>
      <queryTableField id="4" name="REWORK" tableColumnId="4"/>
      <queryTableField id="5" name="RW_PERCENT_SALES" tableColumnId="5"/>
      <queryTableField id="6" name="MONTH_CHAR" tableColumnId="6"/>
      <queryTableField id="7" name="PERIOD" tableColumnId="7"/>
    </queryTableFields>
  </queryTableRefresh>
</queryTable>
</file>

<file path=xl/queryTables/queryTable40.xml><?xml version="1.0" encoding="utf-8"?>
<queryTable xmlns="http://schemas.openxmlformats.org/spreadsheetml/2006/main" name="Query from GLOBAL_RDS_2" connectionId="43"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SALES" tableColumnId="3"/>
      <queryTableField id="4" name="REWORK" tableColumnId="4"/>
      <queryTableField id="5" name="RW_PERCENT_SALES" tableColumnId="5"/>
      <queryTableField id="6" name="MONTH_CHAR" tableColumnId="6"/>
      <queryTableField id="7" name="PERIOD" tableColumnId="7"/>
    </queryTableFields>
  </queryTableRefresh>
</queryTable>
</file>

<file path=xl/queryTables/queryTable41.xml><?xml version="1.0" encoding="utf-8"?>
<queryTable xmlns="http://schemas.openxmlformats.org/spreadsheetml/2006/main" name="Query from GLOBAL_RDS_3" connectionId="44"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SALES" tableColumnId="3"/>
      <queryTableField id="4" name="REWORK" tableColumnId="4"/>
      <queryTableField id="5" name="RW_PERCENT_SALES" tableColumnId="5"/>
      <queryTableField id="6" name="MONTH_CHAR" tableColumnId="6"/>
      <queryTableField id="7" name="PERIOD" tableColumnId="7"/>
    </queryTableFields>
  </queryTableRefresh>
</queryTable>
</file>

<file path=xl/queryTables/queryTable42.xml><?xml version="1.0" encoding="utf-8"?>
<queryTable xmlns="http://schemas.openxmlformats.org/spreadsheetml/2006/main" name="Query from GLOBAL_RDS_4" connectionId="45"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CODE" tableColumnId="3"/>
      <queryTableField id="4" name="COST" tableColumnId="4"/>
      <queryTableField id="5" name="QUANTITY" tableColumnId="5"/>
      <queryTableField id="6" name="MONTH_CHAR" tableColumnId="6"/>
      <queryTableField id="7" name="PERIOD" tableColumnId="7"/>
    </queryTableFields>
  </queryTableRefresh>
</queryTable>
</file>

<file path=xl/queryTables/queryTable43.xml><?xml version="1.0" encoding="utf-8"?>
<queryTable xmlns="http://schemas.openxmlformats.org/spreadsheetml/2006/main" name="Query from GLOBAL_RDS_5" connectionId="46"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CODE" tableColumnId="3"/>
      <queryTableField id="4" name="COST" tableColumnId="4"/>
      <queryTableField id="5" name="QUANTITY" tableColumnId="5"/>
      <queryTableField id="6" name="MONTH_CHAR" tableColumnId="6"/>
      <queryTableField id="7" name="PERIOD" tableColumnId="7"/>
    </queryTableFields>
  </queryTableRefresh>
</queryTable>
</file>

<file path=xl/queryTables/queryTable44.xml><?xml version="1.0" encoding="utf-8"?>
<queryTable xmlns="http://schemas.openxmlformats.org/spreadsheetml/2006/main" name="Query from GLOBAL_RDS_6" connectionId="47"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CODE" tableColumnId="3"/>
      <queryTableField id="4" name="COST" tableColumnId="4"/>
      <queryTableField id="5" name="QUANTITY" tableColumnId="5"/>
      <queryTableField id="6" name="MONTH_CHAR" tableColumnId="6"/>
      <queryTableField id="7" name="PERIOD" tableColumnId="7"/>
    </queryTableFields>
  </queryTableRefresh>
</queryTable>
</file>

<file path=xl/queryTables/queryTable45.xml><?xml version="1.0" encoding="utf-8"?>
<queryTable xmlns="http://schemas.openxmlformats.org/spreadsheetml/2006/main" name="Query from GLOBAL_RDS_7" connectionId="48" autoFormatId="16" applyNumberFormats="0" applyBorderFormats="0" applyFontFormats="0" applyPatternFormats="0" applyAlignmentFormats="0" applyWidthHeightFormats="0">
  <queryTableRefresh nextId="8">
    <queryTableFields count="7">
      <queryTableField id="1" name="RU_YEAR" tableColumnId="1"/>
      <queryTableField id="2" name="RU_MONTH" tableColumnId="2"/>
      <queryTableField id="3" name="DEPT" tableColumnId="3"/>
      <queryTableField id="4" name="COST" tableColumnId="4"/>
      <queryTableField id="5" name="QUANTITY" tableColumnId="5"/>
      <queryTableField id="6" name="MONTH_CHAR" tableColumnId="6"/>
      <queryTableField id="7" name="PERIOD" tableColumnId="7"/>
    </queryTableFields>
  </queryTableRefresh>
</queryTable>
</file>

<file path=xl/queryTables/queryTable46.xml><?xml version="1.0" encoding="utf-8"?>
<queryTable xmlns="http://schemas.openxmlformats.org/spreadsheetml/2006/main" name="Query from GLOBAL_RDS" connectionId="49"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RMA_COUNT" tableColumnId="3"/>
      <queryTableField id="4" name="MONTH_CHAR" tableColumnId="4"/>
      <queryTableField id="5" name="PERIOD" tableColumnId="5"/>
    </queryTableFields>
  </queryTableRefresh>
</queryTable>
</file>

<file path=xl/queryTables/queryTable47.xml><?xml version="1.0" encoding="utf-8"?>
<queryTable xmlns="http://schemas.openxmlformats.org/spreadsheetml/2006/main" name="Query from Global_PLA" backgroundRefresh="0" connectionId="2" autoFormatId="16" applyNumberFormats="0" applyBorderFormats="0" applyFontFormats="0" applyPatternFormats="0" applyAlignmentFormats="0" applyWidthHeightFormats="0">
  <queryTableRefresh nextId="8" unboundColumnsRight="2">
    <queryTableFields count="7">
      <queryTableField id="1" name="ID" tableColumnId="1"/>
      <queryTableField id="2" name="MONTH" tableColumnId="2"/>
      <queryTableField id="3" name="YEAR" tableColumnId="3"/>
      <queryTableField id="4" name="HOURS_WORKED" tableColumnId="4"/>
      <queryTableField id="5" name="DIRECT_INDIRECT" tableColumnId="5"/>
      <queryTableField id="6" dataBound="0" tableColumnId="6"/>
      <queryTableField id="7" dataBound="0" tableColumnId="7"/>
    </queryTableFields>
  </queryTableRefresh>
</queryTable>
</file>

<file path=xl/queryTables/queryTable48.xml><?xml version="1.0" encoding="utf-8"?>
<queryTable xmlns="http://schemas.openxmlformats.org/spreadsheetml/2006/main" name="Query from Global_PLA" backgroundRefresh="0" connectionId="3" autoFormatId="16" applyNumberFormats="0" applyBorderFormats="0" applyFontFormats="0" applyPatternFormats="0" applyAlignmentFormats="0" applyWidthHeightFormats="0">
  <queryTableRefresh nextId="11" unboundColumnsRight="2">
    <queryTableFields count="10">
      <queryTableField id="1" name="ID" tableColumnId="1"/>
      <queryTableField id="2" name="JOB" tableColumnId="2"/>
      <queryTableField id="3" name="SUFFIX" tableColumnId="3"/>
      <queryTableField id="4" name="SEQUENCE" tableColumnId="4"/>
      <queryTableField id="5" name="HOURS_WORKED" tableColumnId="5"/>
      <queryTableField id="6" name="MONTH" tableColumnId="6"/>
      <queryTableField id="7" name="YEAR" tableColumnId="7"/>
      <queryTableField id="8" name="DESCRIPTION" tableColumnId="8"/>
      <queryTableField id="9" dataBound="0" tableColumnId="9"/>
      <queryTableField id="10" dataBound="0" tableColumnId="10"/>
    </queryTableFields>
  </queryTableRefresh>
</queryTable>
</file>

<file path=xl/queryTables/queryTable49.xml><?xml version="1.0" encoding="utf-8"?>
<queryTable xmlns="http://schemas.openxmlformats.org/spreadsheetml/2006/main" name="Query from GLOBAL_RDS" connectionId="50" autoFormatId="16" applyNumberFormats="0" applyBorderFormats="0" applyFontFormats="0" applyPatternFormats="0" applyAlignmentFormats="0" applyWidthHeightFormats="0">
  <queryTableRefresh nextId="9">
    <queryTableFields count="8">
      <queryTableField id="1" name="WC" tableColumnId="1"/>
      <queryTableField id="2" name="RU_YEAR" tableColumnId="2"/>
      <queryTableField id="3" name="RU_MONTH" tableColumnId="3"/>
      <queryTableField id="4" name="HOURS_WORKED" tableColumnId="4"/>
      <queryTableField id="5" name="HOURS_AVAIL" tableColumnId="5"/>
      <queryTableField id="6" name="WC_UTIL" tableColumnId="6"/>
      <queryTableField id="7" name="MONTH_CHAR" tableColumnId="7"/>
      <queryTableField id="8" name="PERIOD" tableColumnId="8"/>
    </queryTableFields>
  </queryTableRefresh>
</queryTable>
</file>

<file path=xl/queryTables/queryTable50.xml><?xml version="1.0" encoding="utf-8"?>
<queryTable xmlns="http://schemas.openxmlformats.org/spreadsheetml/2006/main" name="Query from GLOBAL_RDS_1" connectionId="51" autoFormatId="16" applyNumberFormats="0" applyBorderFormats="0" applyFontFormats="0" applyPatternFormats="0" applyAlignmentFormats="0" applyWidthHeightFormats="0">
  <queryTableRefresh nextId="9">
    <queryTableFields count="8">
      <queryTableField id="1" name="WC" tableColumnId="1"/>
      <queryTableField id="2" name="RU_YEAR" tableColumnId="2"/>
      <queryTableField id="3" name="RU_MONTH" tableColumnId="3"/>
      <queryTableField id="4" name="HOURS_WORKED" tableColumnId="4"/>
      <queryTableField id="5" name="HOURS_AVAIL" tableColumnId="5"/>
      <queryTableField id="6" name="WC_UTIL" tableColumnId="6"/>
      <queryTableField id="7" name="MONTH_CHAR" tableColumnId="7"/>
      <queryTableField id="8" name="PERIOD" tableColumnId="8"/>
    </queryTableFields>
  </queryTableRefresh>
</queryTable>
</file>

<file path=xl/queryTables/queryTable51.xml><?xml version="1.0" encoding="utf-8"?>
<queryTable xmlns="http://schemas.openxmlformats.org/spreadsheetml/2006/main" name="Query from GLOBAL_RDS_2" connectionId="52" autoFormatId="16" applyNumberFormats="0" applyBorderFormats="0" applyFontFormats="0" applyPatternFormats="0" applyAlignmentFormats="0" applyWidthHeightFormats="0">
  <queryTableRefresh nextId="9">
    <queryTableFields count="8">
      <queryTableField id="1" name="WC" tableColumnId="1"/>
      <queryTableField id="2" name="RU_YEAR" tableColumnId="2"/>
      <queryTableField id="3" name="RU_MONTH" tableColumnId="3"/>
      <queryTableField id="4" name="HOURS_WORKED" tableColumnId="4"/>
      <queryTableField id="5" name="HOURS_AVAIL" tableColumnId="5"/>
      <queryTableField id="6" name="WC_UTIL" tableColumnId="6"/>
      <queryTableField id="7" name="MONTH_CHAR" tableColumnId="7"/>
      <queryTableField id="8" name="PERIOD" tableColumnId="8"/>
    </queryTableFields>
  </queryTableRefresh>
</queryTable>
</file>

<file path=xl/queryTables/queryTable52.xml><?xml version="1.0" encoding="utf-8"?>
<queryTable xmlns="http://schemas.openxmlformats.org/spreadsheetml/2006/main" name="Query from GLOBAL_RDS_3" connectionId="53" autoFormatId="16" applyNumberFormats="0" applyBorderFormats="0" applyFontFormats="0" applyPatternFormats="0" applyAlignmentFormats="0" applyWidthHeightFormats="0">
  <queryTableRefresh nextId="9">
    <queryTableFields count="8">
      <queryTableField id="1" name="WC" tableColumnId="1"/>
      <queryTableField id="2" name="RU_YEAR" tableColumnId="2"/>
      <queryTableField id="3" name="RU_MONTH" tableColumnId="3"/>
      <queryTableField id="4" name="UNITS_PRODUCED" tableColumnId="4"/>
      <queryTableField id="5" name="UNITS_SCRAPPED" tableColumnId="5"/>
      <queryTableField id="6" name="PERCENT_SCRAP" tableColumnId="6"/>
      <queryTableField id="7" name="MONTH_CHAR" tableColumnId="7"/>
      <queryTableField id="8" name="PERIOD" tableColumnId="8"/>
    </queryTableFields>
  </queryTableRefresh>
</queryTable>
</file>

<file path=xl/queryTables/queryTable53.xml><?xml version="1.0" encoding="utf-8"?>
<queryTable xmlns="http://schemas.openxmlformats.org/spreadsheetml/2006/main" name="Query from GLOBAL_RDS_4" connectionId="54" autoFormatId="16" applyNumberFormats="0" applyBorderFormats="0" applyFontFormats="0" applyPatternFormats="0" applyAlignmentFormats="0" applyWidthHeightFormats="0">
  <queryTableRefresh nextId="9">
    <queryTableFields count="8">
      <queryTableField id="1" name="WC" tableColumnId="1"/>
      <queryTableField id="2" name="RU_YEAR" tableColumnId="2"/>
      <queryTableField id="3" name="RU_MONTH" tableColumnId="3"/>
      <queryTableField id="4" name="UNITS_PRODUCED" tableColumnId="4"/>
      <queryTableField id="5" name="UNITS_SCRAPPED" tableColumnId="5"/>
      <queryTableField id="6" name="PERCENT_SCRAP" tableColumnId="6"/>
      <queryTableField id="7" name="MONTH_CHAR" tableColumnId="7"/>
      <queryTableField id="8" name="PERIOD" tableColumnId="8"/>
    </queryTableFields>
  </queryTableRefresh>
</queryTable>
</file>

<file path=xl/queryTables/queryTable54.xml><?xml version="1.0" encoding="utf-8"?>
<queryTable xmlns="http://schemas.openxmlformats.org/spreadsheetml/2006/main" name="Query from GLOBAL_RDS_5" connectionId="55" autoFormatId="16" applyNumberFormats="0" applyBorderFormats="0" applyFontFormats="0" applyPatternFormats="0" applyAlignmentFormats="0" applyWidthHeightFormats="0">
  <queryTableRefresh nextId="9">
    <queryTableFields count="8">
      <queryTableField id="1" name="WC" tableColumnId="1"/>
      <queryTableField id="2" name="RU_YEAR" tableColumnId="2"/>
      <queryTableField id="3" name="RU_MONTH" tableColumnId="3"/>
      <queryTableField id="4" name="UNITS_PRODUCED" tableColumnId="4"/>
      <queryTableField id="5" name="UNITS_SCRAPPED" tableColumnId="5"/>
      <queryTableField id="6" name="PERCENT_SCRAP" tableColumnId="6"/>
      <queryTableField id="7" name="MONTH_CHAR" tableColumnId="7"/>
      <queryTableField id="8" name="PERIOD" tableColumnId="8"/>
    </queryTableFields>
  </queryTableRefresh>
</queryTable>
</file>

<file path=xl/queryTables/queryTable55.xml><?xml version="1.0" encoding="utf-8"?>
<queryTable xmlns="http://schemas.openxmlformats.org/spreadsheetml/2006/main" name="Query from GLOBAL_RDS" connectionId="56" autoFormatId="16" applyNumberFormats="0" applyBorderFormats="0" applyFontFormats="0" applyPatternFormats="0" applyAlignmentFormats="0" applyWidthHeightFormats="0">
  <queryTableRefresh nextId="10">
    <queryTableFields count="9">
      <queryTableField id="1" name="WC" tableColumnId="1"/>
      <queryTableField id="2" name="RU_YEAR" tableColumnId="2"/>
      <queryTableField id="3" name="ONTIME" tableColumnId="3"/>
      <queryTableField id="4" name="LATE" tableColumnId="4"/>
      <queryTableField id="5" name="EARLY" tableColumnId="5"/>
      <queryTableField id="6" name="PERCENT_ON_TIME" tableColumnId="6"/>
      <queryTableField id="7" name="RU_MONTH" tableColumnId="7"/>
      <queryTableField id="8" name="MONTH_CHAR" tableColumnId="8"/>
      <queryTableField id="9" name="PERIOD" tableColumnId="9"/>
    </queryTableFields>
  </queryTableRefresh>
</queryTable>
</file>

<file path=xl/queryTables/queryTable56.xml><?xml version="1.0" encoding="utf-8"?>
<queryTable xmlns="http://schemas.openxmlformats.org/spreadsheetml/2006/main" name="Query from GLOBAL_RDS_1" connectionId="57" autoFormatId="16" applyNumberFormats="0" applyBorderFormats="0" applyFontFormats="0" applyPatternFormats="0" applyAlignmentFormats="0" applyWidthHeightFormats="0">
  <queryTableRefresh nextId="7">
    <queryTableFields count="6">
      <queryTableField id="1" name="WC" tableColumnId="1"/>
      <queryTableField id="2" name="RU_YEAR" tableColumnId="2"/>
      <queryTableField id="3" name="ONTIME" tableColumnId="3"/>
      <queryTableField id="4" name="LATE" tableColumnId="4"/>
      <queryTableField id="5" name="EARLY" tableColumnId="5"/>
      <queryTableField id="6" name="PERCENT_ON_TIME" tableColumnId="6"/>
    </queryTableFields>
  </queryTableRefresh>
</queryTable>
</file>

<file path=xl/queryTables/queryTable57.xml><?xml version="1.0" encoding="utf-8"?>
<queryTable xmlns="http://schemas.openxmlformats.org/spreadsheetml/2006/main" name="Query from GLOBAL_RDS_2" connectionId="58" autoFormatId="16" applyNumberFormats="0" applyBorderFormats="0" applyFontFormats="0" applyPatternFormats="0" applyAlignmentFormats="0" applyWidthHeightFormats="0">
  <queryTableRefresh nextId="7">
    <queryTableFields count="6">
      <queryTableField id="1" name="WC" tableColumnId="1"/>
      <queryTableField id="2" name="RU_YEAR" tableColumnId="2"/>
      <queryTableField id="3" name="ONTIME" tableColumnId="3"/>
      <queryTableField id="4" name="LATE" tableColumnId="4"/>
      <queryTableField id="5" name="EARLY" tableColumnId="5"/>
      <queryTableField id="6" name="PERCENT_ON_TIME" tableColumnId="6"/>
    </queryTableFields>
  </queryTableRefresh>
</queryTable>
</file>

<file path=xl/queryTables/queryTable58.xml><?xml version="1.0" encoding="utf-8"?>
<queryTable xmlns="http://schemas.openxmlformats.org/spreadsheetml/2006/main" name="Query from GLOBAL_RDS" connectionId="59" autoFormatId="16" applyNumberFormats="0" applyBorderFormats="0" applyFontFormats="0" applyPatternFormats="0" applyAlignmentFormats="0" applyWidthHeightFormats="0">
  <queryTableRefresh nextId="7">
    <queryTableFields count="6">
      <queryTableField id="1" name="FISCAL" tableColumnId="1"/>
      <queryTableField id="2" name="RU_YEAR" tableColumnId="2"/>
      <queryTableField id="3" name="RU_MONTH" tableColumnId="3"/>
      <queryTableField id="4" name="HOURS_EST" tableColumnId="4"/>
      <queryTableField id="5" name="MONTH_CHAR" tableColumnId="5"/>
      <queryTableField id="6" name="PERIOD" tableColumnId="6"/>
    </queryTableFields>
  </queryTableRefresh>
</queryTable>
</file>

<file path=xl/queryTables/queryTable59.xml><?xml version="1.0" encoding="utf-8"?>
<queryTable xmlns="http://schemas.openxmlformats.org/spreadsheetml/2006/main" name="Query from GLOBAL_RDS_1" connectionId="60" autoFormatId="16" applyNumberFormats="0" applyBorderFormats="0" applyFontFormats="0" applyPatternFormats="0" applyAlignmentFormats="0" applyWidthHeightFormats="0">
  <queryTableRefresh nextId="7">
    <queryTableFields count="6">
      <queryTableField id="1" name="FISCAL" tableColumnId="1"/>
      <queryTableField id="2" name="RU_YEAR" tableColumnId="2"/>
      <queryTableField id="3" name="RU_MONTH" tableColumnId="3"/>
      <queryTableField id="4" name="HOURS_ACT" tableColumnId="4"/>
      <queryTableField id="5" name="MONTH_CHAR" tableColumnId="5"/>
      <queryTableField id="6" name="PERIOD" tableColumnId="6"/>
    </queryTableFields>
  </queryTableRefresh>
</queryTable>
</file>

<file path=xl/queryTables/queryTable60.xml><?xml version="1.0" encoding="utf-8"?>
<queryTable xmlns="http://schemas.openxmlformats.org/spreadsheetml/2006/main" name="Query from GLOBAL_RDS_2" connectionId="61" autoFormatId="16" applyNumberFormats="0" applyBorderFormats="0" applyFontFormats="0" applyPatternFormats="0" applyAlignmentFormats="0" applyWidthHeightFormats="0">
  <queryTableRefresh nextId="9">
    <queryTableFields count="8">
      <queryTableField id="1" name="FISCAL" tableColumnId="1"/>
      <queryTableField id="2" name="RU_YEAR" tableColumnId="2"/>
      <queryTableField id="3" name="RU_MONTH" tableColumnId="3"/>
      <queryTableField id="4" name="HOURS_EST" tableColumnId="4"/>
      <queryTableField id="5" name="HOURS_ACT" tableColumnId="5"/>
      <queryTableField id="6" name="MONTH_CHAR" tableColumnId="6"/>
      <queryTableField id="7" name="PERIOD" tableColumnId="7"/>
      <queryTableField id="8" name="PERCENT_OF" tableColumnId="8"/>
    </queryTableFields>
  </queryTableRefresh>
</queryTable>
</file>

<file path=xl/queryTables/queryTable61.xml><?xml version="1.0" encoding="utf-8"?>
<queryTable xmlns="http://schemas.openxmlformats.org/spreadsheetml/2006/main" name="Query from GLOBAL_RDS_3" connectionId="62" autoFormatId="16" applyNumberFormats="0" applyBorderFormats="0" applyFontFormats="0" applyPatternFormats="0" applyAlignmentFormats="0" applyWidthHeightFormats="0">
  <queryTableRefresh nextId="9">
    <queryTableFields count="8">
      <queryTableField id="1" name="FISCAL" tableColumnId="1"/>
      <queryTableField id="2" name="RU_YEAR" tableColumnId="2"/>
      <queryTableField id="3" name="RU_MONTH" tableColumnId="3"/>
      <queryTableField id="4" name="HOURS_EST" tableColumnId="4"/>
      <queryTableField id="5" name="HOURS_ACT" tableColumnId="5"/>
      <queryTableField id="6" name="MONTH_CHAR" tableColumnId="6"/>
      <queryTableField id="7" name="PERIOD" tableColumnId="7"/>
      <queryTableField id="8" name="PERCENT_OF" tableColumnId="8"/>
    </queryTableFields>
  </queryTableRefresh>
</queryTable>
</file>

<file path=xl/queryTables/queryTable62.xml><?xml version="1.0" encoding="utf-8"?>
<queryTable xmlns="http://schemas.openxmlformats.org/spreadsheetml/2006/main" name="Query from GLOBAL_RDS_4" connectionId="63" autoFormatId="16" applyNumberFormats="0" applyBorderFormats="0" applyFontFormats="0" applyPatternFormats="0" applyAlignmentFormats="0" applyWidthHeightFormats="0">
  <queryTableRefresh nextId="9">
    <queryTableFields count="8">
      <queryTableField id="1" name="FISCAL" tableColumnId="1"/>
      <queryTableField id="2" name="RU_YEAR" tableColumnId="2"/>
      <queryTableField id="3" name="RU_MONTH" tableColumnId="3"/>
      <queryTableField id="4" name="HOURS_EST" tableColumnId="4"/>
      <queryTableField id="5" name="HOURS_ACT" tableColumnId="5"/>
      <queryTableField id="6" name="PERIOD" tableColumnId="6"/>
      <queryTableField id="7" name="MONTH_CHAR" tableColumnId="7"/>
      <queryTableField id="8" name="PERCENT_OF" tableColumnId="8"/>
    </queryTableFields>
  </queryTableRefresh>
</queryTable>
</file>

<file path=xl/queryTables/queryTable63.xml><?xml version="1.0" encoding="utf-8"?>
<queryTable xmlns="http://schemas.openxmlformats.org/spreadsheetml/2006/main" name="Query from GLOBAL_RDS" connectionId="64" autoFormatId="16" applyNumberFormats="0" applyBorderFormats="0" applyFontFormats="0" applyPatternFormats="0" applyAlignmentFormats="0" applyWidthHeightFormats="0">
  <queryTableRefresh nextId="7">
    <queryTableFields count="6">
      <queryTableField id="1" name="FISCAL" tableColumnId="1"/>
      <queryTableField id="2" name="RU_YEAR" tableColumnId="2"/>
      <queryTableField id="3" name="RU_MONTH" tableColumnId="3"/>
      <queryTableField id="4" name="MONTH_CHAR" tableColumnId="4"/>
      <queryTableField id="5" name="PERIOD" tableColumnId="5"/>
      <queryTableField id="6" name="AVG_COST" tableColumnId="6"/>
    </queryTableFields>
  </queryTableRefresh>
</queryTable>
</file>

<file path=xl/queryTables/queryTable64.xml><?xml version="1.0" encoding="utf-8"?>
<queryTable xmlns="http://schemas.openxmlformats.org/spreadsheetml/2006/main" name="Query from GLOBAL_RDS_1" connectionId="65" autoFormatId="16" applyNumberFormats="0" applyBorderFormats="0" applyFontFormats="0" applyPatternFormats="0" applyAlignmentFormats="0" applyWidthHeightFormats="0">
  <queryTableRefresh nextId="7">
    <queryTableFields count="6">
      <queryTableField id="1" name="FISCAL" tableColumnId="1"/>
      <queryTableField id="2" name="RU_YEAR" tableColumnId="2"/>
      <queryTableField id="3" name="RU_MONTH" tableColumnId="3"/>
      <queryTableField id="4" name="MONTH_CHAR" tableColumnId="4"/>
      <queryTableField id="5" name="PERIOD" tableColumnId="5"/>
      <queryTableField id="6" name="AVG_COST" tableColumnId="6"/>
    </queryTableFields>
  </queryTableRefresh>
</queryTable>
</file>

<file path=xl/queryTables/queryTable65.xml><?xml version="1.0" encoding="utf-8"?>
<queryTable xmlns="http://schemas.openxmlformats.org/spreadsheetml/2006/main" name="Query from GLOBAL_RDS_2" connectionId="66" autoFormatId="16" applyNumberFormats="0" applyBorderFormats="0" applyFontFormats="0" applyPatternFormats="0" applyAlignmentFormats="0" applyWidthHeightFormats="0">
  <queryTableRefresh nextId="7">
    <queryTableFields count="6">
      <queryTableField id="1" name="FISCAL" tableColumnId="1"/>
      <queryTableField id="2" name="RU_YEAR" tableColumnId="2"/>
      <queryTableField id="3" name="RU_MONTH" tableColumnId="3"/>
      <queryTableField id="4" name="MONTH_CHAR" tableColumnId="4"/>
      <queryTableField id="5" name="PERIOD" tableColumnId="5"/>
      <queryTableField id="6" name="AVG_COST" tableColumnId="6"/>
    </queryTableFields>
  </queryTableRefresh>
</queryTable>
</file>

<file path=xl/queryTables/queryTable66.xml><?xml version="1.0" encoding="utf-8"?>
<queryTable xmlns="http://schemas.openxmlformats.org/spreadsheetml/2006/main" name="Query from GLOBAL_RDS" connectionId="67"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TOTAL" tableColumnId="3"/>
      <queryTableField id="4" name="MONTH_CHAR" tableColumnId="4"/>
      <queryTableField id="5" name="PERIOD" tableColumnId="5"/>
    </queryTableFields>
  </queryTableRefresh>
</queryTable>
</file>

<file path=xl/queryTables/queryTable67.xml><?xml version="1.0" encoding="utf-8"?>
<queryTable xmlns="http://schemas.openxmlformats.org/spreadsheetml/2006/main" name="Query from GLOBAL_RDS_1" connectionId="68"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TOTAL" tableColumnId="3"/>
      <queryTableField id="4" name="MONTH_CHAR" tableColumnId="4"/>
      <queryTableField id="5" name="PERIOD" tableColumnId="5"/>
    </queryTableFields>
  </queryTableRefresh>
</queryTable>
</file>

<file path=xl/queryTables/queryTable68.xml><?xml version="1.0" encoding="utf-8"?>
<queryTable xmlns="http://schemas.openxmlformats.org/spreadsheetml/2006/main" name="Query from GLOBAL_RDS_2" connectionId="69" autoFormatId="16" applyNumberFormats="0" applyBorderFormats="0" applyFontFormats="0" applyPatternFormats="0" applyAlignmentFormats="0" applyWidthHeightFormats="0">
  <queryTableRefresh nextId="6">
    <queryTableFields count="5">
      <queryTableField id="1" name="RU_YEAR" tableColumnId="1"/>
      <queryTableField id="2" name="RU_MONTH" tableColumnId="2"/>
      <queryTableField id="3" name="TOTAL" tableColumnId="3"/>
      <queryTableField id="4" name="MONTH_CHAR" tableColumnId="4"/>
      <queryTableField id="5" name="PERIOD" tableColumnId="5"/>
    </queryTableFields>
  </queryTableRefresh>
</queryTable>
</file>

<file path=xl/queryTables/queryTable69.xml><?xml version="1.0" encoding="utf-8"?>
<queryTable xmlns="http://schemas.openxmlformats.org/spreadsheetml/2006/main" name="Query from GLOBAL_RDS" connectionId="70" autoFormatId="16" applyNumberFormats="0" applyBorderFormats="0" applyFontFormats="0" applyPatternFormats="0" applyAlignmentFormats="0" applyWidthHeightFormats="0">
  <queryTableRefresh nextId="6">
    <queryTableFields count="5">
      <queryTableField id="1" name="CURRENT_A" tableColumnId="1"/>
      <queryTableField id="2" name="DAYS_30" tableColumnId="2"/>
      <queryTableField id="3" name="DAYS_60" tableColumnId="3"/>
      <queryTableField id="4" name="DAYS_90" tableColumnId="4"/>
      <queryTableField id="5" name="TOTAL" tableColumnId="5"/>
    </queryTableFields>
  </queryTableRefresh>
</queryTable>
</file>

<file path=xl/queryTables/queryTable70.xml><?xml version="1.0" encoding="utf-8"?>
<queryTable xmlns="http://schemas.openxmlformats.org/spreadsheetml/2006/main" name="Query from GLOBAL_RDS_1" connectionId="71" autoFormatId="16" applyNumberFormats="0" applyBorderFormats="0" applyFontFormats="0" applyPatternFormats="0" applyAlignmentFormats="0" applyWidthHeightFormats="0">
  <queryTableRefresh nextId="4">
    <queryTableFields count="3">
      <queryTableField id="1" name="VENDOR" tableColumnId="1"/>
      <queryTableField id="2" name="NAME_VENDOR_PAY" tableColumnId="2"/>
      <queryTableField id="3" name="AMT_YTD_PUR" tableColumnId="3"/>
    </queryTableFields>
  </queryTableRefresh>
</queryTable>
</file>

<file path=xl/queryTables/queryTable71.xml><?xml version="1.0" encoding="utf-8"?>
<queryTable xmlns="http://schemas.openxmlformats.org/spreadsheetml/2006/main" name="Query from GLOBAL_RDS_2" connectionId="72" autoFormatId="16" applyNumberFormats="0" applyBorderFormats="0" applyFontFormats="0" applyPatternFormats="0" applyAlignmentFormats="0" applyWidthHeightFormats="0">
  <queryTableRefresh nextId="6">
    <queryTableFields count="5">
      <queryTableField id="1" name="CURRENT_A" tableColumnId="1"/>
      <queryTableField id="2" name="DAYS_30" tableColumnId="2"/>
      <queryTableField id="3" name="DAYS_60" tableColumnId="3"/>
      <queryTableField id="4" name="DAYS_90" tableColumnId="4"/>
      <queryTableField id="5" name="TOTAL" tableColumnId="5"/>
    </queryTableFields>
  </queryTableRefresh>
</queryTable>
</file>

<file path=xl/queryTables/queryTable72.xml><?xml version="1.0" encoding="utf-8"?>
<queryTable xmlns="http://schemas.openxmlformats.org/spreadsheetml/2006/main" name="Query from GLOBAL_ZEN" backgroundRefresh="0" connectionId="1" autoFormatId="16" applyNumberFormats="0" applyBorderFormats="0" applyFontFormats="0" applyPatternFormats="0" applyAlignmentFormats="0" applyWidthHeightFormats="0">
  <queryTableRefresh nextId="27" unboundColumnsRight="2">
    <queryTableFields count="25">
      <queryTableField id="1" name="YEAR" tableColumnId="1"/>
      <queryTableField id="2" name="CASH" tableColumnId="2"/>
      <queryTableField id="3" name="RAW" tableColumnId="3"/>
      <queryTableField id="4" name="FG" tableColumnId="4"/>
      <queryTableField id="5" name="WIP" tableColumnId="5"/>
      <queryTableField id="6" name="AR" tableColumnId="6"/>
      <queryTableField id="7" name="OTHER_ASSET" tableColumnId="7"/>
      <queryTableField id="8" name="FIXED_ASSET" tableColumnId="8"/>
      <queryTableField id="9" name="AP" tableColumnId="9"/>
      <queryTableField id="10" name="OTHER_CURRENT" tableColumnId="10"/>
      <queryTableField id="11" name="LONG_TERM_DEBT" tableColumnId="11"/>
      <queryTableField id="12" name="SALES" tableColumnId="12"/>
      <queryTableField id="13" name="COGS_FREIGHT" tableColumnId="13"/>
      <queryTableField id="14" name="COGS_LABOR" tableColumnId="14"/>
      <queryTableField id="15" name="COGS_OUTSIDE" tableColumnId="15"/>
      <queryTableField id="16" name="COGS_OVERHEAD" tableColumnId="16"/>
      <queryTableField id="17" name="COGS_OTHER" tableColumnId="17"/>
      <queryTableField id="18" name="COGS_MATERIAL" tableColumnId="18"/>
      <queryTableField id="19" name="VARIABLE_EXPENSES" tableColumnId="19"/>
      <queryTableField id="20" name="FIXED_EXPENSES" tableColumnId="20"/>
      <queryTableField id="21" name="TAXES" tableColumnId="21"/>
      <queryTableField id="22" name="SHARES" tableColumnId="22"/>
      <queryTableField id="25" name="MONTH" tableColumnId="23"/>
      <queryTableField id="24" dataBound="0" tableColumnId="24"/>
      <queryTableField id="26" dataBound="0"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54.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55.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56.xml"/></Relationships>
</file>

<file path=xl/tables/_rels/table57.xml.rels><?xml version="1.0" encoding="UTF-8" standalone="yes"?>
<Relationships xmlns="http://schemas.openxmlformats.org/package/2006/relationships"><Relationship Id="rId1" Type="http://schemas.openxmlformats.org/officeDocument/2006/relationships/queryTable" Target="../queryTables/queryTable57.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58.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59.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60.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61.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62.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63.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64.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65.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66.xml"/></Relationships>
</file>

<file path=xl/tables/_rels/table67.xml.rels><?xml version="1.0" encoding="UTF-8" standalone="yes"?>
<Relationships xmlns="http://schemas.openxmlformats.org/package/2006/relationships"><Relationship Id="rId1" Type="http://schemas.openxmlformats.org/officeDocument/2006/relationships/queryTable" Target="../queryTables/queryTable67.xml"/></Relationships>
</file>

<file path=xl/tables/_rels/table68.xml.rels><?xml version="1.0" encoding="UTF-8" standalone="yes"?>
<Relationships xmlns="http://schemas.openxmlformats.org/package/2006/relationships"><Relationship Id="rId1" Type="http://schemas.openxmlformats.org/officeDocument/2006/relationships/queryTable" Target="../queryTables/queryTable68.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69.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70.xml"/></Relationships>
</file>

<file path=xl/tables/_rels/table71.xml.rels><?xml version="1.0" encoding="UTF-8" standalone="yes"?>
<Relationships xmlns="http://schemas.openxmlformats.org/package/2006/relationships"><Relationship Id="rId1" Type="http://schemas.openxmlformats.org/officeDocument/2006/relationships/queryTable" Target="../queryTables/queryTable71.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72.xml"/></Relationships>
</file>

<file path=xl/tables/table1.xml><?xml version="1.0" encoding="utf-8"?>
<table xmlns="http://schemas.openxmlformats.org/spreadsheetml/2006/main" id="11" name="Customers" displayName="Customers" ref="A2:B27" tableType="queryTable" totalsRowShown="0">
  <autoFilter ref="A2:B27"/>
  <tableColumns count="2">
    <tableColumn id="1" uniqueName="1" name="CUSTOMER_NAME" queryTableFieldId="1"/>
    <tableColumn id="2" uniqueName="2" name="TOTAL_SALES" queryTableFieldId="2"/>
  </tableColumns>
  <tableStyleInfo name="TableStyleMedium2" showFirstColumn="0" showLastColumn="0" showRowStripes="1" showColumnStripes="0"/>
</table>
</file>

<file path=xl/tables/table2.xml><?xml version="1.0" encoding="utf-8"?>
<table xmlns="http://schemas.openxmlformats.org/spreadsheetml/2006/main" id="15" name="Table_Query_from_Global_PLA_116" displayName="Table_Query_from_Global_PLA_116" ref="D2:I14" tableType="queryTable" totalsRowShown="0">
  <autoFilter ref="D2:I14"/>
  <tableColumns count="6">
    <tableColumn id="1" uniqueName="1" name="RU_YEAR" queryTableFieldId="1"/>
    <tableColumn id="2" uniqueName="2" name="RU_MONTH" queryTableFieldId="2"/>
    <tableColumn id="3" uniqueName="3" name="OPEN_ORDER_TOTAL" queryTableFieldId="3"/>
    <tableColumn id="4" uniqueName="4" name="OPEN_ORDER_LINES" queryTableFieldId="4"/>
    <tableColumn id="5" uniqueName="5" name="MONTH_CHAR" queryTableFieldId="9"/>
    <tableColumn id="6" uniqueName="6" name="PERIOD" queryTableFieldId="10"/>
  </tableColumns>
  <tableStyleInfo name="TableStyleMedium2" showFirstColumn="0" showLastColumn="0" showRowStripes="1" showColumnStripes="0"/>
</table>
</file>

<file path=xl/tables/table3.xml><?xml version="1.0" encoding="utf-8"?>
<table xmlns="http://schemas.openxmlformats.org/spreadsheetml/2006/main" id="17" name="Table_Query_from_Global_PLA_2" displayName="Table_Query_from_Global_PLA_2" ref="L2:R18" tableType="queryTable" totalsRowShown="0">
  <autoFilter ref="L2:R18"/>
  <tableColumns count="7">
    <tableColumn id="1" uniqueName="1" name="RU_YEAR" queryTableFieldId="1"/>
    <tableColumn id="2" uniqueName="2" name="RU_MONTH" queryTableFieldId="2"/>
    <tableColumn id="3" uniqueName="3" name="SALES" queryTableFieldId="3"/>
    <tableColumn id="4" uniqueName="4" name="BUDGET" queryTableFieldId="4"/>
    <tableColumn id="5" uniqueName="5" name="PER_OF_BUDGET"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xml><?xml version="1.0" encoding="utf-8"?>
<table xmlns="http://schemas.openxmlformats.org/spreadsheetml/2006/main" id="18" name="Table_Query_from_Global_PLA_3" displayName="Table_Query_from_Global_PLA_3" ref="T2:Z4" tableType="queryTable" totalsRowCount="1">
  <autoFilter ref="T2:Z3"/>
  <tableColumns count="7">
    <tableColumn id="1" uniqueName="1" name="RU_YEAR" queryTableFieldId="1"/>
    <tableColumn id="2" uniqueName="2" name="RU_MONTH" queryTableFieldId="2"/>
    <tableColumn id="3" uniqueName="3" name="SALES" queryTableFieldId="3"/>
    <tableColumn id="4" uniqueName="4" name="BUDGET" queryTableFieldId="4"/>
    <tableColumn id="5" uniqueName="5" name="PER_OF_BUDGET"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5.xml><?xml version="1.0" encoding="utf-8"?>
<table xmlns="http://schemas.openxmlformats.org/spreadsheetml/2006/main" id="21" name="Table_Query_from_Global_PLA_4" displayName="Table_Query_from_Global_PLA_4" ref="AB2:AH3" tableType="queryTable" totalsRowShown="0">
  <autoFilter ref="AB2:AH3"/>
  <tableColumns count="7">
    <tableColumn id="1" uniqueName="1" name="RU_YEAR" queryTableFieldId="1"/>
    <tableColumn id="2" uniqueName="2" name="RU_MONTH" queryTableFieldId="2"/>
    <tableColumn id="3" uniqueName="3" name="SALES" queryTableFieldId="3"/>
    <tableColumn id="4" uniqueName="4" name="BUDGET" queryTableFieldId="4"/>
    <tableColumn id="5" uniqueName="5" name="PER_OF_BUDGET"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6.xml><?xml version="1.0" encoding="utf-8"?>
<table xmlns="http://schemas.openxmlformats.org/spreadsheetml/2006/main" id="23" name="Table_Query_from_Global_PLA_5" displayName="Table_Query_from_Global_PLA_5" ref="AJ2:AN18" tableType="queryTable" totalsRowShown="0">
  <autoFilter ref="AJ2:AN18"/>
  <tableColumns count="5">
    <tableColumn id="1" uniqueName="1" name="RU_YEAR" queryTableFieldId="1"/>
    <tableColumn id="2" uniqueName="2" name="RU_MONTH" queryTableFieldId="2"/>
    <tableColumn id="3" uniqueName="3" name="GM_PERCENT"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7.xml><?xml version="1.0" encoding="utf-8"?>
<table xmlns="http://schemas.openxmlformats.org/spreadsheetml/2006/main" id="24" name="Table_Query_from_Global_PLA_6" displayName="Table_Query_from_Global_PLA_6" ref="AP2:AV3" tableType="queryTable" totalsRowShown="0">
  <autoFilter ref="AP2:AV3"/>
  <tableColumns count="7">
    <tableColumn id="1" uniqueName="1" name="RU_YEAR" queryTableFieldId="1"/>
    <tableColumn id="2" uniqueName="2" name="RU_MONTH" queryTableFieldId="2"/>
    <tableColumn id="3" uniqueName="3" name="GM_PERCENT" queryTableFieldId="3"/>
    <tableColumn id="4" uniqueName="4" name="SALES" queryTableFieldId="4"/>
    <tableColumn id="5" uniqueName="5" name="COST"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8.xml><?xml version="1.0" encoding="utf-8"?>
<table xmlns="http://schemas.openxmlformats.org/spreadsheetml/2006/main" id="25" name="Table_Query_from_Global_PLA_7" displayName="Table_Query_from_Global_PLA_7" ref="AX2:BD3" tableType="queryTable" totalsRowShown="0">
  <autoFilter ref="AX2:BD3"/>
  <tableColumns count="7">
    <tableColumn id="1" uniqueName="1" name="RU_YEAR" queryTableFieldId="1"/>
    <tableColumn id="2" uniqueName="2" name="RU_MONTH" queryTableFieldId="2"/>
    <tableColumn id="3" uniqueName="3" name="GM_PERCENT" queryTableFieldId="3"/>
    <tableColumn id="4" uniqueName="4" name="SALES" queryTableFieldId="4"/>
    <tableColumn id="5" uniqueName="5" name="COST"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9.xml><?xml version="1.0" encoding="utf-8"?>
<table xmlns="http://schemas.openxmlformats.org/spreadsheetml/2006/main" id="26" name="Table_Query_from_Global_PLA_8" displayName="Table_Query_from_Global_PLA_8" ref="BF2:BK7" tableType="queryTable" totalsRowShown="0">
  <autoFilter ref="BF2:BK7"/>
  <tableColumns count="6">
    <tableColumn id="1" uniqueName="1" name="RU_YEAR" queryTableFieldId="1"/>
    <tableColumn id="2" uniqueName="2" name="SIC_CODE" queryTableFieldId="2"/>
    <tableColumn id="3" uniqueName="3" name="SALES" queryTableFieldId="3"/>
    <tableColumn id="4" uniqueName="4" name="RU_MONTH" queryTableFieldId="4"/>
    <tableColumn id="5" uniqueName="5" name="MONTH_CHAR" queryTableFieldId="5"/>
    <tableColumn id="6" uniqueName="6" name="PERIOD" queryTableFieldId="6"/>
  </tableColumns>
  <tableStyleInfo name="TableStyleMedium2" showFirstColumn="0" showLastColumn="0" showRowStripes="1" showColumnStripes="0"/>
</table>
</file>

<file path=xl/tables/table10.xml><?xml version="1.0" encoding="utf-8"?>
<table xmlns="http://schemas.openxmlformats.org/spreadsheetml/2006/main" id="27" name="Table_Query_from_Global_PLA_9" displayName="Table_Query_from_Global_PLA_9" ref="BM2:BO4" tableType="queryTable" totalsRowShown="0">
  <autoFilter ref="BM2:BO4"/>
  <tableColumns count="3">
    <tableColumn id="1" uniqueName="1" name="RU_YEAR" queryTableFieldId="1"/>
    <tableColumn id="2" uniqueName="2" name="SIC_CODE" queryTableFieldId="2"/>
    <tableColumn id="3" uniqueName="3" name="SALES" queryTableFieldId="3"/>
  </tableColumns>
  <tableStyleInfo name="TableStyleMedium2" showFirstColumn="0" showLastColumn="0" showRowStripes="1" showColumnStripes="0"/>
</table>
</file>

<file path=xl/tables/table11.xml><?xml version="1.0" encoding="utf-8"?>
<table xmlns="http://schemas.openxmlformats.org/spreadsheetml/2006/main" id="29" name="Table_Query_from_Global_PLA_10" displayName="Table_Query_from_Global_PLA_10" ref="BQ2:BS4" tableType="queryTable" totalsRowShown="0">
  <autoFilter ref="BQ2:BS4"/>
  <tableColumns count="3">
    <tableColumn id="1" uniqueName="1" name="RU_YEAR" queryTableFieldId="1"/>
    <tableColumn id="2" uniqueName="2" name="SIC_CODE" queryTableFieldId="2"/>
    <tableColumn id="3" uniqueName="3" name="SALES" queryTableFieldId="3"/>
  </tableColumns>
  <tableStyleInfo name="TableStyleMedium2" showFirstColumn="0" showLastColumn="0" showRowStripes="1" showColumnStripes="0"/>
</table>
</file>

<file path=xl/tables/table12.xml><?xml version="1.0" encoding="utf-8"?>
<table xmlns="http://schemas.openxmlformats.org/spreadsheetml/2006/main" id="30" name="Table_Query_from_GLOBAL_RDS" displayName="Table_Query_from_GLOBAL_RDS" ref="BU2:BW7" tableType="queryTable" totalsRowShown="0">
  <autoFilter ref="BU2:BW7"/>
  <tableColumns count="3">
    <tableColumn id="1" uniqueName="1" name="CUSTOMER_NAME" queryTableFieldId="1"/>
    <tableColumn id="2" uniqueName="2" name="SALES" queryTableFieldId="2"/>
    <tableColumn id="3" uniqueName="3" name="RU_YEAR" queryTableFieldId="3"/>
  </tableColumns>
  <tableStyleInfo name="TableStyleMedium2" showFirstColumn="0" showLastColumn="0" showRowStripes="1" showColumnStripes="0"/>
</table>
</file>

<file path=xl/tables/table13.xml><?xml version="1.0" encoding="utf-8"?>
<table xmlns="http://schemas.openxmlformats.org/spreadsheetml/2006/main" id="31" name="Table_Query_from_GLOBAL_RDS_1" displayName="Table_Query_from_GLOBAL_RDS_1" ref="BY2:CA7" tableType="queryTable" totalsRowShown="0">
  <autoFilter ref="BY2:CA7"/>
  <tableColumns count="3">
    <tableColumn id="1" uniqueName="1" name="SALESMAN" queryTableFieldId="1"/>
    <tableColumn id="2" uniqueName="2" name="SALES" queryTableFieldId="2"/>
    <tableColumn id="3" uniqueName="3" name="RU_YEAR" queryTableFieldId="3"/>
  </tableColumns>
  <tableStyleInfo name="TableStyleMedium2" showFirstColumn="0" showLastColumn="0" showRowStripes="1" showColumnStripes="0"/>
</table>
</file>

<file path=xl/tables/table14.xml><?xml version="1.0" encoding="utf-8"?>
<table xmlns="http://schemas.openxmlformats.org/spreadsheetml/2006/main" id="32" name="Table_Query_from_GLOBAL_RDS_2" displayName="Table_Query_from_GLOBAL_RDS_2" ref="CC2:CH18" tableType="queryTable" totalsRowShown="0">
  <autoFilter ref="CC2:CH18"/>
  <tableColumns count="6">
    <tableColumn id="1" uniqueName="1" name="RU_YEAR" queryTableFieldId="1"/>
    <tableColumn id="2" uniqueName="2" name="RU_MONTH" queryTableFieldId="2"/>
    <tableColumn id="3" uniqueName="3" name="AVG_SALES_INV" queryTableFieldId="3"/>
    <tableColumn id="4" uniqueName="4" name="AVG_SALES_UNIT" queryTableFieldId="4"/>
    <tableColumn id="5" uniqueName="5" name="MONTH_CHAR" queryTableFieldId="5"/>
    <tableColumn id="6" uniqueName="6" name="PERIOD" queryTableFieldId="6"/>
  </tableColumns>
  <tableStyleInfo name="TableStyleMedium2" showFirstColumn="0" showLastColumn="0" showRowStripes="1" showColumnStripes="0"/>
</table>
</file>

<file path=xl/tables/table15.xml><?xml version="1.0" encoding="utf-8"?>
<table xmlns="http://schemas.openxmlformats.org/spreadsheetml/2006/main" id="33" name="Table_Query_from_GLOBAL_RDS_3" displayName="Table_Query_from_GLOBAL_RDS_3" ref="CJ2:CO3" tableType="queryTable" totalsRowShown="0">
  <autoFilter ref="CJ2:CO3"/>
  <tableColumns count="6">
    <tableColumn id="1" uniqueName="1" name="RU_YEAR" queryTableFieldId="1"/>
    <tableColumn id="2" uniqueName="2" name="RU_MONTH" queryTableFieldId="2"/>
    <tableColumn id="3" uniqueName="3" name="AVG_SALES_INV" queryTableFieldId="3"/>
    <tableColumn id="4" uniqueName="4" name="AVG_SALES_UNIT" queryTableFieldId="4"/>
    <tableColumn id="5" uniqueName="5" name="MONTH_CHAR" queryTableFieldId="5"/>
    <tableColumn id="6" uniqueName="6" name="PERIOD" queryTableFieldId="6"/>
  </tableColumns>
  <tableStyleInfo name="TableStyleMedium2" showFirstColumn="0" showLastColumn="0" showRowStripes="1" showColumnStripes="0"/>
</table>
</file>

<file path=xl/tables/table16.xml><?xml version="1.0" encoding="utf-8"?>
<table xmlns="http://schemas.openxmlformats.org/spreadsheetml/2006/main" id="34" name="Table_Query_from_GLOBAL_RDS_4" displayName="Table_Query_from_GLOBAL_RDS_4" ref="CQ2:CV3" tableType="queryTable" totalsRowShown="0">
  <autoFilter ref="CQ2:CV3"/>
  <tableColumns count="6">
    <tableColumn id="1" uniqueName="1" name="RU_YEAR" queryTableFieldId="1"/>
    <tableColumn id="2" uniqueName="2" name="RU_MONTH" queryTableFieldId="2"/>
    <tableColumn id="3" uniqueName="3" name="AVG_SALES_INV" queryTableFieldId="3"/>
    <tableColumn id="4" uniqueName="4" name="AVG_SALES_UNIT" queryTableFieldId="4"/>
    <tableColumn id="5" uniqueName="5" name="MONTH_CHAR" queryTableFieldId="5"/>
    <tableColumn id="6" uniqueName="6" name="PERIOD" queryTableFieldId="6"/>
  </tableColumns>
  <tableStyleInfo name="TableStyleMedium2" showFirstColumn="0" showLastColumn="0" showRowStripes="1" showColumnStripes="0"/>
</table>
</file>

<file path=xl/tables/table17.xml><?xml version="1.0" encoding="utf-8"?>
<table xmlns="http://schemas.openxmlformats.org/spreadsheetml/2006/main" id="36" name="Table_Query_from_GLOBAL_RDS_5" displayName="Table_Query_from_GLOBAL_RDS_5" ref="CX2:DA7" tableType="queryTable" totalsRowShown="0">
  <autoFilter ref="CX2:DA7"/>
  <tableColumns count="4">
    <tableColumn id="1" uniqueName="1" name="PRODUCT_LINE" queryTableFieldId="1"/>
    <tableColumn id="2" uniqueName="2" name="SALES" queryTableFieldId="2"/>
    <tableColumn id="3" uniqueName="3" name="RU_YEAR" queryTableFieldId="3"/>
    <tableColumn id="4" uniqueName="4" name="GM_PERCENT" queryTableFieldId="4"/>
  </tableColumns>
  <tableStyleInfo name="TableStyleMedium2" showFirstColumn="0" showLastColumn="0" showRowStripes="1" showColumnStripes="0"/>
</table>
</file>

<file path=xl/tables/table18.xml><?xml version="1.0" encoding="utf-8"?>
<table xmlns="http://schemas.openxmlformats.org/spreadsheetml/2006/main" id="42" name="Table_Query_from_GLOBAL_RDS_9" displayName="Table_Query_from_GLOBAL_RDS_9" ref="DY2:EE26" tableType="queryTable" totalsRowShown="0">
  <autoFilter ref="DY2:EE26"/>
  <tableColumns count="7">
    <tableColumn id="1" uniqueName="1" name="CUSTOMER_NAME" queryTableFieldId="1"/>
    <tableColumn id="2" uniqueName="2" name="YEAR1" queryTableFieldId="2"/>
    <tableColumn id="3" uniqueName="3" name="YEAR2" queryTableFieldId="3"/>
    <tableColumn id="4" uniqueName="4" name="YEAR3" queryTableFieldId="4"/>
    <tableColumn id="5" uniqueName="5" name="YEAR4" queryTableFieldId="5"/>
    <tableColumn id="6" uniqueName="6" name="YEAR5" queryTableFieldId="6"/>
    <tableColumn id="7" uniqueName="7" name="CUSTOMER" queryTableFieldId="7"/>
  </tableColumns>
  <tableStyleInfo name="TableStyleMedium2" showFirstColumn="0" showLastColumn="0" showRowStripes="1" showColumnStripes="0"/>
</table>
</file>

<file path=xl/tables/table19.xml><?xml version="1.0" encoding="utf-8"?>
<table xmlns="http://schemas.openxmlformats.org/spreadsheetml/2006/main" id="43" name="Table_Query_from_GLOBAL_RDS_10" displayName="Table_Query_from_GLOBAL_RDS_10" ref="EG2:EM50" tableType="queryTable" totalsRowShown="0">
  <autoFilter ref="EG2:EM50"/>
  <tableColumns count="7">
    <tableColumn id="1" uniqueName="1" name="CUSTOMER_NAME" queryTableFieldId="1"/>
    <tableColumn id="2" uniqueName="2" name="HIST" queryTableFieldId="2"/>
    <tableColumn id="3" uniqueName="3" name="OPENA" queryTableFieldId="3"/>
    <tableColumn id="4" uniqueName="4" name="GRAND_TOTAL" queryTableFieldId="4"/>
    <tableColumn id="5" uniqueName="5" name="CUSTOMER" queryTableFieldId="5"/>
    <tableColumn id="7" uniqueName="7" name="RU_YEAR" queryTableFieldId="7"/>
    <tableColumn id="6" uniqueName="6" name="Column1" queryTableFieldId="6"/>
  </tableColumns>
  <tableStyleInfo name="TableStyleMedium2" showFirstColumn="0" showLastColumn="0" showRowStripes="1" showColumnStripes="0"/>
</table>
</file>

<file path=xl/tables/table20.xml><?xml version="1.0" encoding="utf-8"?>
<table xmlns="http://schemas.openxmlformats.org/spreadsheetml/2006/main" id="59" name="Table_Query_from_Global_PLA_11" displayName="Table_Query_from_Global_PLA_11" ref="DE2:DH5" tableType="queryTable" totalsRowShown="0">
  <autoFilter ref="DE2:DH5"/>
  <tableColumns count="4">
    <tableColumn id="1" uniqueName="1" name="CATEGORY" queryTableFieldId="1"/>
    <tableColumn id="2" uniqueName="2" name="BUDGET" queryTableFieldId="2"/>
    <tableColumn id="3" uniqueName="3" name="BUDGET_BELOW" queryTableFieldId="3"/>
    <tableColumn id="4" uniqueName="4" name="RU_YEAR" queryTableFieldId="4"/>
  </tableColumns>
  <tableStyleInfo name="TableStyleMedium2" showFirstColumn="0" showLastColumn="0" showRowStripes="1" showColumnStripes="0"/>
</table>
</file>

<file path=xl/tables/table21.xml><?xml version="1.0" encoding="utf-8"?>
<table xmlns="http://schemas.openxmlformats.org/spreadsheetml/2006/main" id="60" name="Table_Query_from_GLOBAL_RDS_11" displayName="Table_Query_from_GLOBAL_RDS_11" ref="DJ2:DM4" tableType="queryTable" totalsRowShown="0">
  <autoFilter ref="DJ2:DM4"/>
  <tableColumns count="4">
    <tableColumn id="1" uniqueName="1" name="CATEGORY" queryTableFieldId="1"/>
    <tableColumn id="2" uniqueName="2" name="BUDGET" queryTableFieldId="2"/>
    <tableColumn id="3" uniqueName="3" name="BUDGET_BELOW" queryTableFieldId="3"/>
    <tableColumn id="4" uniqueName="4" name="RU_YEAR" queryTableFieldId="4"/>
  </tableColumns>
  <tableStyleInfo name="TableStyleMedium2" showFirstColumn="0" showLastColumn="0" showRowStripes="1" showColumnStripes="0"/>
</table>
</file>

<file path=xl/tables/table22.xml><?xml version="1.0" encoding="utf-8"?>
<table xmlns="http://schemas.openxmlformats.org/spreadsheetml/2006/main" id="61" name="Table_Query_from_GLOBAL_RDS_12" displayName="Table_Query_from_GLOBAL_RDS_12" ref="DO2:DR4" tableType="queryTable" totalsRowShown="0">
  <autoFilter ref="DO2:DR4"/>
  <tableColumns count="4">
    <tableColumn id="1" uniqueName="1" name="CATEGORY" queryTableFieldId="1"/>
    <tableColumn id="2" uniqueName="2" name="BUDGET" queryTableFieldId="2"/>
    <tableColumn id="3" uniqueName="3" name="BUDGET_BELOW" queryTableFieldId="3"/>
    <tableColumn id="4" uniqueName="4" name="RU_YEAR" queryTableFieldId="4"/>
  </tableColumns>
  <tableStyleInfo name="TableStyleMedium2" showFirstColumn="0" showLastColumn="0" showRowStripes="1" showColumnStripes="0"/>
</table>
</file>

<file path=xl/tables/table23.xml><?xml version="1.0" encoding="utf-8"?>
<table xmlns="http://schemas.openxmlformats.org/spreadsheetml/2006/main" id="62" name="Table_Query_from_GLOBAL_RDS_13" displayName="Table_Query_from_GLOBAL_RDS_13" ref="DT2:DW3" tableType="queryTable" insertRow="1" totalsRowShown="0">
  <autoFilter ref="DT2:DW3"/>
  <tableColumns count="4">
    <tableColumn id="1" uniqueName="1" name="CATEGORY" queryTableFieldId="1"/>
    <tableColumn id="2" uniqueName="2" name="BUDGET" queryTableFieldId="2"/>
    <tableColumn id="3" uniqueName="3" name="BUDGET_BELOW" queryTableFieldId="3"/>
    <tableColumn id="4" uniqueName="4" name="RU_YEAR" queryTableFieldId="4"/>
  </tableColumns>
  <tableStyleInfo name="TableStyleMedium2" showFirstColumn="0" showLastColumn="0" showRowStripes="1" showColumnStripes="0"/>
</table>
</file>

<file path=xl/tables/table24.xml><?xml version="1.0" encoding="utf-8"?>
<table xmlns="http://schemas.openxmlformats.org/spreadsheetml/2006/main" id="35" name="Table_Query_from_GLOBAL_RDS36" displayName="Table_Query_from_GLOBAL_RDS36" ref="A2:J16" tableType="queryTable" totalsRowShown="0">
  <autoFilter ref="A2:J16"/>
  <tableColumns count="10">
    <tableColumn id="1" uniqueName="1" name="RU_YEAR" queryTableFieldId="1"/>
    <tableColumn id="2" uniqueName="2" name="RU_MONTH" queryTableFieldId="2"/>
    <tableColumn id="3" uniqueName="3" name="PERCENT_WON" queryTableFieldId="3"/>
    <tableColumn id="4" uniqueName="4" name="PERCENT_LOSS" queryTableFieldId="4"/>
    <tableColumn id="5" uniqueName="5" name="PERCENT_CLOSE" queryTableFieldId="5"/>
    <tableColumn id="6" uniqueName="6" name="PERCENT_OPEN" queryTableFieldId="6"/>
    <tableColumn id="7" uniqueName="7" name="CUSTOMER" queryTableFieldId="9"/>
    <tableColumn id="8" uniqueName="8" name="CUSTOMER_NAME" queryTableFieldId="10"/>
    <tableColumn id="9" uniqueName="9" name="MONTH_CHAR" queryTableFieldId="11"/>
    <tableColumn id="10" uniqueName="10" name="PERIOD" queryTableFieldId="12"/>
  </tableColumns>
  <tableStyleInfo name="TableStyleMedium2" showFirstColumn="0" showLastColumn="0" showRowStripes="1" showColumnStripes="0"/>
</table>
</file>

<file path=xl/tables/table25.xml><?xml version="1.0" encoding="utf-8"?>
<table xmlns="http://schemas.openxmlformats.org/spreadsheetml/2006/main" id="37" name="Table_Query_from_GLOBAL_RDS_138" displayName="Table_Query_from_GLOBAL_RDS_138" ref="L2:T3" tableType="queryTable" totalsRowShown="0">
  <autoFilter ref="L2:T3"/>
  <tableColumns count="9">
    <tableColumn id="1" uniqueName="1" name="CUSTOMER_NAME" queryTableFieldId="1"/>
    <tableColumn id="2" uniqueName="2" name="RU_YEAR" queryTableFieldId="2"/>
    <tableColumn id="3" uniqueName="3" name="RU_MONTH" queryTableFieldId="3"/>
    <tableColumn id="4" uniqueName="4" name="PERCENT_WON" queryTableFieldId="4"/>
    <tableColumn id="5" uniqueName="5" name="PERCENT_LOSS" queryTableFieldId="5"/>
    <tableColumn id="6" uniqueName="6" name="PERCENT_CLOSE" queryTableFieldId="6"/>
    <tableColumn id="7" uniqueName="7" name="PERCENT_OPEN" queryTableFieldId="7"/>
    <tableColumn id="8" uniqueName="8" name="MONTH_CHAR" queryTableFieldId="8"/>
    <tableColumn id="9" uniqueName="9" name="PERIOD" queryTableFieldId="9"/>
  </tableColumns>
  <tableStyleInfo name="TableStyleMedium2" showFirstColumn="0" showLastColumn="0" showRowStripes="1" showColumnStripes="0"/>
</table>
</file>

<file path=xl/tables/table26.xml><?xml version="1.0" encoding="utf-8"?>
<table xmlns="http://schemas.openxmlformats.org/spreadsheetml/2006/main" id="39" name="Table_Query_from_GLOBAL_RDS_240" displayName="Table_Query_from_GLOBAL_RDS_240" ref="V2:AD3" tableType="queryTable" totalsRowShown="0">
  <autoFilter ref="V2:AD3"/>
  <tableColumns count="9">
    <tableColumn id="1" uniqueName="1" name="CUSTOMER_NAME" queryTableFieldId="1"/>
    <tableColumn id="2" uniqueName="2" name="RU_YEAR" queryTableFieldId="2"/>
    <tableColumn id="3" uniqueName="3" name="RU_MONTH" queryTableFieldId="3"/>
    <tableColumn id="4" uniqueName="4" name="PERCENT_WON" queryTableFieldId="4"/>
    <tableColumn id="5" uniqueName="5" name="PERCENT_LOSS" queryTableFieldId="5"/>
    <tableColumn id="6" uniqueName="6" name="PERCENT_CLOSE" queryTableFieldId="6"/>
    <tableColumn id="7" uniqueName="7" name="PERCENT_OPEN" queryTableFieldId="7"/>
    <tableColumn id="8" uniqueName="8" name="MONTH_CHAR" queryTableFieldId="8"/>
    <tableColumn id="9" uniqueName="9" name="PERIOD" queryTableFieldId="9"/>
  </tableColumns>
  <tableStyleInfo name="TableStyleMedium2" showFirstColumn="0" showLastColumn="0" showRowStripes="1" showColumnStripes="0"/>
</table>
</file>

<file path=xl/tables/table27.xml><?xml version="1.0" encoding="utf-8"?>
<table xmlns="http://schemas.openxmlformats.org/spreadsheetml/2006/main" id="40" name="Table_Query_from_GLOBAL_RDS_341" displayName="Table_Query_from_GLOBAL_RDS_341" ref="AF2:AJ9" tableType="queryTable" totalsRowShown="0">
  <autoFilter ref="AF2:AJ9"/>
  <tableColumns count="5">
    <tableColumn id="1" uniqueName="1" name="RU_YEAR" queryTableFieldId="1"/>
    <tableColumn id="2" uniqueName="2" name="RU_MONTH" queryTableFieldId="2"/>
    <tableColumn id="3" uniqueName="3" name="AVERAGE"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28.xml><?xml version="1.0" encoding="utf-8"?>
<table xmlns="http://schemas.openxmlformats.org/spreadsheetml/2006/main" id="41" name="Table_Query_from_GLOBAL_RDS_442" displayName="Table_Query_from_GLOBAL_RDS_442" ref="AL2:AP3" tableType="queryTable" totalsRowShown="0">
  <autoFilter ref="AL2:AP3"/>
  <tableColumns count="5">
    <tableColumn id="1" uniqueName="1" name="RU_YEAR" queryTableFieldId="1"/>
    <tableColumn id="2" uniqueName="2" name="RU_MONTH" queryTableFieldId="2"/>
    <tableColumn id="3" uniqueName="3" name="AVERAGE"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29.xml><?xml version="1.0" encoding="utf-8"?>
<table xmlns="http://schemas.openxmlformats.org/spreadsheetml/2006/main" id="49" name="Table_Query_from_GLOBAL_RDS_550" displayName="Table_Query_from_GLOBAL_RDS_550" ref="AR2:AV3" tableType="queryTable" totalsRowShown="0">
  <autoFilter ref="AR2:AV3"/>
  <tableColumns count="5">
    <tableColumn id="1" uniqueName="1" name="RU_YEAR" queryTableFieldId="1"/>
    <tableColumn id="2" uniqueName="2" name="RU_MONTH" queryTableFieldId="2"/>
    <tableColumn id="3" uniqueName="3" name="AVERAGE"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30.xml><?xml version="1.0" encoding="utf-8"?>
<table xmlns="http://schemas.openxmlformats.org/spreadsheetml/2006/main" id="58" name="Table_Query_from_GLOBAL_RDS_6" displayName="Table_Query_from_GLOBAL_RDS_6" ref="AX2:BB9" tableType="queryTable" totalsRowShown="0">
  <autoFilter ref="AX2:BB9"/>
  <tableColumns count="5">
    <tableColumn id="1" uniqueName="1" name="RU_YEAR" queryTableFieldId="1"/>
    <tableColumn id="2" uniqueName="2" name="RU_MONTH" queryTableFieldId="2"/>
    <tableColumn id="3" uniqueName="3" name="AVERAGE"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31.xml><?xml version="1.0" encoding="utf-8"?>
<table xmlns="http://schemas.openxmlformats.org/spreadsheetml/2006/main" id="63" name="Table_Query_from_GLOBAL_RDS_7" displayName="Table_Query_from_GLOBAL_RDS_7" ref="BD2:BH3" tableType="queryTable" totalsRowShown="0">
  <autoFilter ref="BD2:BH3"/>
  <tableColumns count="5">
    <tableColumn id="1" uniqueName="1" name="RU_YEAR" queryTableFieldId="1"/>
    <tableColumn id="2" uniqueName="2" name="RU_MONTH" queryTableFieldId="2"/>
    <tableColumn id="3" uniqueName="3" name="AVERAGE"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32.xml><?xml version="1.0" encoding="utf-8"?>
<table xmlns="http://schemas.openxmlformats.org/spreadsheetml/2006/main" id="64" name="Table_Query_from_GLOBAL_RDS_8" displayName="Table_Query_from_GLOBAL_RDS_8" ref="BJ2:BN3" tableType="queryTable" totalsRowShown="0">
  <autoFilter ref="BJ2:BN3"/>
  <tableColumns count="5">
    <tableColumn id="1" uniqueName="1" name="RU_YEAR" queryTableFieldId="1"/>
    <tableColumn id="2" uniqueName="2" name="RU_MONTH" queryTableFieldId="2"/>
    <tableColumn id="3" uniqueName="3" name="AVERAGE"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33.xml><?xml version="1.0" encoding="utf-8"?>
<table xmlns="http://schemas.openxmlformats.org/spreadsheetml/2006/main" id="44" name="Table_Query_from_GLOBAL_RDS45" displayName="Table_Query_from_GLOBAL_RDS45" ref="A2:G16" tableType="queryTable" totalsRowShown="0">
  <autoFilter ref="A2:G16"/>
  <tableColumns count="7">
    <tableColumn id="1" uniqueName="1" name="RU_YEAR" queryTableFieldId="1"/>
    <tableColumn id="2" uniqueName="2" name="RU_MONTH" queryTableFieldId="2"/>
    <tableColumn id="3" uniqueName="3" name="ACTUAL" queryTableFieldId="3"/>
    <tableColumn id="4" uniqueName="4" name="ESTIMATE" queryTableFieldId="4"/>
    <tableColumn id="5" uniqueName="5" name="PERCENTAGE"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34.xml><?xml version="1.0" encoding="utf-8"?>
<table xmlns="http://schemas.openxmlformats.org/spreadsheetml/2006/main" id="45" name="Table_Query_from_GLOBAL_RDS_146" displayName="Table_Query_from_GLOBAL_RDS_146" ref="I2:O3" tableType="queryTable" totalsRowShown="0">
  <autoFilter ref="I2:O3"/>
  <tableColumns count="7">
    <tableColumn id="1" uniqueName="1" name="RU_YEAR" queryTableFieldId="1"/>
    <tableColumn id="2" uniqueName="2" name="RU_MONTH" queryTableFieldId="2"/>
    <tableColumn id="3" uniqueName="3" name="ACTUAL" queryTableFieldId="3"/>
    <tableColumn id="4" uniqueName="4" name="ESTIMATE" queryTableFieldId="4"/>
    <tableColumn id="5" uniqueName="5" name="PERCENTAGE"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35.xml><?xml version="1.0" encoding="utf-8"?>
<table xmlns="http://schemas.openxmlformats.org/spreadsheetml/2006/main" id="46" name="Table_Query_from_GLOBAL_RDS_247" displayName="Table_Query_from_GLOBAL_RDS_247" ref="Q2:W3" tableType="queryTable" totalsRowShown="0">
  <autoFilter ref="Q2:W3"/>
  <tableColumns count="7">
    <tableColumn id="1" uniqueName="1" name="RU_YEAR" queryTableFieldId="1"/>
    <tableColumn id="2" uniqueName="2" name="RU_MONTH" queryTableFieldId="2"/>
    <tableColumn id="3" uniqueName="3" name="ACTUAL" queryTableFieldId="3"/>
    <tableColumn id="4" uniqueName="4" name="ESTIMATE" queryTableFieldId="4"/>
    <tableColumn id="5" uniqueName="5" name="PERCENTAGE"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36.xml><?xml version="1.0" encoding="utf-8"?>
<table xmlns="http://schemas.openxmlformats.org/spreadsheetml/2006/main" id="47" name="Table_Query_from_GLOBAL_RDS_348" displayName="Table_Query_from_GLOBAL_RDS_348" ref="Y2:AE16" tableType="queryTable" totalsRowShown="0">
  <autoFilter ref="Y2:AE16"/>
  <tableColumns count="7">
    <tableColumn id="1" uniqueName="1" name="RU_YEAR" queryTableFieldId="1"/>
    <tableColumn id="2" uniqueName="2" name="RU_MONTH" queryTableFieldId="2"/>
    <tableColumn id="3" uniqueName="3" name="ACTUAL" queryTableFieldId="3"/>
    <tableColumn id="4" uniqueName="4" name="ESTIMATE" queryTableFieldId="4"/>
    <tableColumn id="5" uniqueName="5" name="PERCENTAGE"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37.xml><?xml version="1.0" encoding="utf-8"?>
<table xmlns="http://schemas.openxmlformats.org/spreadsheetml/2006/main" id="48" name="Table_Query_from_GLOBAL_RDS_449" displayName="Table_Query_from_GLOBAL_RDS_449" ref="AG2:AM16" tableType="queryTable" totalsRowShown="0">
  <autoFilter ref="AG2:AM16"/>
  <tableColumns count="7">
    <tableColumn id="1" uniqueName="1" name="RU_YEAR" queryTableFieldId="1"/>
    <tableColumn id="2" uniqueName="2" name="RU_MONTH" queryTableFieldId="2"/>
    <tableColumn id="3" uniqueName="3" name="ACTUAL" queryTableFieldId="3"/>
    <tableColumn id="4" uniqueName="4" name="ESTIMATE" queryTableFieldId="4"/>
    <tableColumn id="5" uniqueName="5" name="PERCENTAGE"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38.xml><?xml version="1.0" encoding="utf-8"?>
<table xmlns="http://schemas.openxmlformats.org/spreadsheetml/2006/main" id="50" name="Table_Query_from_GLOBAL_RDS51" displayName="Table_Query_from_GLOBAL_RDS51" ref="A2:E14" tableType="queryTable" totalsRowShown="0">
  <autoFilter ref="A2:E14"/>
  <tableColumns count="5">
    <tableColumn id="1" uniqueName="1" name="RU_YEAR" queryTableFieldId="1"/>
    <tableColumn id="2" uniqueName="2" name="RU_MONTH" queryTableFieldId="2"/>
    <tableColumn id="3" uniqueName="3" name="COST"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39.xml><?xml version="1.0" encoding="utf-8"?>
<table xmlns="http://schemas.openxmlformats.org/spreadsheetml/2006/main" id="51" name="Table_Query_from_GLOBAL_RDS_152" displayName="Table_Query_from_GLOBAL_RDS_152" ref="G2:M18" tableType="queryTable" totalsRowShown="0">
  <autoFilter ref="G2:M18"/>
  <tableColumns count="7">
    <tableColumn id="1" uniqueName="1" name="RU_YEAR" queryTableFieldId="1"/>
    <tableColumn id="2" uniqueName="2" name="RU_MONTH" queryTableFieldId="2"/>
    <tableColumn id="3" uniqueName="3" name="SALES" queryTableFieldId="3"/>
    <tableColumn id="4" uniqueName="4" name="REWORK" queryTableFieldId="4"/>
    <tableColumn id="5" uniqueName="5" name="RW_PERCENT_SALES"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0.xml><?xml version="1.0" encoding="utf-8"?>
<table xmlns="http://schemas.openxmlformats.org/spreadsheetml/2006/main" id="52" name="Table_Query_from_GLOBAL_RDS_253" displayName="Table_Query_from_GLOBAL_RDS_253" ref="O2:U3" tableType="queryTable" totalsRowShown="0">
  <autoFilter ref="O2:U3"/>
  <tableColumns count="7">
    <tableColumn id="1" uniqueName="1" name="RU_YEAR" queryTableFieldId="1"/>
    <tableColumn id="2" uniqueName="2" name="RU_MONTH" queryTableFieldId="2"/>
    <tableColumn id="3" uniqueName="3" name="SALES" queryTableFieldId="3"/>
    <tableColumn id="4" uniqueName="4" name="REWORK" queryTableFieldId="4"/>
    <tableColumn id="5" uniqueName="5" name="RW_PERCENT_SALES"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1.xml><?xml version="1.0" encoding="utf-8"?>
<table xmlns="http://schemas.openxmlformats.org/spreadsheetml/2006/main" id="53" name="Table_Query_from_GLOBAL_RDS_354" displayName="Table_Query_from_GLOBAL_RDS_354" ref="W2:AC3" tableType="queryTable" totalsRowShown="0">
  <autoFilter ref="W2:AC3"/>
  <tableColumns count="7">
    <tableColumn id="1" uniqueName="1" name="RU_YEAR" queryTableFieldId="1"/>
    <tableColumn id="2" uniqueName="2" name="RU_MONTH" queryTableFieldId="2"/>
    <tableColumn id="3" uniqueName="3" name="SALES" queryTableFieldId="3"/>
    <tableColumn id="4" uniqueName="4" name="REWORK" queryTableFieldId="4"/>
    <tableColumn id="5" uniqueName="5" name="RW_PERCENT_SALES"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2.xml><?xml version="1.0" encoding="utf-8"?>
<table xmlns="http://schemas.openxmlformats.org/spreadsheetml/2006/main" id="54" name="Table_Query_from_GLOBAL_RDS_455" displayName="Table_Query_from_GLOBAL_RDS_455" ref="AE2:AK31" tableType="queryTable" totalsRowShown="0">
  <autoFilter ref="AE2:AK31"/>
  <tableColumns count="7">
    <tableColumn id="1" uniqueName="1" name="RU_YEAR" queryTableFieldId="1"/>
    <tableColumn id="2" uniqueName="2" name="RU_MONTH" queryTableFieldId="2"/>
    <tableColumn id="3" uniqueName="3" name="CODE" queryTableFieldId="3"/>
    <tableColumn id="4" uniqueName="4" name="COST" queryTableFieldId="4"/>
    <tableColumn id="5" uniqueName="5" name="QUANTITY"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3.xml><?xml version="1.0" encoding="utf-8"?>
<table xmlns="http://schemas.openxmlformats.org/spreadsheetml/2006/main" id="55" name="Table_Query_from_GLOBAL_RDS_556" displayName="Table_Query_from_GLOBAL_RDS_556" ref="AM2:AS3" tableType="queryTable" totalsRowShown="0">
  <autoFilter ref="AM2:AS3"/>
  <tableColumns count="7">
    <tableColumn id="1" uniqueName="1" name="RU_YEAR" queryTableFieldId="1"/>
    <tableColumn id="2" uniqueName="2" name="RU_MONTH" queryTableFieldId="2"/>
    <tableColumn id="3" uniqueName="3" name="CODE" queryTableFieldId="3"/>
    <tableColumn id="4" uniqueName="4" name="COST" queryTableFieldId="4"/>
    <tableColumn id="5" uniqueName="5" name="QUANTITY"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4.xml><?xml version="1.0" encoding="utf-8"?>
<table xmlns="http://schemas.openxmlformats.org/spreadsheetml/2006/main" id="56" name="Table_Query_from_GLOBAL_RDS_657" displayName="Table_Query_from_GLOBAL_RDS_657" ref="AU2:BA3" tableType="queryTable" insertRow="1" totalsRowShown="0">
  <autoFilter ref="AU2:BA3"/>
  <tableColumns count="7">
    <tableColumn id="1" uniqueName="1" name="RU_YEAR" queryTableFieldId="1"/>
    <tableColumn id="2" uniqueName="2" name="RU_MONTH" queryTableFieldId="2"/>
    <tableColumn id="3" uniqueName="3" name="CODE" queryTableFieldId="3"/>
    <tableColumn id="4" uniqueName="4" name="COST" queryTableFieldId="4"/>
    <tableColumn id="5" uniqueName="5" name="QUANTITY"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5.xml><?xml version="1.0" encoding="utf-8"?>
<table xmlns="http://schemas.openxmlformats.org/spreadsheetml/2006/main" id="57" name="Table_Query_from_GLOBAL_RDS_758" displayName="Table_Query_from_GLOBAL_RDS_758" ref="BC2:BI26" tableType="queryTable" totalsRowShown="0">
  <autoFilter ref="BC2:BI26"/>
  <tableColumns count="7">
    <tableColumn id="1" uniqueName="1" name="RU_YEAR" queryTableFieldId="1"/>
    <tableColumn id="2" uniqueName="2" name="RU_MONTH" queryTableFieldId="2"/>
    <tableColumn id="3" uniqueName="3" name="DEPT" queryTableFieldId="3"/>
    <tableColumn id="4" uniqueName="4" name="COST" queryTableFieldId="4"/>
    <tableColumn id="5" uniqueName="5" name="QUANTITY" queryTableFieldId="5"/>
    <tableColumn id="6" uniqueName="6" name="MONTH_CHAR" queryTableFieldId="6"/>
    <tableColumn id="7" uniqueName="7" name="PERIOD" queryTableFieldId="7"/>
  </tableColumns>
  <tableStyleInfo name="TableStyleMedium2" showFirstColumn="0" showLastColumn="0" showRowStripes="1" showColumnStripes="0"/>
</table>
</file>

<file path=xl/tables/table46.xml><?xml version="1.0" encoding="utf-8"?>
<table xmlns="http://schemas.openxmlformats.org/spreadsheetml/2006/main" id="38" name="Table_Query_from_GLOBAL_RDS39" displayName="Table_Query_from_GLOBAL_RDS39" ref="A2:E3" tableType="queryTable" insertRow="1" totalsRowShown="0">
  <autoFilter ref="A2:E3"/>
  <tableColumns count="5">
    <tableColumn id="1" uniqueName="1" name="RU_YEAR" queryTableFieldId="1"/>
    <tableColumn id="2" uniqueName="2" name="RU_MONTH" queryTableFieldId="2"/>
    <tableColumn id="3" uniqueName="3" name="RMA_COUNT"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47.xml><?xml version="1.0" encoding="utf-8"?>
<table xmlns="http://schemas.openxmlformats.org/spreadsheetml/2006/main" id="20" name="Table_Query_from_Global_PLA21" displayName="Table_Query_from_Global_PLA21" ref="A1:G16" tableType="queryTable" totalsRowShown="0">
  <autoFilter ref="A1:G16"/>
  <tableColumns count="7">
    <tableColumn id="1" uniqueName="1" name="ID" queryTableFieldId="1"/>
    <tableColumn id="2" uniqueName="2" name="MONTH" queryTableFieldId="2"/>
    <tableColumn id="3" uniqueName="3" name="YEAR" queryTableFieldId="3"/>
    <tableColumn id="4" uniqueName="4" name="HOURS_WORKED" queryTableFieldId="4"/>
    <tableColumn id="5" uniqueName="5" name="DIRECT_INDIRECT" queryTableFieldId="5"/>
    <tableColumn id="6" uniqueName="6" name="Month " queryTableFieldId="6">
      <calculatedColumnFormula>TEXT(Table_Query_from_Global_PLA21[[#This Row],[MONTH]]*29,"mmm")</calculatedColumnFormula>
    </tableColumn>
    <tableColumn id="7" uniqueName="7" name="Fiscal Year" queryTableFieldId="7">
      <calculatedColumnFormula>C2+(MONTH(1&amp;LEFT(F2,3))&gt;='CY - Executive Summary'!$AM$2)</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id="22" name="Table_Query_from_Global_PLA23" displayName="Table_Query_from_Global_PLA23" ref="A1:J2" tableType="queryTable" insertRow="1" totalsRowShown="0">
  <autoFilter ref="A1:J2"/>
  <tableColumns count="10">
    <tableColumn id="1" uniqueName="1" name="ID" queryTableFieldId="1"/>
    <tableColumn id="2" uniqueName="2" name="JOB" queryTableFieldId="2"/>
    <tableColumn id="3" uniqueName="3" name="SUFFIX" queryTableFieldId="3"/>
    <tableColumn id="4" uniqueName="4" name="SEQUENCE" queryTableFieldId="4"/>
    <tableColumn id="5" uniqueName="5" name="HOURS_WORKED" queryTableFieldId="5"/>
    <tableColumn id="6" uniqueName="6" name="MONTH" queryTableFieldId="6"/>
    <tableColumn id="7" uniqueName="7" name="YEAR" queryTableFieldId="7"/>
    <tableColumn id="8" uniqueName="8" name="DESCRIPTION" queryTableFieldId="8"/>
    <tableColumn id="9" uniqueName="9" name="Month2" queryTableFieldId="9">
      <calculatedColumnFormula>TEXT(Table_Query_from_Global_PLA23[[#This Row],[MONTH]]*29,"mmm")</calculatedColumnFormula>
    </tableColumn>
    <tableColumn id="10" uniqueName="10" name="Fiscal Year" queryTableFieldId="10">
      <calculatedColumnFormula>G2+(MONTH(1&amp;LEFT(I2,3))&gt;='CY - Executive Summary'!$AM$2)</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id="65" name="Table_Query_from_GLOBAL_RDS66" displayName="Table_Query_from_GLOBAL_RDS66" ref="A2:H642" tableType="queryTable" totalsRowShown="0">
  <autoFilter ref="A2:H642">
    <filterColumn colId="1">
      <filters>
        <filter val="2015"/>
      </filters>
    </filterColumn>
  </autoFilter>
  <tableColumns count="8">
    <tableColumn id="1" uniqueName="1" name="WC" queryTableFieldId="1"/>
    <tableColumn id="2" uniqueName="2" name="RU_YEAR" queryTableFieldId="2"/>
    <tableColumn id="3" uniqueName="3" name="RU_MONTH" queryTableFieldId="3"/>
    <tableColumn id="4" uniqueName="4" name="HOURS_WORKED" queryTableFieldId="4"/>
    <tableColumn id="5" uniqueName="5" name="HOURS_AVAIL" queryTableFieldId="5"/>
    <tableColumn id="6" uniqueName="6" name="WC_UTIL" queryTableFieldId="6"/>
    <tableColumn id="7" uniqueName="7" name="MONTH_CHAR" queryTableFieldId="7"/>
    <tableColumn id="8" uniqueName="8" name="PERIOD" queryTableFieldId="8"/>
  </tableColumns>
  <tableStyleInfo name="TableStyleMedium2" showFirstColumn="0" showLastColumn="0" showRowStripes="1" showColumnStripes="0"/>
</table>
</file>

<file path=xl/tables/table50.xml><?xml version="1.0" encoding="utf-8"?>
<table xmlns="http://schemas.openxmlformats.org/spreadsheetml/2006/main" id="66" name="Table_Query_from_GLOBAL_RDS_167" displayName="Table_Query_from_GLOBAL_RDS_167" ref="J2:Q3" tableType="queryTable" totalsRowShown="0">
  <autoFilter ref="J2:Q3"/>
  <tableColumns count="8">
    <tableColumn id="1" uniqueName="1" name="WC" queryTableFieldId="1"/>
    <tableColumn id="2" uniqueName="2" name="RU_YEAR" queryTableFieldId="2"/>
    <tableColumn id="3" uniqueName="3" name="RU_MONTH" queryTableFieldId="3"/>
    <tableColumn id="4" uniqueName="4" name="HOURS_WORKED" queryTableFieldId="4"/>
    <tableColumn id="5" uniqueName="5" name="HOURS_AVAIL" queryTableFieldId="5"/>
    <tableColumn id="6" uniqueName="6" name="WC_UTIL" queryTableFieldId="6"/>
    <tableColumn id="7" uniqueName="7" name="MONTH_CHAR" queryTableFieldId="7"/>
    <tableColumn id="8" uniqueName="8" name="PERIOD" queryTableFieldId="8"/>
  </tableColumns>
  <tableStyleInfo name="TableStyleMedium2" showFirstColumn="0" showLastColumn="0" showRowStripes="1" showColumnStripes="0"/>
</table>
</file>

<file path=xl/tables/table51.xml><?xml version="1.0" encoding="utf-8"?>
<table xmlns="http://schemas.openxmlformats.org/spreadsheetml/2006/main" id="67" name="Table_Query_from_GLOBAL_RDS_268" displayName="Table_Query_from_GLOBAL_RDS_268" ref="S2:Z3" tableType="queryTable" totalsRowShown="0">
  <autoFilter ref="S2:Z3"/>
  <tableColumns count="8">
    <tableColumn id="1" uniqueName="1" name="WC" queryTableFieldId="1"/>
    <tableColumn id="2" uniqueName="2" name="RU_YEAR" queryTableFieldId="2"/>
    <tableColumn id="3" uniqueName="3" name="RU_MONTH" queryTableFieldId="3"/>
    <tableColumn id="4" uniqueName="4" name="HOURS_WORKED" queryTableFieldId="4"/>
    <tableColumn id="5" uniqueName="5" name="HOURS_AVAIL" queryTableFieldId="5"/>
    <tableColumn id="6" uniqueName="6" name="WC_UTIL" queryTableFieldId="6"/>
    <tableColumn id="7" uniqueName="7" name="MONTH_CHAR" queryTableFieldId="7"/>
    <tableColumn id="8" uniqueName="8" name="PERIOD" queryTableFieldId="8"/>
  </tableColumns>
  <tableStyleInfo name="TableStyleMedium2" showFirstColumn="0" showLastColumn="0" showRowStripes="1" showColumnStripes="0"/>
</table>
</file>

<file path=xl/tables/table52.xml><?xml version="1.0" encoding="utf-8"?>
<table xmlns="http://schemas.openxmlformats.org/spreadsheetml/2006/main" id="68" name="Table_Query_from_GLOBAL_RDS_369" displayName="Table_Query_from_GLOBAL_RDS_369" ref="AB2:AI16" tableType="queryTable" totalsRowShown="0">
  <autoFilter ref="AB2:AI16">
    <filterColumn colId="1">
      <filters>
        <filter val="2015"/>
      </filters>
    </filterColumn>
  </autoFilter>
  <tableColumns count="8">
    <tableColumn id="1" uniqueName="1" name="WC" queryTableFieldId="1"/>
    <tableColumn id="2" uniqueName="2" name="RU_YEAR" queryTableFieldId="2"/>
    <tableColumn id="3" uniqueName="3" name="RU_MONTH" queryTableFieldId="3"/>
    <tableColumn id="4" uniqueName="4" name="UNITS_PRODUCED" queryTableFieldId="4"/>
    <tableColumn id="5" uniqueName="5" name="UNITS_SCRAPPED" queryTableFieldId="5"/>
    <tableColumn id="6" uniqueName="6" name="PERCENT_SCRAP" queryTableFieldId="6"/>
    <tableColumn id="7" uniqueName="7" name="MONTH_CHAR" queryTableFieldId="7"/>
    <tableColumn id="8" uniqueName="8" name="PERIOD" queryTableFieldId="8"/>
  </tableColumns>
  <tableStyleInfo name="TableStyleMedium2" showFirstColumn="0" showLastColumn="0" showRowStripes="1" showColumnStripes="0"/>
</table>
</file>

<file path=xl/tables/table53.xml><?xml version="1.0" encoding="utf-8"?>
<table xmlns="http://schemas.openxmlformats.org/spreadsheetml/2006/main" id="69" name="Table_Query_from_GLOBAL_RDS_470" displayName="Table_Query_from_GLOBAL_RDS_470" ref="AK2:AR3" tableType="queryTable" totalsRowShown="0">
  <autoFilter ref="AK2:AR3"/>
  <tableColumns count="8">
    <tableColumn id="1" uniqueName="1" name="WC" queryTableFieldId="1"/>
    <tableColumn id="2" uniqueName="2" name="RU_YEAR" queryTableFieldId="2"/>
    <tableColumn id="3" uniqueName="3" name="RU_MONTH" queryTableFieldId="3"/>
    <tableColumn id="4" uniqueName="4" name="UNITS_PRODUCED" queryTableFieldId="4"/>
    <tableColumn id="5" uniqueName="5" name="UNITS_SCRAPPED" queryTableFieldId="5"/>
    <tableColumn id="6" uniqueName="6" name="PERCENT_SCRAP" queryTableFieldId="6"/>
    <tableColumn id="7" uniqueName="7" name="MONTH_CHAR" queryTableFieldId="7"/>
    <tableColumn id="8" uniqueName="8" name="PERIOD" queryTableFieldId="8"/>
  </tableColumns>
  <tableStyleInfo name="TableStyleMedium2" showFirstColumn="0" showLastColumn="0" showRowStripes="1" showColumnStripes="0"/>
</table>
</file>

<file path=xl/tables/table54.xml><?xml version="1.0" encoding="utf-8"?>
<table xmlns="http://schemas.openxmlformats.org/spreadsheetml/2006/main" id="70" name="Table_Query_from_GLOBAL_RDS_571" displayName="Table_Query_from_GLOBAL_RDS_571" ref="AT2:BA3" tableType="queryTable" totalsRowShown="0">
  <autoFilter ref="AT2:BA3"/>
  <tableColumns count="8">
    <tableColumn id="1" uniqueName="1" name="WC" queryTableFieldId="1"/>
    <tableColumn id="2" uniqueName="2" name="RU_YEAR" queryTableFieldId="2"/>
    <tableColumn id="3" uniqueName="3" name="RU_MONTH" queryTableFieldId="3"/>
    <tableColumn id="4" uniqueName="4" name="UNITS_PRODUCED" queryTableFieldId="4"/>
    <tableColumn id="5" uniqueName="5" name="UNITS_SCRAPPED" queryTableFieldId="5"/>
    <tableColumn id="6" uniqueName="6" name="PERCENT_SCRAP" queryTableFieldId="6"/>
    <tableColumn id="7" uniqueName="7" name="MONTH_CHAR" queryTableFieldId="7"/>
    <tableColumn id="8" uniqueName="8" name="PERIOD" queryTableFieldId="8"/>
  </tableColumns>
  <tableStyleInfo name="TableStyleMedium2" showFirstColumn="0" showLastColumn="0" showRowStripes="1" showColumnStripes="0"/>
</table>
</file>

<file path=xl/tables/table55.xml><?xml version="1.0" encoding="utf-8"?>
<table xmlns="http://schemas.openxmlformats.org/spreadsheetml/2006/main" id="71" name="Table_Query_from_GLOBAL_RDS72" displayName="Table_Query_from_GLOBAL_RDS72" ref="A2:I3" tableType="queryTable" insertRow="1" totalsRowShown="0">
  <autoFilter ref="A2:I3"/>
  <tableColumns count="9">
    <tableColumn id="1" uniqueName="1" name="WC" queryTableFieldId="1"/>
    <tableColumn id="2" uniqueName="2" name="RU_YEAR" queryTableFieldId="2"/>
    <tableColumn id="3" uniqueName="3" name="ONTIME" queryTableFieldId="3"/>
    <tableColumn id="4" uniqueName="4" name="LATE" queryTableFieldId="4"/>
    <tableColumn id="5" uniqueName="5" name="EARLY" queryTableFieldId="5"/>
    <tableColumn id="6" uniqueName="6" name="PERCENT_ON_TIME" queryTableFieldId="6"/>
    <tableColumn id="7" uniqueName="7" name="RU_MONTH" queryTableFieldId="7"/>
    <tableColumn id="8" uniqueName="8" name="MONTH_CHAR" queryTableFieldId="8"/>
    <tableColumn id="9" uniqueName="9" name="PERIOD" queryTableFieldId="9"/>
  </tableColumns>
  <tableStyleInfo name="TableStyleMedium2" showFirstColumn="0" showLastColumn="0" showRowStripes="1" showColumnStripes="0"/>
</table>
</file>

<file path=xl/tables/table56.xml><?xml version="1.0" encoding="utf-8"?>
<table xmlns="http://schemas.openxmlformats.org/spreadsheetml/2006/main" id="72" name="Table_Query_from_GLOBAL_RDS_173" displayName="Table_Query_from_GLOBAL_RDS_173" ref="K2:P3" tableType="queryTable" insertRow="1" totalsRowShown="0">
  <autoFilter ref="K2:P3"/>
  <tableColumns count="6">
    <tableColumn id="1" uniqueName="1" name="WC" queryTableFieldId="1"/>
    <tableColumn id="2" uniqueName="2" name="RU_YEAR" queryTableFieldId="2"/>
    <tableColumn id="3" uniqueName="3" name="ONTIME" queryTableFieldId="3"/>
    <tableColumn id="4" uniqueName="4" name="LATE" queryTableFieldId="4"/>
    <tableColumn id="5" uniqueName="5" name="EARLY" queryTableFieldId="5"/>
    <tableColumn id="6" uniqueName="6" name="PERCENT_ON_TIME" queryTableFieldId="6"/>
  </tableColumns>
  <tableStyleInfo name="TableStyleMedium2" showFirstColumn="0" showLastColumn="0" showRowStripes="1" showColumnStripes="0"/>
</table>
</file>

<file path=xl/tables/table57.xml><?xml version="1.0" encoding="utf-8"?>
<table xmlns="http://schemas.openxmlformats.org/spreadsheetml/2006/main" id="73" name="Table_Query_from_GLOBAL_RDS_274" displayName="Table_Query_from_GLOBAL_RDS_274" ref="R2:W3" tableType="queryTable" insertRow="1" totalsRowShown="0">
  <autoFilter ref="R2:W3"/>
  <tableColumns count="6">
    <tableColumn id="1" uniqueName="1" name="WC" queryTableFieldId="1"/>
    <tableColumn id="2" uniqueName="2" name="RU_YEAR" queryTableFieldId="2"/>
    <tableColumn id="3" uniqueName="3" name="ONTIME" queryTableFieldId="3"/>
    <tableColumn id="4" uniqueName="4" name="LATE" queryTableFieldId="4"/>
    <tableColumn id="5" uniqueName="5" name="EARLY" queryTableFieldId="5"/>
    <tableColumn id="6" uniqueName="6" name="PERCENT_ON_TIME" queryTableFieldId="6"/>
  </tableColumns>
  <tableStyleInfo name="TableStyleMedium2" showFirstColumn="0" showLastColumn="0" showRowStripes="1" showColumnStripes="0"/>
</table>
</file>

<file path=xl/tables/table58.xml><?xml version="1.0" encoding="utf-8"?>
<table xmlns="http://schemas.openxmlformats.org/spreadsheetml/2006/main" id="74" name="Table_Query_from_GLOBAL_RDS75" displayName="Table_Query_from_GLOBAL_RDS75" ref="A2:F60" tableType="queryTable" totalsRowShown="0">
  <autoFilter ref="A2:F60"/>
  <tableColumns count="6">
    <tableColumn id="1" uniqueName="1" name="FISCAL" queryTableFieldId="1"/>
    <tableColumn id="2" uniqueName="2" name="RU_YEAR" queryTableFieldId="2"/>
    <tableColumn id="3" uniqueName="3" name="RU_MONTH" queryTableFieldId="3"/>
    <tableColumn id="4" uniqueName="4" name="HOURS_EST" queryTableFieldId="4"/>
    <tableColumn id="5" uniqueName="5" name="MONTH_CHAR" queryTableFieldId="5"/>
    <tableColumn id="6" uniqueName="6" name="PERIOD" queryTableFieldId="6"/>
  </tableColumns>
  <tableStyleInfo name="TableStyleMedium2" showFirstColumn="0" showLastColumn="0" showRowStripes="1" showColumnStripes="0"/>
</table>
</file>

<file path=xl/tables/table59.xml><?xml version="1.0" encoding="utf-8"?>
<table xmlns="http://schemas.openxmlformats.org/spreadsheetml/2006/main" id="75" name="Table_Query_from_GLOBAL_RDS_176" displayName="Table_Query_from_GLOBAL_RDS_176" ref="H2:M60" tableType="queryTable" totalsRowShown="0">
  <autoFilter ref="H2:M60"/>
  <tableColumns count="6">
    <tableColumn id="1" uniqueName="1" name="FISCAL" queryTableFieldId="1"/>
    <tableColumn id="2" uniqueName="2" name="RU_YEAR" queryTableFieldId="2"/>
    <tableColumn id="3" uniqueName="3" name="RU_MONTH" queryTableFieldId="3"/>
    <tableColumn id="4" uniqueName="4" name="HOURS_ACT" queryTableFieldId="4"/>
    <tableColumn id="5" uniqueName="5" name="MONTH_CHAR" queryTableFieldId="5"/>
    <tableColumn id="6" uniqueName="6" name="PERIOD" queryTableFieldId="6"/>
  </tableColumns>
  <tableStyleInfo name="TableStyleMedium2" showFirstColumn="0" showLastColumn="0" showRowStripes="1" showColumnStripes="0"/>
</table>
</file>

<file path=xl/tables/table60.xml><?xml version="1.0" encoding="utf-8"?>
<table xmlns="http://schemas.openxmlformats.org/spreadsheetml/2006/main" id="76" name="Table_Query_from_GLOBAL_RDS_277" displayName="Table_Query_from_GLOBAL_RDS_277" ref="O2:V60" tableType="queryTable" totalsRowShown="0">
  <autoFilter ref="O2:V60"/>
  <tableColumns count="8">
    <tableColumn id="1" uniqueName="1" name="FISCAL" queryTableFieldId="1"/>
    <tableColumn id="2" uniqueName="2" name="RU_YEAR" queryTableFieldId="2"/>
    <tableColumn id="3" uniqueName="3" name="RU_MONTH" queryTableFieldId="3"/>
    <tableColumn id="4" uniqueName="4" name="HOURS_EST" queryTableFieldId="4"/>
    <tableColumn id="5" uniqueName="5" name="HOURS_ACT" queryTableFieldId="5"/>
    <tableColumn id="6" uniqueName="6" name="MONTH_CHAR" queryTableFieldId="6"/>
    <tableColumn id="7" uniqueName="7" name="PERIOD" queryTableFieldId="7"/>
    <tableColumn id="8" uniqueName="8" name="PERCENT_OF" queryTableFieldId="8"/>
  </tableColumns>
  <tableStyleInfo name="TableStyleMedium2" showFirstColumn="0" showLastColumn="0" showRowStripes="1" showColumnStripes="0"/>
</table>
</file>

<file path=xl/tables/table61.xml><?xml version="1.0" encoding="utf-8"?>
<table xmlns="http://schemas.openxmlformats.org/spreadsheetml/2006/main" id="77" name="Table_Query_from_GLOBAL_RDS_378" displayName="Table_Query_from_GLOBAL_RDS_378" ref="X2:AE3" tableType="queryTable" totalsRowShown="0">
  <autoFilter ref="X2:AE3"/>
  <tableColumns count="8">
    <tableColumn id="1" uniqueName="1" name="FISCAL" queryTableFieldId="1"/>
    <tableColumn id="2" uniqueName="2" name="RU_YEAR" queryTableFieldId="2"/>
    <tableColumn id="3" uniqueName="3" name="RU_MONTH" queryTableFieldId="3"/>
    <tableColumn id="4" uniqueName="4" name="HOURS_EST" queryTableFieldId="4"/>
    <tableColumn id="5" uniqueName="5" name="HOURS_ACT" queryTableFieldId="5"/>
    <tableColumn id="6" uniqueName="6" name="MONTH_CHAR" queryTableFieldId="6"/>
    <tableColumn id="7" uniqueName="7" name="PERIOD" queryTableFieldId="7"/>
    <tableColumn id="8" uniqueName="8" name="PERCENT_OF" queryTableFieldId="8"/>
  </tableColumns>
  <tableStyleInfo name="TableStyleMedium2" showFirstColumn="0" showLastColumn="0" showRowStripes="1" showColumnStripes="0"/>
</table>
</file>

<file path=xl/tables/table62.xml><?xml version="1.0" encoding="utf-8"?>
<table xmlns="http://schemas.openxmlformats.org/spreadsheetml/2006/main" id="78" name="Table_Query_from_GLOBAL_RDS_479" displayName="Table_Query_from_GLOBAL_RDS_479" ref="AG2:AN3" tableType="queryTable" totalsRowShown="0">
  <autoFilter ref="AG2:AN3"/>
  <tableColumns count="8">
    <tableColumn id="1" uniqueName="1" name="FISCAL" queryTableFieldId="1"/>
    <tableColumn id="2" uniqueName="2" name="RU_YEAR" queryTableFieldId="2"/>
    <tableColumn id="3" uniqueName="3" name="RU_MONTH" queryTableFieldId="3"/>
    <tableColumn id="4" uniqueName="4" name="HOURS_EST" queryTableFieldId="4"/>
    <tableColumn id="5" uniqueName="5" name="HOURS_ACT" queryTableFieldId="5"/>
    <tableColumn id="6" uniqueName="6" name="PERIOD" queryTableFieldId="6"/>
    <tableColumn id="7" uniqueName="7" name="MONTH_CHAR" queryTableFieldId="7"/>
    <tableColumn id="8" uniqueName="8" name="PERCENT_OF" queryTableFieldId="8"/>
  </tableColumns>
  <tableStyleInfo name="TableStyleMedium2" showFirstColumn="0" showLastColumn="0" showRowStripes="1" showColumnStripes="0"/>
</table>
</file>

<file path=xl/tables/table63.xml><?xml version="1.0" encoding="utf-8"?>
<table xmlns="http://schemas.openxmlformats.org/spreadsheetml/2006/main" id="79" name="Table_Query_from_GLOBAL_RDS80" displayName="Table_Query_from_GLOBAL_RDS80" ref="A2:F16" tableType="queryTable" totalsRowShown="0">
  <autoFilter ref="A2:F16"/>
  <tableColumns count="6">
    <tableColumn id="1" uniqueName="1" name="FISCAL" queryTableFieldId="1"/>
    <tableColumn id="2" uniqueName="2" name="RU_YEAR" queryTableFieldId="2"/>
    <tableColumn id="3" uniqueName="3" name="RU_MONTH" queryTableFieldId="3"/>
    <tableColumn id="4" uniqueName="4" name="MONTH_CHAR" queryTableFieldId="4"/>
    <tableColumn id="5" uniqueName="5" name="PERIOD" queryTableFieldId="5"/>
    <tableColumn id="6" uniqueName="6" name="AVG_COST" queryTableFieldId="6"/>
  </tableColumns>
  <tableStyleInfo name="TableStyleMedium2" showFirstColumn="0" showLastColumn="0" showRowStripes="1" showColumnStripes="0"/>
</table>
</file>

<file path=xl/tables/table64.xml><?xml version="1.0" encoding="utf-8"?>
<table xmlns="http://schemas.openxmlformats.org/spreadsheetml/2006/main" id="80" name="Table_Query_from_GLOBAL_RDS_181" displayName="Table_Query_from_GLOBAL_RDS_181" ref="H2:M3" tableType="queryTable" totalsRowShown="0">
  <autoFilter ref="H2:M3"/>
  <tableColumns count="6">
    <tableColumn id="1" uniqueName="1" name="FISCAL" queryTableFieldId="1"/>
    <tableColumn id="2" uniqueName="2" name="RU_YEAR" queryTableFieldId="2"/>
    <tableColumn id="3" uniqueName="3" name="RU_MONTH" queryTableFieldId="3"/>
    <tableColumn id="4" uniqueName="4" name="MONTH_CHAR" queryTableFieldId="4"/>
    <tableColumn id="5" uniqueName="5" name="PERIOD" queryTableFieldId="5"/>
    <tableColumn id="6" uniqueName="6" name="AVG_COST" queryTableFieldId="6"/>
  </tableColumns>
  <tableStyleInfo name="TableStyleMedium2" showFirstColumn="0" showLastColumn="0" showRowStripes="1" showColumnStripes="0"/>
</table>
</file>

<file path=xl/tables/table65.xml><?xml version="1.0" encoding="utf-8"?>
<table xmlns="http://schemas.openxmlformats.org/spreadsheetml/2006/main" id="81" name="Table_Query_from_GLOBAL_RDS_282" displayName="Table_Query_from_GLOBAL_RDS_282" ref="O2:T3" tableType="queryTable" totalsRowShown="0">
  <autoFilter ref="O2:T3"/>
  <tableColumns count="6">
    <tableColumn id="1" uniqueName="1" name="FISCAL" queryTableFieldId="1"/>
    <tableColumn id="2" uniqueName="2" name="RU_YEAR" queryTableFieldId="2"/>
    <tableColumn id="3" uniqueName="3" name="RU_MONTH" queryTableFieldId="3"/>
    <tableColumn id="4" uniqueName="4" name="MONTH_CHAR" queryTableFieldId="4"/>
    <tableColumn id="5" uniqueName="5" name="PERIOD" queryTableFieldId="5"/>
    <tableColumn id="6" uniqueName="6" name="AVG_COST" queryTableFieldId="6"/>
  </tableColumns>
  <tableStyleInfo name="TableStyleMedium2" showFirstColumn="0" showLastColumn="0" showRowStripes="1" showColumnStripes="0"/>
</table>
</file>

<file path=xl/tables/table66.xml><?xml version="1.0" encoding="utf-8"?>
<table xmlns="http://schemas.openxmlformats.org/spreadsheetml/2006/main" id="82" name="Table_Query_from_GLOBAL_RDS83" displayName="Table_Query_from_GLOBAL_RDS83" ref="A2:E18" tableType="queryTable" totalsRowShown="0">
  <autoFilter ref="A2:E18">
    <filterColumn colId="0">
      <filters>
        <filter val="2015"/>
      </filters>
    </filterColumn>
  </autoFilter>
  <tableColumns count="5">
    <tableColumn id="1" uniqueName="1" name="RU_YEAR" queryTableFieldId="1"/>
    <tableColumn id="2" uniqueName="2" name="RU_MONTH" queryTableFieldId="2"/>
    <tableColumn id="3" uniqueName="3" name="TOTAL"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67.xml><?xml version="1.0" encoding="utf-8"?>
<table xmlns="http://schemas.openxmlformats.org/spreadsheetml/2006/main" id="83" name="Table_Query_from_GLOBAL_RDS_184" displayName="Table_Query_from_GLOBAL_RDS_184" ref="G2:K3" tableType="queryTable" totalsRowShown="0">
  <autoFilter ref="G2:K3"/>
  <tableColumns count="5">
    <tableColumn id="1" uniqueName="1" name="RU_YEAR" queryTableFieldId="1"/>
    <tableColumn id="2" uniqueName="2" name="RU_MONTH" queryTableFieldId="2"/>
    <tableColumn id="3" uniqueName="3" name="TOTAL"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68.xml><?xml version="1.0" encoding="utf-8"?>
<table xmlns="http://schemas.openxmlformats.org/spreadsheetml/2006/main" id="84" name="Table_Query_from_GLOBAL_RDS_285" displayName="Table_Query_from_GLOBAL_RDS_285" ref="M2:Q3" tableType="queryTable" totalsRowShown="0">
  <autoFilter ref="M2:Q3"/>
  <tableColumns count="5">
    <tableColumn id="1" uniqueName="1" name="RU_YEAR" queryTableFieldId="1"/>
    <tableColumn id="2" uniqueName="2" name="RU_MONTH" queryTableFieldId="2"/>
    <tableColumn id="3" uniqueName="3" name="TOTAL" queryTableFieldId="3"/>
    <tableColumn id="4" uniqueName="4" name="MONTH_CHAR" queryTableFieldId="4"/>
    <tableColumn id="5" uniqueName="5" name="PERIOD" queryTableFieldId="5"/>
  </tableColumns>
  <tableStyleInfo name="TableStyleMedium2" showFirstColumn="0" showLastColumn="0" showRowStripes="1" showColumnStripes="0"/>
</table>
</file>

<file path=xl/tables/table69.xml><?xml version="1.0" encoding="utf-8"?>
<table xmlns="http://schemas.openxmlformats.org/spreadsheetml/2006/main" id="85" name="Table_Query_from_GLOBAL_RDS86" displayName="Table_Query_from_GLOBAL_RDS86" ref="A2:E3" tableType="queryTable" totalsRowShown="0">
  <autoFilter ref="A2:E3"/>
  <tableColumns count="5">
    <tableColumn id="1" uniqueName="1" name="CURRENT_A" queryTableFieldId="1"/>
    <tableColumn id="2" uniqueName="2" name="DAYS_30" queryTableFieldId="2"/>
    <tableColumn id="3" uniqueName="3" name="DAYS_60" queryTableFieldId="3"/>
    <tableColumn id="4" uniqueName="4" name="DAYS_90" queryTableFieldId="4"/>
    <tableColumn id="5" uniqueName="5" name="TOTAL" queryTableFieldId="5"/>
  </tableColumns>
  <tableStyleInfo name="TableStyleMedium2" showFirstColumn="0" showLastColumn="0" showRowStripes="1" showColumnStripes="0"/>
</table>
</file>

<file path=xl/tables/table70.xml><?xml version="1.0" encoding="utf-8"?>
<table xmlns="http://schemas.openxmlformats.org/spreadsheetml/2006/main" id="86" name="Table_Query_from_GLOBAL_RDS_187" displayName="Table_Query_from_GLOBAL_RDS_187" ref="G2:I7" tableType="queryTable" totalsRowShown="0">
  <autoFilter ref="G2:I7"/>
  <tableColumns count="3">
    <tableColumn id="1" uniqueName="1" name="VENDOR" queryTableFieldId="1"/>
    <tableColumn id="2" uniqueName="2" name="NAME_VENDOR_PAY" queryTableFieldId="2"/>
    <tableColumn id="3" uniqueName="3" name="AMT_YTD_PUR" queryTableFieldId="3"/>
  </tableColumns>
  <tableStyleInfo name="TableStyleMedium2" showFirstColumn="0" showLastColumn="0" showRowStripes="1" showColumnStripes="0"/>
</table>
</file>

<file path=xl/tables/table71.xml><?xml version="1.0" encoding="utf-8"?>
<table xmlns="http://schemas.openxmlformats.org/spreadsheetml/2006/main" id="87" name="Table_Query_from_GLOBAL_RDS_288" displayName="Table_Query_from_GLOBAL_RDS_288" ref="K2:O3" tableType="queryTable" totalsRowShown="0">
  <autoFilter ref="K2:O3"/>
  <tableColumns count="5">
    <tableColumn id="1" uniqueName="1" name="CURRENT_A" queryTableFieldId="1"/>
    <tableColumn id="2" uniqueName="2" name="DAYS_30" queryTableFieldId="2"/>
    <tableColumn id="3" uniqueName="3" name="DAYS_60" queryTableFieldId="3"/>
    <tableColumn id="4" uniqueName="4" name="DAYS_90" queryTableFieldId="4"/>
    <tableColumn id="5" uniqueName="5" name="TOTAL" queryTableFieldId="5"/>
  </tableColumns>
  <tableStyleInfo name="TableStyleMedium2" showFirstColumn="0" showLastColumn="0" showRowStripes="1" showColumnStripes="0"/>
</table>
</file>

<file path=xl/tables/table72.xml><?xml version="1.0" encoding="utf-8"?>
<table xmlns="http://schemas.openxmlformats.org/spreadsheetml/2006/main" id="2" name="Table_Query_from_GLOBAL_ZEN3" displayName="Table_Query_from_GLOBAL_ZEN3" ref="B1:Z19" tableType="queryTable" totalsRowCount="1" headerRowDxfId="58" dataDxfId="57" totalsRowDxfId="56">
  <autoFilter ref="B1:Z18"/>
  <tableColumns count="25">
    <tableColumn id="1" uniqueName="1" name="YEAR" queryTableFieldId="1" dataDxfId="55" totalsRowDxfId="54"/>
    <tableColumn id="2" uniqueName="2" name="CASH" queryTableFieldId="2" dataDxfId="53" totalsRowDxfId="52"/>
    <tableColumn id="3" uniqueName="3" name="RAW" queryTableFieldId="3" dataDxfId="51" totalsRowDxfId="50"/>
    <tableColumn id="4" uniqueName="4" name="FG" queryTableFieldId="4" dataDxfId="49" totalsRowDxfId="48"/>
    <tableColumn id="5" uniqueName="5" name="WIP" queryTableFieldId="5" dataDxfId="47" totalsRowDxfId="46"/>
    <tableColumn id="6" uniqueName="6" name="AR" queryTableFieldId="6" dataDxfId="45" totalsRowDxfId="44"/>
    <tableColumn id="7" uniqueName="7" name="OTHER_ASSET" queryTableFieldId="7" dataDxfId="43" totalsRowDxfId="42"/>
    <tableColumn id="8" uniqueName="8" name="FIXED_ASSET" queryTableFieldId="8" dataDxfId="41" totalsRowDxfId="40"/>
    <tableColumn id="9" uniqueName="9" name="AP" queryTableFieldId="9" dataDxfId="39" totalsRowDxfId="38"/>
    <tableColumn id="10" uniqueName="10" name="OTHER_CURRENT" queryTableFieldId="10" dataDxfId="37" totalsRowDxfId="36"/>
    <tableColumn id="11" uniqueName="11" name="LONG_TERM_DEBT" queryTableFieldId="11" dataDxfId="35" totalsRowDxfId="34"/>
    <tableColumn id="12" uniqueName="12" name="SALES" queryTableFieldId="12" dataDxfId="33" totalsRowDxfId="32"/>
    <tableColumn id="13" uniqueName="13" name="COGS_FREIGHT" queryTableFieldId="13" dataDxfId="31" totalsRowDxfId="30"/>
    <tableColumn id="14" uniqueName="14" name="COGS_LABOR" queryTableFieldId="14" dataDxfId="29" totalsRowDxfId="28"/>
    <tableColumn id="15" uniqueName="15" name="COGS_OUTSIDE" queryTableFieldId="15" dataDxfId="27" totalsRowDxfId="26"/>
    <tableColumn id="16" uniqueName="16" name="COGS_OVERHEAD" queryTableFieldId="16" dataDxfId="25" totalsRowDxfId="24"/>
    <tableColumn id="17" uniqueName="17" name="COGS_OTHER" queryTableFieldId="17" dataDxfId="23" totalsRowDxfId="22"/>
    <tableColumn id="18" uniqueName="18" name="COGS_MATERIAL" queryTableFieldId="18" dataDxfId="21" totalsRowDxfId="20"/>
    <tableColumn id="19" uniqueName="19" name="VARIABLE_EXPENSES" queryTableFieldId="19" dataDxfId="19" totalsRowDxfId="18"/>
    <tableColumn id="20" uniqueName="20" name="FIXED_EXPENSES" queryTableFieldId="20" dataDxfId="17" totalsRowDxfId="16"/>
    <tableColumn id="21" uniqueName="21" name="TAXES" queryTableFieldId="21" dataDxfId="15" totalsRowDxfId="14"/>
    <tableColumn id="22" uniqueName="22" name="SHARES" queryTableFieldId="22" dataDxfId="13" totalsRowDxfId="12"/>
    <tableColumn id="23" uniqueName="23" name="MONTH" queryTableFieldId="25" dataDxfId="11" totalsRowDxfId="10"/>
    <tableColumn id="24" uniqueName="24" name="Month2" queryTableFieldId="24" dataDxfId="9" totalsRowDxfId="8">
      <calculatedColumnFormula>TEXT(Table_Query_from_GLOBAL_ZEN3[[#This Row],[MONTH]]*29,"mmm")</calculatedColumnFormula>
    </tableColumn>
    <tableColumn id="25" uniqueName="25" name="Fiscal Year" queryTableFieldId="26" dataDxfId="7" totalsRowDxfId="6">
      <calculatedColumnFormula>B2+(MONTH(1&amp;LEFT(Y2,3))&gt;='CY - Executive Summary'!$AM$2)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17" Type="http://schemas.openxmlformats.org/officeDocument/2006/relationships/hyperlink" Target="https://www.osha.gov/pls/imis/sic_manual.display?id=672&amp;tab=description" TargetMode="External"/><Relationship Id="rId299" Type="http://schemas.openxmlformats.org/officeDocument/2006/relationships/hyperlink" Target="https://www.osha.gov/pls/imis/sic_manual.display?id=874&amp;tab=description" TargetMode="External"/><Relationship Id="rId303" Type="http://schemas.openxmlformats.org/officeDocument/2006/relationships/hyperlink" Target="https://www.osha.gov/pls/imis/sic_manual.display?id=878&amp;tab=description" TargetMode="External"/><Relationship Id="rId21" Type="http://schemas.openxmlformats.org/officeDocument/2006/relationships/hyperlink" Target="https://www.osha.gov/pls/imis/sic_manual.display?id=561&amp;tab=description" TargetMode="External"/><Relationship Id="rId42" Type="http://schemas.openxmlformats.org/officeDocument/2006/relationships/hyperlink" Target="https://www.osha.gov/pls/imis/sic_manual.display?id=582&amp;tab=description" TargetMode="External"/><Relationship Id="rId63" Type="http://schemas.openxmlformats.org/officeDocument/2006/relationships/hyperlink" Target="https://www.osha.gov/pls/imis/sic_manual.display?id=617&amp;tab=description" TargetMode="External"/><Relationship Id="rId84" Type="http://schemas.openxmlformats.org/officeDocument/2006/relationships/hyperlink" Target="https://www.osha.gov/pls/imis/sic_manual.display?id=638&amp;tab=description" TargetMode="External"/><Relationship Id="rId138" Type="http://schemas.openxmlformats.org/officeDocument/2006/relationships/hyperlink" Target="https://www.osha.gov/pls/imis/sic_manual.display?id=710&amp;tab=description" TargetMode="External"/><Relationship Id="rId159" Type="http://schemas.openxmlformats.org/officeDocument/2006/relationships/hyperlink" Target="https://www.osha.gov/pls/imis/sic_manual.display?id=732&amp;tab=description" TargetMode="External"/><Relationship Id="rId324" Type="http://schemas.openxmlformats.org/officeDocument/2006/relationships/hyperlink" Target="https://www.osha.gov/pls/imis/sic_manual.display?id=297&amp;tab=description" TargetMode="External"/><Relationship Id="rId345" Type="http://schemas.openxmlformats.org/officeDocument/2006/relationships/hyperlink" Target="https://www.osha.gov/pls/imis/sic_manual.display?id=343&amp;tab=description" TargetMode="External"/><Relationship Id="rId170" Type="http://schemas.openxmlformats.org/officeDocument/2006/relationships/hyperlink" Target="https://www.osha.gov/pls/imis/sic_manual.display?id=745&amp;tab=description" TargetMode="External"/><Relationship Id="rId191" Type="http://schemas.openxmlformats.org/officeDocument/2006/relationships/hyperlink" Target="https://www.osha.gov/pls/imis/sic_manual.display?id=766&amp;tab=description" TargetMode="External"/><Relationship Id="rId205" Type="http://schemas.openxmlformats.org/officeDocument/2006/relationships/hyperlink" Target="https://www.osha.gov/pls/imis/sic_manual.display?id=780&amp;tab=description" TargetMode="External"/><Relationship Id="rId226" Type="http://schemas.openxmlformats.org/officeDocument/2006/relationships/hyperlink" Target="https://www.osha.gov/pls/imis/sic_manual.display?id=801&amp;tab=description" TargetMode="External"/><Relationship Id="rId247" Type="http://schemas.openxmlformats.org/officeDocument/2006/relationships/hyperlink" Target="https://www.osha.gov/pls/imis/sic_manual.display?id=822&amp;tab=description" TargetMode="External"/><Relationship Id="rId107" Type="http://schemas.openxmlformats.org/officeDocument/2006/relationships/hyperlink" Target="https://www.osha.gov/pls/imis/sic_manual.display?id=662&amp;tab=description" TargetMode="External"/><Relationship Id="rId268" Type="http://schemas.openxmlformats.org/officeDocument/2006/relationships/hyperlink" Target="https://www.osha.gov/pls/imis/sic_manual.display?id=843&amp;tab=description" TargetMode="External"/><Relationship Id="rId289" Type="http://schemas.openxmlformats.org/officeDocument/2006/relationships/hyperlink" Target="https://www.osha.gov/pls/imis/sic_manual.display?id=864&amp;tab=description" TargetMode="External"/><Relationship Id="rId11" Type="http://schemas.openxmlformats.org/officeDocument/2006/relationships/hyperlink" Target="https://www.osha.gov/pls/imis/sic_manual.display?id=551&amp;tab=description" TargetMode="External"/><Relationship Id="rId32" Type="http://schemas.openxmlformats.org/officeDocument/2006/relationships/hyperlink" Target="https://www.osha.gov/pls/imis/sic_manual.display?id=572&amp;tab=description" TargetMode="External"/><Relationship Id="rId53" Type="http://schemas.openxmlformats.org/officeDocument/2006/relationships/hyperlink" Target="https://www.osha.gov/pls/imis/sic_manual.display?id=606&amp;tab=description" TargetMode="External"/><Relationship Id="rId74" Type="http://schemas.openxmlformats.org/officeDocument/2006/relationships/hyperlink" Target="https://www.osha.gov/pls/imis/sic_manual.display?id=627&amp;tab=description" TargetMode="External"/><Relationship Id="rId128" Type="http://schemas.openxmlformats.org/officeDocument/2006/relationships/hyperlink" Target="https://www.osha.gov/pls/imis/sic_manual.display?id=685&amp;tab=description" TargetMode="External"/><Relationship Id="rId149" Type="http://schemas.openxmlformats.org/officeDocument/2006/relationships/hyperlink" Target="https://www.osha.gov/pls/imis/sic_manual.display?id=722&amp;tab=description" TargetMode="External"/><Relationship Id="rId314" Type="http://schemas.openxmlformats.org/officeDocument/2006/relationships/hyperlink" Target="https://www.osha.gov/pls/imis/sic_manual.display?id=889&amp;tab=description" TargetMode="External"/><Relationship Id="rId335" Type="http://schemas.openxmlformats.org/officeDocument/2006/relationships/hyperlink" Target="https://www.osha.gov/pls/imis/sic_manual.display?id=150&amp;tab=description" TargetMode="External"/><Relationship Id="rId5" Type="http://schemas.openxmlformats.org/officeDocument/2006/relationships/hyperlink" Target="https://www.osha.gov/pls/imis/sic_manual.display?id=543&amp;tab=description" TargetMode="External"/><Relationship Id="rId95" Type="http://schemas.openxmlformats.org/officeDocument/2006/relationships/hyperlink" Target="https://www.osha.gov/pls/imis/sic_manual.display?id=650&amp;tab=description" TargetMode="External"/><Relationship Id="rId160" Type="http://schemas.openxmlformats.org/officeDocument/2006/relationships/hyperlink" Target="https://www.osha.gov/pls/imis/sic_manual.display?id=733&amp;tab=description" TargetMode="External"/><Relationship Id="rId181" Type="http://schemas.openxmlformats.org/officeDocument/2006/relationships/hyperlink" Target="https://www.osha.gov/pls/imis/sic_manual.display?id=1009&amp;tab=description" TargetMode="External"/><Relationship Id="rId216" Type="http://schemas.openxmlformats.org/officeDocument/2006/relationships/hyperlink" Target="https://www.osha.gov/pls/imis/sic_manual.display?id=791&amp;tab=description" TargetMode="External"/><Relationship Id="rId237" Type="http://schemas.openxmlformats.org/officeDocument/2006/relationships/hyperlink" Target="https://www.osha.gov/pls/imis/sic_manual.display?id=812&amp;tab=description" TargetMode="External"/><Relationship Id="rId258" Type="http://schemas.openxmlformats.org/officeDocument/2006/relationships/hyperlink" Target="https://www.osha.gov/pls/imis/sic_manual.display?id=833&amp;tab=description" TargetMode="External"/><Relationship Id="rId279" Type="http://schemas.openxmlformats.org/officeDocument/2006/relationships/hyperlink" Target="https://www.osha.gov/pls/imis/sic_manual.display?id=855&amp;tab=description" TargetMode="External"/><Relationship Id="rId22" Type="http://schemas.openxmlformats.org/officeDocument/2006/relationships/hyperlink" Target="https://www.osha.gov/pls/imis/sic_manual.display?id=562&amp;tab=description" TargetMode="External"/><Relationship Id="rId43" Type="http://schemas.openxmlformats.org/officeDocument/2006/relationships/hyperlink" Target="https://www.osha.gov/pls/imis/sic_manual.display?id=583&amp;tab=description" TargetMode="External"/><Relationship Id="rId64" Type="http://schemas.openxmlformats.org/officeDocument/2006/relationships/hyperlink" Target="https://www.osha.gov/pls/imis/sic_manual.display?id=1004&amp;tab=description" TargetMode="External"/><Relationship Id="rId118" Type="http://schemas.openxmlformats.org/officeDocument/2006/relationships/hyperlink" Target="https://www.osha.gov/pls/imis/sic_manual.display?id=673&amp;tab=description" TargetMode="External"/><Relationship Id="rId139" Type="http://schemas.openxmlformats.org/officeDocument/2006/relationships/hyperlink" Target="https://www.osha.gov/pls/imis/sic_manual.display?id=711&amp;tab=description" TargetMode="External"/><Relationship Id="rId290" Type="http://schemas.openxmlformats.org/officeDocument/2006/relationships/hyperlink" Target="https://www.osha.gov/pls/imis/sic_manual.display?id=865&amp;tab=description" TargetMode="External"/><Relationship Id="rId304" Type="http://schemas.openxmlformats.org/officeDocument/2006/relationships/hyperlink" Target="https://www.osha.gov/pls/imis/sic_manual.display?id=879&amp;tab=description" TargetMode="External"/><Relationship Id="rId325" Type="http://schemas.openxmlformats.org/officeDocument/2006/relationships/hyperlink" Target="https://www.osha.gov/pls/imis/sic_manual.display?id=299&amp;tab=description" TargetMode="External"/><Relationship Id="rId346" Type="http://schemas.openxmlformats.org/officeDocument/2006/relationships/hyperlink" Target="https://www.osha.gov/pls/imis/sic_manual.display?id=345&amp;tab=description" TargetMode="External"/><Relationship Id="rId85" Type="http://schemas.openxmlformats.org/officeDocument/2006/relationships/hyperlink" Target="https://www.osha.gov/pls/imis/sic_manual.display?id=639&amp;tab=description" TargetMode="External"/><Relationship Id="rId150" Type="http://schemas.openxmlformats.org/officeDocument/2006/relationships/hyperlink" Target="https://www.osha.gov/pls/imis/sic_manual.display?id=723&amp;tab=description" TargetMode="External"/><Relationship Id="rId171" Type="http://schemas.openxmlformats.org/officeDocument/2006/relationships/hyperlink" Target="https://www.osha.gov/pls/imis/sic_manual.display?id=746&amp;tab=description" TargetMode="External"/><Relationship Id="rId192" Type="http://schemas.openxmlformats.org/officeDocument/2006/relationships/hyperlink" Target="https://www.osha.gov/pls/imis/sic_manual.display?id=767&amp;tab=description" TargetMode="External"/><Relationship Id="rId206" Type="http://schemas.openxmlformats.org/officeDocument/2006/relationships/hyperlink" Target="https://www.osha.gov/pls/imis/sic_manual.display?id=781&amp;tab=description" TargetMode="External"/><Relationship Id="rId227" Type="http://schemas.openxmlformats.org/officeDocument/2006/relationships/hyperlink" Target="https://www.osha.gov/pls/imis/sic_manual.display?id=802&amp;tab=description" TargetMode="External"/><Relationship Id="rId248" Type="http://schemas.openxmlformats.org/officeDocument/2006/relationships/hyperlink" Target="https://www.osha.gov/pls/imis/sic_manual.display?id=823&amp;tab=description" TargetMode="External"/><Relationship Id="rId269" Type="http://schemas.openxmlformats.org/officeDocument/2006/relationships/hyperlink" Target="https://www.osha.gov/pls/imis/sic_manual.display?id=844&amp;tab=description" TargetMode="External"/><Relationship Id="rId12" Type="http://schemas.openxmlformats.org/officeDocument/2006/relationships/hyperlink" Target="https://www.osha.gov/pls/imis/sic_manual.display?id=552&amp;tab=description" TargetMode="External"/><Relationship Id="rId33" Type="http://schemas.openxmlformats.org/officeDocument/2006/relationships/hyperlink" Target="https://www.osha.gov/pls/imis/sic_manual.display?id=573&amp;tab=description" TargetMode="External"/><Relationship Id="rId108" Type="http://schemas.openxmlformats.org/officeDocument/2006/relationships/hyperlink" Target="https://www.osha.gov/pls/imis/sic_manual.display?id=663&amp;tab=description" TargetMode="External"/><Relationship Id="rId129" Type="http://schemas.openxmlformats.org/officeDocument/2006/relationships/hyperlink" Target="https://www.osha.gov/pls/imis/sic_manual.display?id=688&amp;tab=description" TargetMode="External"/><Relationship Id="rId280" Type="http://schemas.openxmlformats.org/officeDocument/2006/relationships/hyperlink" Target="https://www.osha.gov/pls/imis/sic_manual.display?id=856&amp;tab=description" TargetMode="External"/><Relationship Id="rId315" Type="http://schemas.openxmlformats.org/officeDocument/2006/relationships/hyperlink" Target="https://www.osha.gov/pls/imis/sic_manual.display?id=890&amp;tab=description" TargetMode="External"/><Relationship Id="rId336" Type="http://schemas.openxmlformats.org/officeDocument/2006/relationships/hyperlink" Target="https://www.osha.gov/pls/imis/sic_manual.display?id=272&amp;tab=description" TargetMode="External"/><Relationship Id="rId54" Type="http://schemas.openxmlformats.org/officeDocument/2006/relationships/hyperlink" Target="https://www.osha.gov/pls/imis/sic_manual.display?id=607&amp;tab=description" TargetMode="External"/><Relationship Id="rId75" Type="http://schemas.openxmlformats.org/officeDocument/2006/relationships/hyperlink" Target="https://www.osha.gov/pls/imis/sic_manual.display?id=628&amp;tab=description" TargetMode="External"/><Relationship Id="rId96" Type="http://schemas.openxmlformats.org/officeDocument/2006/relationships/hyperlink" Target="https://www.osha.gov/pls/imis/sic_manual.display?id=651&amp;tab=description" TargetMode="External"/><Relationship Id="rId140" Type="http://schemas.openxmlformats.org/officeDocument/2006/relationships/hyperlink" Target="https://www.osha.gov/pls/imis/sic_manual.display?id=713&amp;tab=description" TargetMode="External"/><Relationship Id="rId161" Type="http://schemas.openxmlformats.org/officeDocument/2006/relationships/hyperlink" Target="https://www.osha.gov/pls/imis/sic_manual.display?id=734&amp;tab=description" TargetMode="External"/><Relationship Id="rId182" Type="http://schemas.openxmlformats.org/officeDocument/2006/relationships/hyperlink" Target="https://www.osha.gov/pls/imis/sic_manual.display?id=757&amp;tab=description" TargetMode="External"/><Relationship Id="rId217" Type="http://schemas.openxmlformats.org/officeDocument/2006/relationships/hyperlink" Target="https://www.osha.gov/pls/imis/sic_manual.display?id=792&amp;tab=description" TargetMode="External"/><Relationship Id="rId6" Type="http://schemas.openxmlformats.org/officeDocument/2006/relationships/hyperlink" Target="https://www.osha.gov/pls/imis/sic_manual.display?id=544&amp;tab=description" TargetMode="External"/><Relationship Id="rId238" Type="http://schemas.openxmlformats.org/officeDocument/2006/relationships/hyperlink" Target="https://www.osha.gov/pls/imis/sic_manual.display?id=813&amp;tab=description" TargetMode="External"/><Relationship Id="rId259" Type="http://schemas.openxmlformats.org/officeDocument/2006/relationships/hyperlink" Target="https://www.osha.gov/pls/imis/sic_manual.display?id=834&amp;tab=description" TargetMode="External"/><Relationship Id="rId23" Type="http://schemas.openxmlformats.org/officeDocument/2006/relationships/hyperlink" Target="https://www.osha.gov/pls/imis/sic_manual.display?id=563&amp;tab=description" TargetMode="External"/><Relationship Id="rId119" Type="http://schemas.openxmlformats.org/officeDocument/2006/relationships/hyperlink" Target="https://www.osha.gov/pls/imis/sic_manual.display?id=674&amp;tab=description" TargetMode="External"/><Relationship Id="rId270" Type="http://schemas.openxmlformats.org/officeDocument/2006/relationships/hyperlink" Target="https://www.osha.gov/pls/imis/sic_manual.display?id=845&amp;tab=description" TargetMode="External"/><Relationship Id="rId291" Type="http://schemas.openxmlformats.org/officeDocument/2006/relationships/hyperlink" Target="https://www.osha.gov/pls/imis/sic_manual.display?id=866&amp;tab=description" TargetMode="External"/><Relationship Id="rId305" Type="http://schemas.openxmlformats.org/officeDocument/2006/relationships/hyperlink" Target="https://www.osha.gov/pls/imis/sic_manual.display?id=880&amp;tab=description" TargetMode="External"/><Relationship Id="rId326" Type="http://schemas.openxmlformats.org/officeDocument/2006/relationships/hyperlink" Target="https://www.osha.gov/pls/imis/sic_manual.display?id=302&amp;tab=description" TargetMode="External"/><Relationship Id="rId347" Type="http://schemas.openxmlformats.org/officeDocument/2006/relationships/printerSettings" Target="../printerSettings/printerSettings9.bin"/><Relationship Id="rId44" Type="http://schemas.openxmlformats.org/officeDocument/2006/relationships/hyperlink" Target="https://www.osha.gov/pls/imis/sic_manual.display?id=584&amp;tab=description" TargetMode="External"/><Relationship Id="rId65" Type="http://schemas.openxmlformats.org/officeDocument/2006/relationships/hyperlink" Target="https://www.osha.gov/pls/imis/sic_manual.display?id=618&amp;tab=description" TargetMode="External"/><Relationship Id="rId86" Type="http://schemas.openxmlformats.org/officeDocument/2006/relationships/hyperlink" Target="https://www.osha.gov/pls/imis/sic_manual.display?id=640&amp;tab=description" TargetMode="External"/><Relationship Id="rId130" Type="http://schemas.openxmlformats.org/officeDocument/2006/relationships/hyperlink" Target="https://www.osha.gov/pls/imis/sic_manual.display?id=689&amp;tab=description" TargetMode="External"/><Relationship Id="rId151" Type="http://schemas.openxmlformats.org/officeDocument/2006/relationships/hyperlink" Target="https://www.osha.gov/pls/imis/sic_manual.display?id=724&amp;tab=description" TargetMode="External"/><Relationship Id="rId172" Type="http://schemas.openxmlformats.org/officeDocument/2006/relationships/hyperlink" Target="https://www.osha.gov/pls/imis/sic_manual.display?id=747&amp;tab=description" TargetMode="External"/><Relationship Id="rId193" Type="http://schemas.openxmlformats.org/officeDocument/2006/relationships/hyperlink" Target="https://www.osha.gov/pls/imis/sic_manual.display?id=768&amp;tab=description" TargetMode="External"/><Relationship Id="rId207" Type="http://schemas.openxmlformats.org/officeDocument/2006/relationships/hyperlink" Target="https://www.osha.gov/pls/imis/sic_manual.display?id=782&amp;tab=description" TargetMode="External"/><Relationship Id="rId228" Type="http://schemas.openxmlformats.org/officeDocument/2006/relationships/hyperlink" Target="https://www.osha.gov/pls/imis/sic_manual.display?id=803&amp;tab=description" TargetMode="External"/><Relationship Id="rId249" Type="http://schemas.openxmlformats.org/officeDocument/2006/relationships/hyperlink" Target="https://www.osha.gov/pls/imis/sic_manual.display?id=824&amp;tab=description" TargetMode="External"/><Relationship Id="rId13" Type="http://schemas.openxmlformats.org/officeDocument/2006/relationships/hyperlink" Target="https://www.osha.gov/pls/imis/sic_manual.display?id=553&amp;tab=description" TargetMode="External"/><Relationship Id="rId109" Type="http://schemas.openxmlformats.org/officeDocument/2006/relationships/hyperlink" Target="https://www.osha.gov/pls/imis/sic_manual.display?id=664&amp;tab=description" TargetMode="External"/><Relationship Id="rId260" Type="http://schemas.openxmlformats.org/officeDocument/2006/relationships/hyperlink" Target="https://www.osha.gov/pls/imis/sic_manual.display?id=835&amp;tab=description" TargetMode="External"/><Relationship Id="rId281" Type="http://schemas.openxmlformats.org/officeDocument/2006/relationships/hyperlink" Target="https://www.osha.gov/pls/imis/sic_manual.display?id=857&amp;tab=description" TargetMode="External"/><Relationship Id="rId316" Type="http://schemas.openxmlformats.org/officeDocument/2006/relationships/hyperlink" Target="https://www.osha.gov/pls/imis/sic_manual.display?id=1012&amp;tab=description" TargetMode="External"/><Relationship Id="rId337" Type="http://schemas.openxmlformats.org/officeDocument/2006/relationships/hyperlink" Target="https://www.osha.gov/pls/imis/sic_manual.display?id=133&amp;tab=description" TargetMode="External"/><Relationship Id="rId34" Type="http://schemas.openxmlformats.org/officeDocument/2006/relationships/hyperlink" Target="https://www.osha.gov/pls/imis/sic_manual.display?id=574&amp;tab=description" TargetMode="External"/><Relationship Id="rId55" Type="http://schemas.openxmlformats.org/officeDocument/2006/relationships/hyperlink" Target="https://www.osha.gov/pls/imis/sic_manual.display?id=608&amp;tab=description" TargetMode="External"/><Relationship Id="rId76" Type="http://schemas.openxmlformats.org/officeDocument/2006/relationships/hyperlink" Target="https://www.osha.gov/pls/imis/sic_manual.display?id=629&amp;tab=description" TargetMode="External"/><Relationship Id="rId97" Type="http://schemas.openxmlformats.org/officeDocument/2006/relationships/hyperlink" Target="https://www.osha.gov/pls/imis/sic_manual.display?id=652&amp;tab=description" TargetMode="External"/><Relationship Id="rId120" Type="http://schemas.openxmlformats.org/officeDocument/2006/relationships/hyperlink" Target="https://www.osha.gov/pls/imis/sic_manual.display?id=675&amp;tab=description" TargetMode="External"/><Relationship Id="rId141" Type="http://schemas.openxmlformats.org/officeDocument/2006/relationships/hyperlink" Target="https://www.osha.gov/pls/imis/sic_manual.display?id=714&amp;tab=description" TargetMode="External"/><Relationship Id="rId7" Type="http://schemas.openxmlformats.org/officeDocument/2006/relationships/hyperlink" Target="https://www.osha.gov/pls/imis/sic_manual.display?id=547&amp;tab=description" TargetMode="External"/><Relationship Id="rId162" Type="http://schemas.openxmlformats.org/officeDocument/2006/relationships/hyperlink" Target="https://www.osha.gov/pls/imis/sic_manual.display?id=735&amp;tab=description" TargetMode="External"/><Relationship Id="rId183" Type="http://schemas.openxmlformats.org/officeDocument/2006/relationships/hyperlink" Target="https://www.osha.gov/pls/imis/sic_manual.display?id=758&amp;tab=description" TargetMode="External"/><Relationship Id="rId218" Type="http://schemas.openxmlformats.org/officeDocument/2006/relationships/hyperlink" Target="https://www.osha.gov/pls/imis/sic_manual.display?id=793&amp;tab=description" TargetMode="External"/><Relationship Id="rId239" Type="http://schemas.openxmlformats.org/officeDocument/2006/relationships/hyperlink" Target="https://www.osha.gov/pls/imis/sic_manual.display?id=814&amp;tab=description" TargetMode="External"/><Relationship Id="rId250" Type="http://schemas.openxmlformats.org/officeDocument/2006/relationships/hyperlink" Target="https://www.osha.gov/pls/imis/sic_manual.display?id=825&amp;tab=description" TargetMode="External"/><Relationship Id="rId271" Type="http://schemas.openxmlformats.org/officeDocument/2006/relationships/hyperlink" Target="https://www.osha.gov/pls/imis/sic_manual.display?id=846&amp;tab=description" TargetMode="External"/><Relationship Id="rId292" Type="http://schemas.openxmlformats.org/officeDocument/2006/relationships/hyperlink" Target="https://www.osha.gov/pls/imis/sic_manual.display?id=867&amp;tab=description" TargetMode="External"/><Relationship Id="rId306" Type="http://schemas.openxmlformats.org/officeDocument/2006/relationships/hyperlink" Target="https://www.osha.gov/pls/imis/sic_manual.display?id=881&amp;tab=description" TargetMode="External"/><Relationship Id="rId24" Type="http://schemas.openxmlformats.org/officeDocument/2006/relationships/hyperlink" Target="https://www.osha.gov/pls/imis/sic_manual.display?id=564&amp;tab=description" TargetMode="External"/><Relationship Id="rId45" Type="http://schemas.openxmlformats.org/officeDocument/2006/relationships/hyperlink" Target="https://www.osha.gov/pls/imis/sic_manual.display?id=595&amp;tab=description" TargetMode="External"/><Relationship Id="rId66" Type="http://schemas.openxmlformats.org/officeDocument/2006/relationships/hyperlink" Target="https://www.osha.gov/pls/imis/sic_manual.display?id=619&amp;tab=description" TargetMode="External"/><Relationship Id="rId87" Type="http://schemas.openxmlformats.org/officeDocument/2006/relationships/hyperlink" Target="https://www.osha.gov/pls/imis/sic_manual.display?id=641&amp;tab=description" TargetMode="External"/><Relationship Id="rId110" Type="http://schemas.openxmlformats.org/officeDocument/2006/relationships/hyperlink" Target="https://www.osha.gov/pls/imis/sic_manual.display?id=665&amp;tab=description" TargetMode="External"/><Relationship Id="rId131" Type="http://schemas.openxmlformats.org/officeDocument/2006/relationships/hyperlink" Target="https://www.osha.gov/pls/imis/sic_manual.display?id=690&amp;tab=description" TargetMode="External"/><Relationship Id="rId327" Type="http://schemas.openxmlformats.org/officeDocument/2006/relationships/hyperlink" Target="https://www.osha.gov/pls/imis/sic_manual.display?id=11&amp;tab=description" TargetMode="External"/><Relationship Id="rId348" Type="http://schemas.openxmlformats.org/officeDocument/2006/relationships/drawing" Target="../drawings/drawing8.xml"/><Relationship Id="rId152" Type="http://schemas.openxmlformats.org/officeDocument/2006/relationships/hyperlink" Target="https://www.osha.gov/pls/imis/sic_manual.display?id=1007&amp;tab=description" TargetMode="External"/><Relationship Id="rId173" Type="http://schemas.openxmlformats.org/officeDocument/2006/relationships/hyperlink" Target="https://www.osha.gov/pls/imis/sic_manual.display?id=748&amp;tab=description" TargetMode="External"/><Relationship Id="rId194" Type="http://schemas.openxmlformats.org/officeDocument/2006/relationships/hyperlink" Target="https://www.osha.gov/pls/imis/sic_manual.display?id=769&amp;tab=description" TargetMode="External"/><Relationship Id="rId208" Type="http://schemas.openxmlformats.org/officeDocument/2006/relationships/hyperlink" Target="https://www.osha.gov/pls/imis/sic_manual.display?id=783&amp;tab=description" TargetMode="External"/><Relationship Id="rId229" Type="http://schemas.openxmlformats.org/officeDocument/2006/relationships/hyperlink" Target="https://www.osha.gov/pls/imis/sic_manual.display?id=804&amp;tab=description" TargetMode="External"/><Relationship Id="rId240" Type="http://schemas.openxmlformats.org/officeDocument/2006/relationships/hyperlink" Target="https://www.osha.gov/pls/imis/sic_manual.display?id=815&amp;tab=description" TargetMode="External"/><Relationship Id="rId261" Type="http://schemas.openxmlformats.org/officeDocument/2006/relationships/hyperlink" Target="https://www.osha.gov/pls/imis/sic_manual.display?id=836&amp;tab=description" TargetMode="External"/><Relationship Id="rId14" Type="http://schemas.openxmlformats.org/officeDocument/2006/relationships/hyperlink" Target="https://www.osha.gov/pls/imis/sic_manual.display?id=554&amp;tab=description" TargetMode="External"/><Relationship Id="rId35" Type="http://schemas.openxmlformats.org/officeDocument/2006/relationships/hyperlink" Target="https://www.osha.gov/pls/imis/sic_manual.display?id=575&amp;tab=description" TargetMode="External"/><Relationship Id="rId56" Type="http://schemas.openxmlformats.org/officeDocument/2006/relationships/hyperlink" Target="https://www.osha.gov/pls/imis/sic_manual.display?id=609&amp;tab=description" TargetMode="External"/><Relationship Id="rId77" Type="http://schemas.openxmlformats.org/officeDocument/2006/relationships/hyperlink" Target="https://www.osha.gov/pls/imis/sic_manual.display?id=631&amp;tab=description" TargetMode="External"/><Relationship Id="rId100" Type="http://schemas.openxmlformats.org/officeDocument/2006/relationships/hyperlink" Target="https://www.osha.gov/pls/imis/sic_manual.display?id=655&amp;tab=description" TargetMode="External"/><Relationship Id="rId282" Type="http://schemas.openxmlformats.org/officeDocument/2006/relationships/hyperlink" Target="https://www.osha.gov/pls/imis/sic_manual.display?id=858&amp;tab=description" TargetMode="External"/><Relationship Id="rId317" Type="http://schemas.openxmlformats.org/officeDocument/2006/relationships/hyperlink" Target="https://www.osha.gov/pls/imis/sic_manual.display?id=921&amp;tab=description" TargetMode="External"/><Relationship Id="rId338" Type="http://schemas.openxmlformats.org/officeDocument/2006/relationships/hyperlink" Target="https://www.osha.gov/pls/imis/sic_manual.display?id=167&amp;tab=description" TargetMode="External"/><Relationship Id="rId8" Type="http://schemas.openxmlformats.org/officeDocument/2006/relationships/hyperlink" Target="https://www.osha.gov/pls/imis/sic_manual.display?id=548&amp;tab=description" TargetMode="External"/><Relationship Id="rId98" Type="http://schemas.openxmlformats.org/officeDocument/2006/relationships/hyperlink" Target="https://www.osha.gov/pls/imis/sic_manual.display?id=653&amp;tab=description" TargetMode="External"/><Relationship Id="rId121" Type="http://schemas.openxmlformats.org/officeDocument/2006/relationships/hyperlink" Target="https://www.osha.gov/pls/imis/sic_manual.display?id=677&amp;tab=description" TargetMode="External"/><Relationship Id="rId142" Type="http://schemas.openxmlformats.org/officeDocument/2006/relationships/hyperlink" Target="https://www.osha.gov/pls/imis/sic_manual.display?id=715&amp;tab=description" TargetMode="External"/><Relationship Id="rId163" Type="http://schemas.openxmlformats.org/officeDocument/2006/relationships/hyperlink" Target="https://www.osha.gov/pls/imis/sic_manual.display?id=736&amp;tab=description" TargetMode="External"/><Relationship Id="rId184" Type="http://schemas.openxmlformats.org/officeDocument/2006/relationships/hyperlink" Target="https://www.osha.gov/pls/imis/sic_manual.display?id=759&amp;tab=description" TargetMode="External"/><Relationship Id="rId219" Type="http://schemas.openxmlformats.org/officeDocument/2006/relationships/hyperlink" Target="https://www.osha.gov/pls/imis/sic_manual.display?id=794&amp;tab=description" TargetMode="External"/><Relationship Id="rId230" Type="http://schemas.openxmlformats.org/officeDocument/2006/relationships/hyperlink" Target="https://www.osha.gov/pls/imis/sic_manual.display?id=805&amp;tab=description" TargetMode="External"/><Relationship Id="rId251" Type="http://schemas.openxmlformats.org/officeDocument/2006/relationships/hyperlink" Target="https://www.osha.gov/pls/imis/sic_manual.display?id=826&amp;tab=description" TargetMode="External"/><Relationship Id="rId25" Type="http://schemas.openxmlformats.org/officeDocument/2006/relationships/hyperlink" Target="https://www.osha.gov/pls/imis/sic_manual.display?id=565&amp;tab=description" TargetMode="External"/><Relationship Id="rId46" Type="http://schemas.openxmlformats.org/officeDocument/2006/relationships/hyperlink" Target="https://www.osha.gov/pls/imis/sic_manual.display?id=599&amp;tab=description" TargetMode="External"/><Relationship Id="rId67" Type="http://schemas.openxmlformats.org/officeDocument/2006/relationships/hyperlink" Target="https://www.osha.gov/pls/imis/sic_manual.display?id=620&amp;tab=description" TargetMode="External"/><Relationship Id="rId116" Type="http://schemas.openxmlformats.org/officeDocument/2006/relationships/hyperlink" Target="https://www.osha.gov/pls/imis/sic_manual.display?id=671&amp;tab=description" TargetMode="External"/><Relationship Id="rId137" Type="http://schemas.openxmlformats.org/officeDocument/2006/relationships/hyperlink" Target="https://www.osha.gov/pls/imis/sic_manual.display?id=709&amp;tab=description" TargetMode="External"/><Relationship Id="rId158" Type="http://schemas.openxmlformats.org/officeDocument/2006/relationships/hyperlink" Target="https://www.osha.gov/pls/imis/sic_manual.display?id=731&amp;tab=description" TargetMode="External"/><Relationship Id="rId272" Type="http://schemas.openxmlformats.org/officeDocument/2006/relationships/hyperlink" Target="https://www.osha.gov/pls/imis/sic_manual.display?id=847&amp;tab=description" TargetMode="External"/><Relationship Id="rId293" Type="http://schemas.openxmlformats.org/officeDocument/2006/relationships/hyperlink" Target="https://www.osha.gov/pls/imis/sic_manual.display?id=868&amp;tab=description" TargetMode="External"/><Relationship Id="rId302" Type="http://schemas.openxmlformats.org/officeDocument/2006/relationships/hyperlink" Target="https://www.osha.gov/pls/imis/sic_manual.display?id=877&amp;tab=description" TargetMode="External"/><Relationship Id="rId307" Type="http://schemas.openxmlformats.org/officeDocument/2006/relationships/hyperlink" Target="https://www.osha.gov/pls/imis/sic_manual.display?id=882&amp;tab=description" TargetMode="External"/><Relationship Id="rId323" Type="http://schemas.openxmlformats.org/officeDocument/2006/relationships/hyperlink" Target="https://www.osha.gov/pls/imis/sic_manual.display?id=296&amp;tab=description" TargetMode="External"/><Relationship Id="rId328" Type="http://schemas.openxmlformats.org/officeDocument/2006/relationships/hyperlink" Target="https://www.osha.gov/pls/imis/sic_manual.display?id=23&amp;tab=description" TargetMode="External"/><Relationship Id="rId344" Type="http://schemas.openxmlformats.org/officeDocument/2006/relationships/hyperlink" Target="https://www.osha.gov/pls/imis/sic_manual.display?id=229&amp;tab=description" TargetMode="External"/><Relationship Id="rId20" Type="http://schemas.openxmlformats.org/officeDocument/2006/relationships/hyperlink" Target="https://www.osha.gov/pls/imis/sic_manual.display?id=560&amp;tab=description" TargetMode="External"/><Relationship Id="rId41" Type="http://schemas.openxmlformats.org/officeDocument/2006/relationships/hyperlink" Target="https://www.osha.gov/pls/imis/sic_manual.display?id=581&amp;tab=description" TargetMode="External"/><Relationship Id="rId62" Type="http://schemas.openxmlformats.org/officeDocument/2006/relationships/hyperlink" Target="https://www.osha.gov/pls/imis/sic_manual.display?id=616&amp;tab=description" TargetMode="External"/><Relationship Id="rId83" Type="http://schemas.openxmlformats.org/officeDocument/2006/relationships/hyperlink" Target="https://www.osha.gov/pls/imis/sic_manual.display?id=1005&amp;tab=description" TargetMode="External"/><Relationship Id="rId88" Type="http://schemas.openxmlformats.org/officeDocument/2006/relationships/hyperlink" Target="https://www.osha.gov/pls/imis/sic_manual.display?id=642&amp;tab=description" TargetMode="External"/><Relationship Id="rId111" Type="http://schemas.openxmlformats.org/officeDocument/2006/relationships/hyperlink" Target="https://www.osha.gov/pls/imis/sic_manual.display?id=666&amp;tab=description" TargetMode="External"/><Relationship Id="rId132" Type="http://schemas.openxmlformats.org/officeDocument/2006/relationships/hyperlink" Target="https://www.osha.gov/pls/imis/sic_manual.display?id=691&amp;tab=description" TargetMode="External"/><Relationship Id="rId153" Type="http://schemas.openxmlformats.org/officeDocument/2006/relationships/hyperlink" Target="https://www.osha.gov/pls/imis/sic_manual.display?id=726&amp;tab=description" TargetMode="External"/><Relationship Id="rId174" Type="http://schemas.openxmlformats.org/officeDocument/2006/relationships/hyperlink" Target="https://www.osha.gov/pls/imis/sic_manual.display?id=749&amp;tab=description" TargetMode="External"/><Relationship Id="rId179" Type="http://schemas.openxmlformats.org/officeDocument/2006/relationships/hyperlink" Target="https://www.osha.gov/pls/imis/sic_manual.display?id=1008&amp;tab=description" TargetMode="External"/><Relationship Id="rId195" Type="http://schemas.openxmlformats.org/officeDocument/2006/relationships/hyperlink" Target="https://www.osha.gov/pls/imis/sic_manual.display?id=770&amp;tab=description" TargetMode="External"/><Relationship Id="rId209" Type="http://schemas.openxmlformats.org/officeDocument/2006/relationships/hyperlink" Target="https://www.osha.gov/pls/imis/sic_manual.display?id=784&amp;tab=description" TargetMode="External"/><Relationship Id="rId190" Type="http://schemas.openxmlformats.org/officeDocument/2006/relationships/hyperlink" Target="https://www.osha.gov/pls/imis/sic_manual.display?id=765&amp;tab=description" TargetMode="External"/><Relationship Id="rId204" Type="http://schemas.openxmlformats.org/officeDocument/2006/relationships/hyperlink" Target="https://www.osha.gov/pls/imis/sic_manual.display?id=779&amp;tab=description" TargetMode="External"/><Relationship Id="rId220" Type="http://schemas.openxmlformats.org/officeDocument/2006/relationships/hyperlink" Target="https://www.osha.gov/pls/imis/sic_manual.display?id=795&amp;tab=description" TargetMode="External"/><Relationship Id="rId225" Type="http://schemas.openxmlformats.org/officeDocument/2006/relationships/hyperlink" Target="https://www.osha.gov/pls/imis/sic_manual.display?id=800&amp;tab=description" TargetMode="External"/><Relationship Id="rId241" Type="http://schemas.openxmlformats.org/officeDocument/2006/relationships/hyperlink" Target="https://www.osha.gov/pls/imis/sic_manual.display?id=816&amp;tab=description" TargetMode="External"/><Relationship Id="rId246" Type="http://schemas.openxmlformats.org/officeDocument/2006/relationships/hyperlink" Target="https://www.osha.gov/pls/imis/sic_manual.display?id=821&amp;tab=description" TargetMode="External"/><Relationship Id="rId267" Type="http://schemas.openxmlformats.org/officeDocument/2006/relationships/hyperlink" Target="https://www.osha.gov/pls/imis/sic_manual.display?id=842&amp;tab=description" TargetMode="External"/><Relationship Id="rId288" Type="http://schemas.openxmlformats.org/officeDocument/2006/relationships/hyperlink" Target="https://www.osha.gov/pls/imis/sic_manual.display?id=863&amp;tab=description" TargetMode="External"/><Relationship Id="rId15" Type="http://schemas.openxmlformats.org/officeDocument/2006/relationships/hyperlink" Target="https://www.osha.gov/pls/imis/sic_manual.display?id=555&amp;tab=description" TargetMode="External"/><Relationship Id="rId36" Type="http://schemas.openxmlformats.org/officeDocument/2006/relationships/hyperlink" Target="https://www.osha.gov/pls/imis/sic_manual.display?id=576&amp;tab=description" TargetMode="External"/><Relationship Id="rId57" Type="http://schemas.openxmlformats.org/officeDocument/2006/relationships/hyperlink" Target="https://www.osha.gov/pls/imis/sic_manual.display?id=610&amp;tab=description" TargetMode="External"/><Relationship Id="rId106" Type="http://schemas.openxmlformats.org/officeDocument/2006/relationships/hyperlink" Target="https://www.osha.gov/pls/imis/sic_manual.display?id=661&amp;tab=description" TargetMode="External"/><Relationship Id="rId127" Type="http://schemas.openxmlformats.org/officeDocument/2006/relationships/hyperlink" Target="https://www.osha.gov/pls/imis/sic_manual.display?id=684&amp;tab=description" TargetMode="External"/><Relationship Id="rId262" Type="http://schemas.openxmlformats.org/officeDocument/2006/relationships/hyperlink" Target="https://www.osha.gov/pls/imis/sic_manual.display?id=837&amp;tab=description" TargetMode="External"/><Relationship Id="rId283" Type="http://schemas.openxmlformats.org/officeDocument/2006/relationships/hyperlink" Target="https://www.osha.gov/pls/imis/sic_manual.display?id=859&amp;tab=description" TargetMode="External"/><Relationship Id="rId313" Type="http://schemas.openxmlformats.org/officeDocument/2006/relationships/hyperlink" Target="https://www.osha.gov/pls/imis/sic_manual.display?id=888&amp;tab=description" TargetMode="External"/><Relationship Id="rId318" Type="http://schemas.openxmlformats.org/officeDocument/2006/relationships/hyperlink" Target="https://www.osha.gov/pls/imis/sic_manual.display?id=926&amp;tab=description" TargetMode="External"/><Relationship Id="rId339" Type="http://schemas.openxmlformats.org/officeDocument/2006/relationships/hyperlink" Target="https://www.osha.gov/pls/imis/sic_manual.display?id=170&amp;tab=description" TargetMode="External"/><Relationship Id="rId10" Type="http://schemas.openxmlformats.org/officeDocument/2006/relationships/hyperlink" Target="https://www.osha.gov/pls/imis/sic_manual.display?id=550&amp;tab=description" TargetMode="External"/><Relationship Id="rId31" Type="http://schemas.openxmlformats.org/officeDocument/2006/relationships/hyperlink" Target="https://www.osha.gov/pls/imis/sic_manual.display?id=571&amp;tab=description" TargetMode="External"/><Relationship Id="rId52" Type="http://schemas.openxmlformats.org/officeDocument/2006/relationships/hyperlink" Target="https://www.osha.gov/pls/imis/sic_manual.display?id=605&amp;tab=description" TargetMode="External"/><Relationship Id="rId73" Type="http://schemas.openxmlformats.org/officeDocument/2006/relationships/hyperlink" Target="https://www.osha.gov/pls/imis/sic_manual.display?id=626&amp;tab=description" TargetMode="External"/><Relationship Id="rId78" Type="http://schemas.openxmlformats.org/officeDocument/2006/relationships/hyperlink" Target="https://www.osha.gov/pls/imis/sic_manual.display?id=632&amp;tab=description" TargetMode="External"/><Relationship Id="rId94" Type="http://schemas.openxmlformats.org/officeDocument/2006/relationships/hyperlink" Target="https://www.osha.gov/pls/imis/sic_manual.display?id=649&amp;tab=description" TargetMode="External"/><Relationship Id="rId99" Type="http://schemas.openxmlformats.org/officeDocument/2006/relationships/hyperlink" Target="https://www.osha.gov/pls/imis/sic_manual.display?id=654&amp;tab=description" TargetMode="External"/><Relationship Id="rId101" Type="http://schemas.openxmlformats.org/officeDocument/2006/relationships/hyperlink" Target="https://www.osha.gov/pls/imis/sic_manual.display?id=656&amp;tab=description" TargetMode="External"/><Relationship Id="rId122" Type="http://schemas.openxmlformats.org/officeDocument/2006/relationships/hyperlink" Target="https://www.osha.gov/pls/imis/sic_manual.display?id=678&amp;tab=description" TargetMode="External"/><Relationship Id="rId143" Type="http://schemas.openxmlformats.org/officeDocument/2006/relationships/hyperlink" Target="https://www.osha.gov/pls/imis/sic_manual.display?id=716&amp;tab=description" TargetMode="External"/><Relationship Id="rId148" Type="http://schemas.openxmlformats.org/officeDocument/2006/relationships/hyperlink" Target="https://www.osha.gov/pls/imis/sic_manual.display?id=721&amp;tab=description" TargetMode="External"/><Relationship Id="rId164" Type="http://schemas.openxmlformats.org/officeDocument/2006/relationships/hyperlink" Target="https://www.osha.gov/pls/imis/sic_manual.display?id=739&amp;tab=description" TargetMode="External"/><Relationship Id="rId169" Type="http://schemas.openxmlformats.org/officeDocument/2006/relationships/hyperlink" Target="https://www.osha.gov/pls/imis/sic_manual.display?id=744&amp;tab=description" TargetMode="External"/><Relationship Id="rId185" Type="http://schemas.openxmlformats.org/officeDocument/2006/relationships/hyperlink" Target="https://www.osha.gov/pls/imis/sic_manual.display?id=760&amp;tab=description" TargetMode="External"/><Relationship Id="rId334" Type="http://schemas.openxmlformats.org/officeDocument/2006/relationships/hyperlink" Target="https://www.osha.gov/pls/imis/sic_manual.display?id=270&amp;tab=description" TargetMode="External"/><Relationship Id="rId4" Type="http://schemas.openxmlformats.org/officeDocument/2006/relationships/hyperlink" Target="https://www.osha.gov/pls/imis/sic_manual.display?id=542&amp;tab=description" TargetMode="External"/><Relationship Id="rId9" Type="http://schemas.openxmlformats.org/officeDocument/2006/relationships/hyperlink" Target="https://www.osha.gov/pls/imis/sic_manual.display?id=549&amp;tab=description" TargetMode="External"/><Relationship Id="rId180" Type="http://schemas.openxmlformats.org/officeDocument/2006/relationships/hyperlink" Target="https://www.osha.gov/pls/imis/sic_manual.display?id=755&amp;tab=description" TargetMode="External"/><Relationship Id="rId210" Type="http://schemas.openxmlformats.org/officeDocument/2006/relationships/hyperlink" Target="https://www.osha.gov/pls/imis/sic_manual.display?id=785&amp;tab=description" TargetMode="External"/><Relationship Id="rId215" Type="http://schemas.openxmlformats.org/officeDocument/2006/relationships/hyperlink" Target="https://www.osha.gov/pls/imis/sic_manual.display?id=790&amp;tab=description" TargetMode="External"/><Relationship Id="rId236" Type="http://schemas.openxmlformats.org/officeDocument/2006/relationships/hyperlink" Target="https://www.osha.gov/pls/imis/sic_manual.display?id=811&amp;tab=description" TargetMode="External"/><Relationship Id="rId257" Type="http://schemas.openxmlformats.org/officeDocument/2006/relationships/hyperlink" Target="https://www.osha.gov/pls/imis/sic_manual.display?id=832&amp;tab=description" TargetMode="External"/><Relationship Id="rId278" Type="http://schemas.openxmlformats.org/officeDocument/2006/relationships/hyperlink" Target="https://www.osha.gov/pls/imis/sic_manual.display?id=854&amp;tab=description" TargetMode="External"/><Relationship Id="rId26" Type="http://schemas.openxmlformats.org/officeDocument/2006/relationships/hyperlink" Target="https://www.osha.gov/pls/imis/sic_manual.display?id=566&amp;tab=description" TargetMode="External"/><Relationship Id="rId231" Type="http://schemas.openxmlformats.org/officeDocument/2006/relationships/hyperlink" Target="https://www.osha.gov/pls/imis/sic_manual.display?id=806&amp;tab=description" TargetMode="External"/><Relationship Id="rId252" Type="http://schemas.openxmlformats.org/officeDocument/2006/relationships/hyperlink" Target="https://www.osha.gov/pls/imis/sic_manual.display?id=827&amp;tab=description" TargetMode="External"/><Relationship Id="rId273" Type="http://schemas.openxmlformats.org/officeDocument/2006/relationships/hyperlink" Target="https://www.osha.gov/pls/imis/sic_manual.display?id=849&amp;tab=description" TargetMode="External"/><Relationship Id="rId294" Type="http://schemas.openxmlformats.org/officeDocument/2006/relationships/hyperlink" Target="https://www.osha.gov/pls/imis/sic_manual.display?id=869&amp;tab=description" TargetMode="External"/><Relationship Id="rId308" Type="http://schemas.openxmlformats.org/officeDocument/2006/relationships/hyperlink" Target="https://www.osha.gov/pls/imis/sic_manual.display?id=883&amp;tab=description" TargetMode="External"/><Relationship Id="rId329" Type="http://schemas.openxmlformats.org/officeDocument/2006/relationships/hyperlink" Target="https://www.osha.gov/pls/imis/sic_manual.display?id=24&amp;tab=description" TargetMode="External"/><Relationship Id="rId47" Type="http://schemas.openxmlformats.org/officeDocument/2006/relationships/hyperlink" Target="https://www.osha.gov/pls/imis/sic_manual.display?id=600&amp;tab=description" TargetMode="External"/><Relationship Id="rId68" Type="http://schemas.openxmlformats.org/officeDocument/2006/relationships/hyperlink" Target="https://www.osha.gov/pls/imis/sic_manual.display?id=621&amp;tab=description" TargetMode="External"/><Relationship Id="rId89" Type="http://schemas.openxmlformats.org/officeDocument/2006/relationships/hyperlink" Target="https://www.osha.gov/pls/imis/sic_manual.display?id=643&amp;tab=description" TargetMode="External"/><Relationship Id="rId112" Type="http://schemas.openxmlformats.org/officeDocument/2006/relationships/hyperlink" Target="https://www.osha.gov/pls/imis/sic_manual.display?id=667&amp;tab=description" TargetMode="External"/><Relationship Id="rId133" Type="http://schemas.openxmlformats.org/officeDocument/2006/relationships/hyperlink" Target="https://www.osha.gov/pls/imis/sic_manual.display?id=705&amp;tab=description" TargetMode="External"/><Relationship Id="rId154" Type="http://schemas.openxmlformats.org/officeDocument/2006/relationships/hyperlink" Target="https://www.osha.gov/pls/imis/sic_manual.display?id=727&amp;tab=description" TargetMode="External"/><Relationship Id="rId175" Type="http://schemas.openxmlformats.org/officeDocument/2006/relationships/hyperlink" Target="https://www.osha.gov/pls/imis/sic_manual.display?id=750&amp;tab=description" TargetMode="External"/><Relationship Id="rId340" Type="http://schemas.openxmlformats.org/officeDocument/2006/relationships/hyperlink" Target="https://www.osha.gov/pls/imis/sic_manual.display?id=199&amp;tab=description" TargetMode="External"/><Relationship Id="rId196" Type="http://schemas.openxmlformats.org/officeDocument/2006/relationships/hyperlink" Target="https://www.osha.gov/pls/imis/sic_manual.display?id=771&amp;tab=description" TargetMode="External"/><Relationship Id="rId200" Type="http://schemas.openxmlformats.org/officeDocument/2006/relationships/hyperlink" Target="https://www.osha.gov/pls/imis/sic_manual.display?id=775&amp;tab=description" TargetMode="External"/><Relationship Id="rId16" Type="http://schemas.openxmlformats.org/officeDocument/2006/relationships/hyperlink" Target="https://www.osha.gov/pls/imis/sic_manual.display?id=556&amp;tab=description" TargetMode="External"/><Relationship Id="rId221" Type="http://schemas.openxmlformats.org/officeDocument/2006/relationships/hyperlink" Target="https://www.osha.gov/pls/imis/sic_manual.display?id=796&amp;tab=description" TargetMode="External"/><Relationship Id="rId242" Type="http://schemas.openxmlformats.org/officeDocument/2006/relationships/hyperlink" Target="https://www.osha.gov/pls/imis/sic_manual.display?id=817&amp;tab=description" TargetMode="External"/><Relationship Id="rId263" Type="http://schemas.openxmlformats.org/officeDocument/2006/relationships/hyperlink" Target="https://www.osha.gov/pls/imis/sic_manual.display?id=838&amp;tab=description" TargetMode="External"/><Relationship Id="rId284" Type="http://schemas.openxmlformats.org/officeDocument/2006/relationships/hyperlink" Target="https://www.osha.gov/pls/imis/sic_manual.display?id=860&amp;tab=description" TargetMode="External"/><Relationship Id="rId319" Type="http://schemas.openxmlformats.org/officeDocument/2006/relationships/hyperlink" Target="https://www.osha.gov/pls/imis/sic_manual.display?id=966&amp;tab=description" TargetMode="External"/><Relationship Id="rId37" Type="http://schemas.openxmlformats.org/officeDocument/2006/relationships/hyperlink" Target="https://www.osha.gov/pls/imis/sic_manual.display?id=577&amp;tab=description" TargetMode="External"/><Relationship Id="rId58" Type="http://schemas.openxmlformats.org/officeDocument/2006/relationships/hyperlink" Target="https://www.osha.gov/pls/imis/sic_manual.display?id=611&amp;tab=description" TargetMode="External"/><Relationship Id="rId79" Type="http://schemas.openxmlformats.org/officeDocument/2006/relationships/hyperlink" Target="https://www.osha.gov/pls/imis/sic_manual.display?id=633&amp;tab=description" TargetMode="External"/><Relationship Id="rId102" Type="http://schemas.openxmlformats.org/officeDocument/2006/relationships/hyperlink" Target="https://www.osha.gov/pls/imis/sic_manual.display?id=657&amp;tab=description" TargetMode="External"/><Relationship Id="rId123" Type="http://schemas.openxmlformats.org/officeDocument/2006/relationships/hyperlink" Target="https://www.osha.gov/pls/imis/sic_manual.display?id=680&amp;tab=description" TargetMode="External"/><Relationship Id="rId144" Type="http://schemas.openxmlformats.org/officeDocument/2006/relationships/hyperlink" Target="https://www.osha.gov/pls/imis/sic_manual.display?id=717&amp;tab=description" TargetMode="External"/><Relationship Id="rId330" Type="http://schemas.openxmlformats.org/officeDocument/2006/relationships/hyperlink" Target="https://www.osha.gov/pls/imis/sic_manual.display?id=119&amp;tab=description" TargetMode="External"/><Relationship Id="rId90" Type="http://schemas.openxmlformats.org/officeDocument/2006/relationships/hyperlink" Target="https://www.osha.gov/pls/imis/sic_manual.display?id=645&amp;tab=description" TargetMode="External"/><Relationship Id="rId165" Type="http://schemas.openxmlformats.org/officeDocument/2006/relationships/hyperlink" Target="https://www.osha.gov/pls/imis/sic_manual.display?id=740&amp;tab=description" TargetMode="External"/><Relationship Id="rId186" Type="http://schemas.openxmlformats.org/officeDocument/2006/relationships/hyperlink" Target="https://www.osha.gov/pls/imis/sic_manual.display?id=761&amp;tab=description" TargetMode="External"/><Relationship Id="rId211" Type="http://schemas.openxmlformats.org/officeDocument/2006/relationships/hyperlink" Target="https://www.osha.gov/pls/imis/sic_manual.display?id=786&amp;tab=description" TargetMode="External"/><Relationship Id="rId232" Type="http://schemas.openxmlformats.org/officeDocument/2006/relationships/hyperlink" Target="https://www.osha.gov/pls/imis/sic_manual.display?id=807&amp;tab=description" TargetMode="External"/><Relationship Id="rId253" Type="http://schemas.openxmlformats.org/officeDocument/2006/relationships/hyperlink" Target="https://www.osha.gov/pls/imis/sic_manual.display?id=828&amp;tab=description" TargetMode="External"/><Relationship Id="rId274" Type="http://schemas.openxmlformats.org/officeDocument/2006/relationships/hyperlink" Target="https://www.osha.gov/pls/imis/sic_manual.display?id=850&amp;tab=description" TargetMode="External"/><Relationship Id="rId295" Type="http://schemas.openxmlformats.org/officeDocument/2006/relationships/hyperlink" Target="https://www.osha.gov/pls/imis/sic_manual.display?id=870&amp;tab=description" TargetMode="External"/><Relationship Id="rId309" Type="http://schemas.openxmlformats.org/officeDocument/2006/relationships/hyperlink" Target="https://www.osha.gov/pls/imis/sic_manual.display?id=884&amp;tab=description" TargetMode="External"/><Relationship Id="rId27" Type="http://schemas.openxmlformats.org/officeDocument/2006/relationships/hyperlink" Target="https://www.osha.gov/pls/imis/sic_manual.display?id=567&amp;tab=description" TargetMode="External"/><Relationship Id="rId48" Type="http://schemas.openxmlformats.org/officeDocument/2006/relationships/hyperlink" Target="https://www.osha.gov/pls/imis/sic_manual.display?id=601&amp;tab=description" TargetMode="External"/><Relationship Id="rId69" Type="http://schemas.openxmlformats.org/officeDocument/2006/relationships/hyperlink" Target="https://www.osha.gov/pls/imis/sic_manual.display?id=622&amp;tab=description" TargetMode="External"/><Relationship Id="rId113" Type="http://schemas.openxmlformats.org/officeDocument/2006/relationships/hyperlink" Target="https://www.osha.gov/pls/imis/sic_manual.display?id=668&amp;tab=description" TargetMode="External"/><Relationship Id="rId134" Type="http://schemas.openxmlformats.org/officeDocument/2006/relationships/hyperlink" Target="https://www.osha.gov/pls/imis/sic_manual.display?id=706&amp;tab=description" TargetMode="External"/><Relationship Id="rId320" Type="http://schemas.openxmlformats.org/officeDocument/2006/relationships/hyperlink" Target="https://www.osha.gov/pls/imis/sic_manual.display?id=987&amp;tab=description" TargetMode="External"/><Relationship Id="rId80" Type="http://schemas.openxmlformats.org/officeDocument/2006/relationships/hyperlink" Target="https://www.osha.gov/pls/imis/sic_manual.display?id=634&amp;tab=description" TargetMode="External"/><Relationship Id="rId155" Type="http://schemas.openxmlformats.org/officeDocument/2006/relationships/hyperlink" Target="https://www.osha.gov/pls/imis/sic_manual.display?id=728&amp;tab=description" TargetMode="External"/><Relationship Id="rId176" Type="http://schemas.openxmlformats.org/officeDocument/2006/relationships/hyperlink" Target="https://www.osha.gov/pls/imis/sic_manual.display?id=751&amp;tab=description" TargetMode="External"/><Relationship Id="rId197" Type="http://schemas.openxmlformats.org/officeDocument/2006/relationships/hyperlink" Target="https://www.osha.gov/pls/imis/sic_manual.display?id=772&amp;tab=description" TargetMode="External"/><Relationship Id="rId341" Type="http://schemas.openxmlformats.org/officeDocument/2006/relationships/hyperlink" Target="https://www.osha.gov/pls/imis/sic_manual.display?id=200&amp;tab=description" TargetMode="External"/><Relationship Id="rId201" Type="http://schemas.openxmlformats.org/officeDocument/2006/relationships/hyperlink" Target="https://www.osha.gov/pls/imis/sic_manual.display?id=776&amp;tab=description" TargetMode="External"/><Relationship Id="rId222" Type="http://schemas.openxmlformats.org/officeDocument/2006/relationships/hyperlink" Target="https://www.osha.gov/pls/imis/sic_manual.display?id=797&amp;tab=description" TargetMode="External"/><Relationship Id="rId243" Type="http://schemas.openxmlformats.org/officeDocument/2006/relationships/hyperlink" Target="https://www.osha.gov/pls/imis/sic_manual.display?id=818&amp;tab=description" TargetMode="External"/><Relationship Id="rId264" Type="http://schemas.openxmlformats.org/officeDocument/2006/relationships/hyperlink" Target="https://www.osha.gov/pls/imis/sic_manual.display?id=839&amp;tab=description" TargetMode="External"/><Relationship Id="rId285" Type="http://schemas.openxmlformats.org/officeDocument/2006/relationships/hyperlink" Target="https://www.osha.gov/pls/imis/sic_manual.display?id=1010&amp;tab=description" TargetMode="External"/><Relationship Id="rId17" Type="http://schemas.openxmlformats.org/officeDocument/2006/relationships/hyperlink" Target="https://www.osha.gov/pls/imis/sic_manual.display?id=557&amp;tab=description" TargetMode="External"/><Relationship Id="rId38" Type="http://schemas.openxmlformats.org/officeDocument/2006/relationships/hyperlink" Target="https://www.osha.gov/pls/imis/sic_manual.display?id=578&amp;tab=description" TargetMode="External"/><Relationship Id="rId59" Type="http://schemas.openxmlformats.org/officeDocument/2006/relationships/hyperlink" Target="https://www.osha.gov/pls/imis/sic_manual.display?id=612&amp;tab=description" TargetMode="External"/><Relationship Id="rId103" Type="http://schemas.openxmlformats.org/officeDocument/2006/relationships/hyperlink" Target="https://www.osha.gov/pls/imis/sic_manual.display?id=658&amp;tab=description" TargetMode="External"/><Relationship Id="rId124" Type="http://schemas.openxmlformats.org/officeDocument/2006/relationships/hyperlink" Target="https://www.osha.gov/pls/imis/sic_manual.display?id=681&amp;tab=description" TargetMode="External"/><Relationship Id="rId310" Type="http://schemas.openxmlformats.org/officeDocument/2006/relationships/hyperlink" Target="https://www.osha.gov/pls/imis/sic_manual.display?id=885&amp;tab=description" TargetMode="External"/><Relationship Id="rId70" Type="http://schemas.openxmlformats.org/officeDocument/2006/relationships/hyperlink" Target="https://www.osha.gov/pls/imis/sic_manual.display?id=623&amp;tab=description" TargetMode="External"/><Relationship Id="rId91" Type="http://schemas.openxmlformats.org/officeDocument/2006/relationships/hyperlink" Target="https://www.osha.gov/pls/imis/sic_manual.display?id=1006&amp;tab=description" TargetMode="External"/><Relationship Id="rId145" Type="http://schemas.openxmlformats.org/officeDocument/2006/relationships/hyperlink" Target="https://www.osha.gov/pls/imis/sic_manual.display?id=718&amp;tab=description" TargetMode="External"/><Relationship Id="rId166" Type="http://schemas.openxmlformats.org/officeDocument/2006/relationships/hyperlink" Target="https://www.osha.gov/pls/imis/sic_manual.display?id=741&amp;tab=description" TargetMode="External"/><Relationship Id="rId187" Type="http://schemas.openxmlformats.org/officeDocument/2006/relationships/hyperlink" Target="https://www.osha.gov/pls/imis/sic_manual.display?id=762&amp;tab=description" TargetMode="External"/><Relationship Id="rId331" Type="http://schemas.openxmlformats.org/officeDocument/2006/relationships/hyperlink" Target="https://www.osha.gov/pls/imis/sic_manual.display?id=127&amp;tab=description" TargetMode="External"/><Relationship Id="rId1" Type="http://schemas.openxmlformats.org/officeDocument/2006/relationships/hyperlink" Target="https://www.osha.gov/pls/imis/sic_manual.display?id=539&amp;tab=description" TargetMode="External"/><Relationship Id="rId212" Type="http://schemas.openxmlformats.org/officeDocument/2006/relationships/hyperlink" Target="https://www.osha.gov/pls/imis/sic_manual.display?id=787&amp;tab=description" TargetMode="External"/><Relationship Id="rId233" Type="http://schemas.openxmlformats.org/officeDocument/2006/relationships/hyperlink" Target="https://www.osha.gov/pls/imis/sic_manual.display?id=808&amp;tab=description" TargetMode="External"/><Relationship Id="rId254" Type="http://schemas.openxmlformats.org/officeDocument/2006/relationships/hyperlink" Target="https://www.osha.gov/pls/imis/sic_manual.display?id=829&amp;tab=description" TargetMode="External"/><Relationship Id="rId28" Type="http://schemas.openxmlformats.org/officeDocument/2006/relationships/hyperlink" Target="https://www.osha.gov/pls/imis/sic_manual.display?id=568&amp;tab=description" TargetMode="External"/><Relationship Id="rId49" Type="http://schemas.openxmlformats.org/officeDocument/2006/relationships/hyperlink" Target="https://www.osha.gov/pls/imis/sic_manual.display?id=1003&amp;tab=description" TargetMode="External"/><Relationship Id="rId114" Type="http://schemas.openxmlformats.org/officeDocument/2006/relationships/hyperlink" Target="https://www.osha.gov/pls/imis/sic_manual.display?id=669&amp;tab=description" TargetMode="External"/><Relationship Id="rId275" Type="http://schemas.openxmlformats.org/officeDocument/2006/relationships/hyperlink" Target="https://www.osha.gov/pls/imis/sic_manual.display?id=851&amp;tab=description" TargetMode="External"/><Relationship Id="rId296" Type="http://schemas.openxmlformats.org/officeDocument/2006/relationships/hyperlink" Target="https://www.osha.gov/pls/imis/sic_manual.display?id=871&amp;tab=description" TargetMode="External"/><Relationship Id="rId300" Type="http://schemas.openxmlformats.org/officeDocument/2006/relationships/hyperlink" Target="https://www.osha.gov/pls/imis/sic_manual.display?id=875&amp;tab=description" TargetMode="External"/><Relationship Id="rId60" Type="http://schemas.openxmlformats.org/officeDocument/2006/relationships/hyperlink" Target="https://www.osha.gov/pls/imis/sic_manual.display?id=614&amp;tab=description" TargetMode="External"/><Relationship Id="rId81" Type="http://schemas.openxmlformats.org/officeDocument/2006/relationships/hyperlink" Target="https://www.osha.gov/pls/imis/sic_manual.display?id=635&amp;tab=description" TargetMode="External"/><Relationship Id="rId135" Type="http://schemas.openxmlformats.org/officeDocument/2006/relationships/hyperlink" Target="https://www.osha.gov/pls/imis/sic_manual.display?id=707&amp;tab=description" TargetMode="External"/><Relationship Id="rId156" Type="http://schemas.openxmlformats.org/officeDocument/2006/relationships/hyperlink" Target="https://www.osha.gov/pls/imis/sic_manual.display?id=729&amp;tab=description" TargetMode="External"/><Relationship Id="rId177" Type="http://schemas.openxmlformats.org/officeDocument/2006/relationships/hyperlink" Target="https://www.osha.gov/pls/imis/sic_manual.display?id=752&amp;tab=description" TargetMode="External"/><Relationship Id="rId198" Type="http://schemas.openxmlformats.org/officeDocument/2006/relationships/hyperlink" Target="https://www.osha.gov/pls/imis/sic_manual.display?id=773&amp;tab=description" TargetMode="External"/><Relationship Id="rId321" Type="http://schemas.openxmlformats.org/officeDocument/2006/relationships/hyperlink" Target="https://www.osha.gov/pls/imis/sic_manual.display?id=695&amp;tab=description" TargetMode="External"/><Relationship Id="rId342" Type="http://schemas.openxmlformats.org/officeDocument/2006/relationships/hyperlink" Target="https://www.osha.gov/pls/imis/sic_manual.display?id=224&amp;tab=description" TargetMode="External"/><Relationship Id="rId202" Type="http://schemas.openxmlformats.org/officeDocument/2006/relationships/hyperlink" Target="https://www.osha.gov/pls/imis/sic_manual.display?id=777&amp;tab=description" TargetMode="External"/><Relationship Id="rId223" Type="http://schemas.openxmlformats.org/officeDocument/2006/relationships/hyperlink" Target="https://www.osha.gov/pls/imis/sic_manual.display?id=798&amp;tab=description" TargetMode="External"/><Relationship Id="rId244" Type="http://schemas.openxmlformats.org/officeDocument/2006/relationships/hyperlink" Target="https://www.osha.gov/pls/imis/sic_manual.display?id=819&amp;tab=description" TargetMode="External"/><Relationship Id="rId18" Type="http://schemas.openxmlformats.org/officeDocument/2006/relationships/hyperlink" Target="https://www.osha.gov/pls/imis/sic_manual.display?id=558&amp;tab=description" TargetMode="External"/><Relationship Id="rId39" Type="http://schemas.openxmlformats.org/officeDocument/2006/relationships/hyperlink" Target="https://www.osha.gov/pls/imis/sic_manual.display?id=579&amp;tab=description" TargetMode="External"/><Relationship Id="rId265" Type="http://schemas.openxmlformats.org/officeDocument/2006/relationships/hyperlink" Target="https://www.osha.gov/pls/imis/sic_manual.display?id=840&amp;tab=description" TargetMode="External"/><Relationship Id="rId286" Type="http://schemas.openxmlformats.org/officeDocument/2006/relationships/hyperlink" Target="https://www.osha.gov/pls/imis/sic_manual.display?id=862&amp;tab=description" TargetMode="External"/><Relationship Id="rId50" Type="http://schemas.openxmlformats.org/officeDocument/2006/relationships/hyperlink" Target="https://www.osha.gov/pls/imis/sic_manual.display?id=603&amp;tab=description" TargetMode="External"/><Relationship Id="rId104" Type="http://schemas.openxmlformats.org/officeDocument/2006/relationships/hyperlink" Target="https://www.osha.gov/pls/imis/sic_manual.display?id=659&amp;tab=description" TargetMode="External"/><Relationship Id="rId125" Type="http://schemas.openxmlformats.org/officeDocument/2006/relationships/hyperlink" Target="https://www.osha.gov/pls/imis/sic_manual.display?id=682&amp;tab=description" TargetMode="External"/><Relationship Id="rId146" Type="http://schemas.openxmlformats.org/officeDocument/2006/relationships/hyperlink" Target="https://www.osha.gov/pls/imis/sic_manual.display?id=719&amp;tab=description" TargetMode="External"/><Relationship Id="rId167" Type="http://schemas.openxmlformats.org/officeDocument/2006/relationships/hyperlink" Target="https://www.osha.gov/pls/imis/sic_manual.display?id=742&amp;tab=description" TargetMode="External"/><Relationship Id="rId188" Type="http://schemas.openxmlformats.org/officeDocument/2006/relationships/hyperlink" Target="https://www.osha.gov/pls/imis/sic_manual.display?id=763&amp;tab=description" TargetMode="External"/><Relationship Id="rId311" Type="http://schemas.openxmlformats.org/officeDocument/2006/relationships/hyperlink" Target="https://www.osha.gov/pls/imis/sic_manual.display?id=886&amp;tab=description" TargetMode="External"/><Relationship Id="rId332" Type="http://schemas.openxmlformats.org/officeDocument/2006/relationships/hyperlink" Target="https://www.osha.gov/pls/imis/sic_manual.display?id=139&amp;tab=description" TargetMode="External"/><Relationship Id="rId71" Type="http://schemas.openxmlformats.org/officeDocument/2006/relationships/hyperlink" Target="https://www.osha.gov/pls/imis/sic_manual.display?id=624&amp;tab=description" TargetMode="External"/><Relationship Id="rId92" Type="http://schemas.openxmlformats.org/officeDocument/2006/relationships/hyperlink" Target="https://www.osha.gov/pls/imis/sic_manual.display?id=647&amp;tab=description" TargetMode="External"/><Relationship Id="rId213" Type="http://schemas.openxmlformats.org/officeDocument/2006/relationships/hyperlink" Target="https://www.osha.gov/pls/imis/sic_manual.display?id=788&amp;tab=description" TargetMode="External"/><Relationship Id="rId234" Type="http://schemas.openxmlformats.org/officeDocument/2006/relationships/hyperlink" Target="https://www.osha.gov/pls/imis/sic_manual.display?id=809&amp;tab=description" TargetMode="External"/><Relationship Id="rId2" Type="http://schemas.openxmlformats.org/officeDocument/2006/relationships/hyperlink" Target="https://www.osha.gov/pls/imis/sic_manual.display?id=540&amp;tab=description" TargetMode="External"/><Relationship Id="rId29" Type="http://schemas.openxmlformats.org/officeDocument/2006/relationships/hyperlink" Target="https://www.osha.gov/pls/imis/sic_manual.display?id=569&amp;tab=description" TargetMode="External"/><Relationship Id="rId255" Type="http://schemas.openxmlformats.org/officeDocument/2006/relationships/hyperlink" Target="https://www.osha.gov/pls/imis/sic_manual.display?id=830&amp;tab=description" TargetMode="External"/><Relationship Id="rId276" Type="http://schemas.openxmlformats.org/officeDocument/2006/relationships/hyperlink" Target="https://www.osha.gov/pls/imis/sic_manual.display?id=852&amp;tab=description" TargetMode="External"/><Relationship Id="rId297" Type="http://schemas.openxmlformats.org/officeDocument/2006/relationships/hyperlink" Target="https://www.osha.gov/pls/imis/sic_manual.display?id=872&amp;tab=description" TargetMode="External"/><Relationship Id="rId40" Type="http://schemas.openxmlformats.org/officeDocument/2006/relationships/hyperlink" Target="https://www.osha.gov/pls/imis/sic_manual.display?id=580&amp;tab=description" TargetMode="External"/><Relationship Id="rId115" Type="http://schemas.openxmlformats.org/officeDocument/2006/relationships/hyperlink" Target="https://www.osha.gov/pls/imis/sic_manual.display?id=670&amp;tab=description" TargetMode="External"/><Relationship Id="rId136" Type="http://schemas.openxmlformats.org/officeDocument/2006/relationships/hyperlink" Target="https://www.osha.gov/pls/imis/sic_manual.display?id=708&amp;tab=description" TargetMode="External"/><Relationship Id="rId157" Type="http://schemas.openxmlformats.org/officeDocument/2006/relationships/hyperlink" Target="https://www.osha.gov/pls/imis/sic_manual.display?id=730&amp;tab=description" TargetMode="External"/><Relationship Id="rId178" Type="http://schemas.openxmlformats.org/officeDocument/2006/relationships/hyperlink" Target="https://www.osha.gov/pls/imis/sic_manual.display?id=753&amp;tab=description" TargetMode="External"/><Relationship Id="rId301" Type="http://schemas.openxmlformats.org/officeDocument/2006/relationships/hyperlink" Target="https://www.osha.gov/pls/imis/sic_manual.display?id=876&amp;tab=description" TargetMode="External"/><Relationship Id="rId322" Type="http://schemas.openxmlformats.org/officeDocument/2006/relationships/hyperlink" Target="https://www.osha.gov/pls/imis/sic_manual.display?id=699&amp;tab=description" TargetMode="External"/><Relationship Id="rId343" Type="http://schemas.openxmlformats.org/officeDocument/2006/relationships/hyperlink" Target="https://www.osha.gov/pls/imis/sic_manual.display?id=227&amp;tab=description" TargetMode="External"/><Relationship Id="rId61" Type="http://schemas.openxmlformats.org/officeDocument/2006/relationships/hyperlink" Target="https://www.osha.gov/pls/imis/sic_manual.display?id=615&amp;tab=description" TargetMode="External"/><Relationship Id="rId82" Type="http://schemas.openxmlformats.org/officeDocument/2006/relationships/hyperlink" Target="https://www.osha.gov/pls/imis/sic_manual.display?id=636&amp;tab=description" TargetMode="External"/><Relationship Id="rId199" Type="http://schemas.openxmlformats.org/officeDocument/2006/relationships/hyperlink" Target="https://www.osha.gov/pls/imis/sic_manual.display?id=774&amp;tab=description" TargetMode="External"/><Relationship Id="rId203" Type="http://schemas.openxmlformats.org/officeDocument/2006/relationships/hyperlink" Target="https://www.osha.gov/pls/imis/sic_manual.display?id=778&amp;tab=description" TargetMode="External"/><Relationship Id="rId19" Type="http://schemas.openxmlformats.org/officeDocument/2006/relationships/hyperlink" Target="https://www.osha.gov/pls/imis/sic_manual.display?id=559&amp;tab=description" TargetMode="External"/><Relationship Id="rId224" Type="http://schemas.openxmlformats.org/officeDocument/2006/relationships/hyperlink" Target="https://www.osha.gov/pls/imis/sic_manual.display?id=799&amp;tab=description" TargetMode="External"/><Relationship Id="rId245" Type="http://schemas.openxmlformats.org/officeDocument/2006/relationships/hyperlink" Target="https://www.osha.gov/pls/imis/sic_manual.display?id=820&amp;tab=description" TargetMode="External"/><Relationship Id="rId266" Type="http://schemas.openxmlformats.org/officeDocument/2006/relationships/hyperlink" Target="https://www.osha.gov/pls/imis/sic_manual.display?id=841&amp;tab=description" TargetMode="External"/><Relationship Id="rId287" Type="http://schemas.openxmlformats.org/officeDocument/2006/relationships/hyperlink" Target="https://www.osha.gov/pls/imis/sic_manual.display?id=1011&amp;tab=description" TargetMode="External"/><Relationship Id="rId30" Type="http://schemas.openxmlformats.org/officeDocument/2006/relationships/hyperlink" Target="https://www.osha.gov/pls/imis/sic_manual.display?id=570&amp;tab=description" TargetMode="External"/><Relationship Id="rId105" Type="http://schemas.openxmlformats.org/officeDocument/2006/relationships/hyperlink" Target="https://www.osha.gov/pls/imis/sic_manual.display?id=660&amp;tab=description" TargetMode="External"/><Relationship Id="rId126" Type="http://schemas.openxmlformats.org/officeDocument/2006/relationships/hyperlink" Target="https://www.osha.gov/pls/imis/sic_manual.display?id=683&amp;tab=description" TargetMode="External"/><Relationship Id="rId147" Type="http://schemas.openxmlformats.org/officeDocument/2006/relationships/hyperlink" Target="https://www.osha.gov/pls/imis/sic_manual.display?id=720&amp;tab=description" TargetMode="External"/><Relationship Id="rId168" Type="http://schemas.openxmlformats.org/officeDocument/2006/relationships/hyperlink" Target="https://www.osha.gov/pls/imis/sic_manual.display?id=743&amp;tab=description" TargetMode="External"/><Relationship Id="rId312" Type="http://schemas.openxmlformats.org/officeDocument/2006/relationships/hyperlink" Target="https://www.osha.gov/pls/imis/sic_manual.display?id=887&amp;tab=description" TargetMode="External"/><Relationship Id="rId333" Type="http://schemas.openxmlformats.org/officeDocument/2006/relationships/hyperlink" Target="https://www.osha.gov/pls/imis/sic_manual.display?id=140&amp;tab=description" TargetMode="External"/><Relationship Id="rId51" Type="http://schemas.openxmlformats.org/officeDocument/2006/relationships/hyperlink" Target="https://www.osha.gov/pls/imis/sic_manual.display?id=604&amp;tab=description" TargetMode="External"/><Relationship Id="rId72" Type="http://schemas.openxmlformats.org/officeDocument/2006/relationships/hyperlink" Target="https://www.osha.gov/pls/imis/sic_manual.display?id=625&amp;tab=description" TargetMode="External"/><Relationship Id="rId93" Type="http://schemas.openxmlformats.org/officeDocument/2006/relationships/hyperlink" Target="https://www.osha.gov/pls/imis/sic_manual.display?id=648&amp;tab=description" TargetMode="External"/><Relationship Id="rId189" Type="http://schemas.openxmlformats.org/officeDocument/2006/relationships/hyperlink" Target="https://www.osha.gov/pls/imis/sic_manual.display?id=764&amp;tab=description" TargetMode="External"/><Relationship Id="rId3" Type="http://schemas.openxmlformats.org/officeDocument/2006/relationships/hyperlink" Target="https://www.osha.gov/pls/imis/sic_manual.display?id=541&amp;tab=description" TargetMode="External"/><Relationship Id="rId214" Type="http://schemas.openxmlformats.org/officeDocument/2006/relationships/hyperlink" Target="https://www.osha.gov/pls/imis/sic_manual.display?id=789&amp;tab=description" TargetMode="External"/><Relationship Id="rId235" Type="http://schemas.openxmlformats.org/officeDocument/2006/relationships/hyperlink" Target="https://www.osha.gov/pls/imis/sic_manual.display?id=810&amp;tab=description" TargetMode="External"/><Relationship Id="rId256" Type="http://schemas.openxmlformats.org/officeDocument/2006/relationships/hyperlink" Target="https://www.osha.gov/pls/imis/sic_manual.display?id=831&amp;tab=description" TargetMode="External"/><Relationship Id="rId277" Type="http://schemas.openxmlformats.org/officeDocument/2006/relationships/hyperlink" Target="https://www.osha.gov/pls/imis/sic_manual.display?id=853&amp;tab=description" TargetMode="External"/><Relationship Id="rId298" Type="http://schemas.openxmlformats.org/officeDocument/2006/relationships/hyperlink" Target="https://www.osha.gov/pls/imis/sic_manual.display?id=873&amp;tab=description"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drawing" Target="../drawings/drawing15.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6.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drawing" Target="../drawings/drawing17.xml"/><Relationship Id="rId2" Type="http://schemas.openxmlformats.org/officeDocument/2006/relationships/pivotTable" Target="../pivotTables/pivotTable4.xml"/><Relationship Id="rId16" Type="http://schemas.openxmlformats.org/officeDocument/2006/relationships/pivotTable" Target="../pivotTables/pivotTable18.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table" Target="../tables/table25.xml"/><Relationship Id="rId7" Type="http://schemas.openxmlformats.org/officeDocument/2006/relationships/table" Target="../tables/table29.xml"/><Relationship Id="rId2" Type="http://schemas.openxmlformats.org/officeDocument/2006/relationships/table" Target="../tables/table24.xml"/><Relationship Id="rId1" Type="http://schemas.openxmlformats.org/officeDocument/2006/relationships/drawing" Target="../drawings/drawing18.xml"/><Relationship Id="rId6" Type="http://schemas.openxmlformats.org/officeDocument/2006/relationships/table" Target="../tables/table28.xml"/><Relationship Id="rId5" Type="http://schemas.openxmlformats.org/officeDocument/2006/relationships/table" Target="../tables/table27.xml"/><Relationship Id="rId10" Type="http://schemas.openxmlformats.org/officeDocument/2006/relationships/table" Target="../tables/table32.xml"/><Relationship Id="rId4" Type="http://schemas.openxmlformats.org/officeDocument/2006/relationships/table" Target="../tables/table26.xml"/><Relationship Id="rId9" Type="http://schemas.openxmlformats.org/officeDocument/2006/relationships/table" Target="../tables/table31.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drawing" Target="../drawings/drawing20.xml"/><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table" Target="../tables/table39.xml"/><Relationship Id="rId7" Type="http://schemas.openxmlformats.org/officeDocument/2006/relationships/table" Target="../tables/table43.xml"/><Relationship Id="rId2" Type="http://schemas.openxmlformats.org/officeDocument/2006/relationships/table" Target="../tables/table38.xml"/><Relationship Id="rId1" Type="http://schemas.openxmlformats.org/officeDocument/2006/relationships/drawing" Target="../drawings/drawing22.xml"/><Relationship Id="rId6" Type="http://schemas.openxmlformats.org/officeDocument/2006/relationships/table" Target="../tables/table42.xml"/><Relationship Id="rId5" Type="http://schemas.openxmlformats.org/officeDocument/2006/relationships/table" Target="../tables/table41.xml"/><Relationship Id="rId4" Type="http://schemas.openxmlformats.org/officeDocument/2006/relationships/table" Target="../tables/table40.xml"/><Relationship Id="rId9" Type="http://schemas.openxmlformats.org/officeDocument/2006/relationships/table" Target="../tables/table45.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 Id="rId4"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5" Type="http://schemas.openxmlformats.org/officeDocument/2006/relationships/table" Target="../tables/table46.xml"/><Relationship Id="rId4"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table" Target="../tables/table47.xml"/><Relationship Id="rId5" Type="http://schemas.openxmlformats.org/officeDocument/2006/relationships/drawing" Target="../drawings/drawing25.xml"/><Relationship Id="rId4" Type="http://schemas.openxmlformats.org/officeDocument/2006/relationships/pivotTable" Target="../pivotTables/pivotTable34.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5" Type="http://schemas.openxmlformats.org/officeDocument/2006/relationships/table" Target="../tables/table48.xml"/><Relationship Id="rId4"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40.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drawing" Target="../drawings/drawing27.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table" Target="../tables/table49.xml"/><Relationship Id="rId6" Type="http://schemas.openxmlformats.org/officeDocument/2006/relationships/table" Target="../tables/table54.xml"/><Relationship Id="rId5" Type="http://schemas.openxmlformats.org/officeDocument/2006/relationships/table" Target="../tables/table53.xml"/><Relationship Id="rId4" Type="http://schemas.openxmlformats.org/officeDocument/2006/relationships/table" Target="../tables/table52.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ivotTable" Target="../pivotTables/pivotTable44.xml"/><Relationship Id="rId1" Type="http://schemas.openxmlformats.org/officeDocument/2006/relationships/pivotTable" Target="../pivotTables/pivotTable43.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drawing" Target="../drawings/drawing29.xml"/><Relationship Id="rId1" Type="http://schemas.openxmlformats.org/officeDocument/2006/relationships/pivotTable" Target="../pivotTables/pivotTable45.xml"/><Relationship Id="rId5" Type="http://schemas.openxmlformats.org/officeDocument/2006/relationships/table" Target="../tables/table57.xml"/><Relationship Id="rId4" Type="http://schemas.openxmlformats.org/officeDocument/2006/relationships/table" Target="../tables/table56.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58.xml"/><Relationship Id="rId7" Type="http://schemas.openxmlformats.org/officeDocument/2006/relationships/table" Target="../tables/table62.xml"/><Relationship Id="rId2" Type="http://schemas.openxmlformats.org/officeDocument/2006/relationships/drawing" Target="../drawings/drawing30.xml"/><Relationship Id="rId1" Type="http://schemas.openxmlformats.org/officeDocument/2006/relationships/pivotTable" Target="../pivotTables/pivotTable46.xml"/><Relationship Id="rId6" Type="http://schemas.openxmlformats.org/officeDocument/2006/relationships/table" Target="../tables/table61.xml"/><Relationship Id="rId5" Type="http://schemas.openxmlformats.org/officeDocument/2006/relationships/table" Target="../tables/table60.xml"/><Relationship Id="rId4" Type="http://schemas.openxmlformats.org/officeDocument/2006/relationships/table" Target="../tables/table59.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63.xml"/><Relationship Id="rId2" Type="http://schemas.openxmlformats.org/officeDocument/2006/relationships/drawing" Target="../drawings/drawing31.xml"/><Relationship Id="rId1" Type="http://schemas.openxmlformats.org/officeDocument/2006/relationships/pivotTable" Target="../pivotTables/pivotTable47.xml"/><Relationship Id="rId5" Type="http://schemas.openxmlformats.org/officeDocument/2006/relationships/table" Target="../tables/table65.xml"/><Relationship Id="rId4" Type="http://schemas.openxmlformats.org/officeDocument/2006/relationships/table" Target="../tables/table64.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66.xml"/><Relationship Id="rId2" Type="http://schemas.openxmlformats.org/officeDocument/2006/relationships/drawing" Target="../drawings/drawing32.xml"/><Relationship Id="rId1" Type="http://schemas.openxmlformats.org/officeDocument/2006/relationships/pivotTable" Target="../pivotTables/pivotTable48.xml"/><Relationship Id="rId5" Type="http://schemas.openxmlformats.org/officeDocument/2006/relationships/table" Target="../tables/table68.xml"/><Relationship Id="rId4" Type="http://schemas.openxmlformats.org/officeDocument/2006/relationships/table" Target="../tables/table67.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71.xml"/><Relationship Id="rId2" Type="http://schemas.openxmlformats.org/officeDocument/2006/relationships/table" Target="../tables/table70.xml"/><Relationship Id="rId1" Type="http://schemas.openxmlformats.org/officeDocument/2006/relationships/table" Target="../tables/table69.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5" Type="http://schemas.openxmlformats.org/officeDocument/2006/relationships/table" Target="../tables/table72.xml"/><Relationship Id="rId4"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5" Type="http://schemas.openxmlformats.org/officeDocument/2006/relationships/drawing" Target="../drawings/drawing34.xml"/><Relationship Id="rId4" Type="http://schemas.openxmlformats.org/officeDocument/2006/relationships/pivotTable" Target="../pivotTables/pivotTable55.xml"/></Relationships>
</file>

<file path=xl/worksheets/_rels/sheet38.xml.rels><?xml version="1.0" encoding="UTF-8" standalone="yes"?>
<Relationships xmlns="http://schemas.openxmlformats.org/package/2006/relationships"><Relationship Id="rId8" Type="http://schemas.openxmlformats.org/officeDocument/2006/relationships/pivotTable" Target="../pivotTables/pivotTable63.xml"/><Relationship Id="rId3" Type="http://schemas.openxmlformats.org/officeDocument/2006/relationships/pivotTable" Target="../pivotTables/pivotTable58.xml"/><Relationship Id="rId7" Type="http://schemas.openxmlformats.org/officeDocument/2006/relationships/pivotTable" Target="../pivotTables/pivotTable62.xml"/><Relationship Id="rId2" Type="http://schemas.openxmlformats.org/officeDocument/2006/relationships/pivotTable" Target="../pivotTables/pivotTable57.xml"/><Relationship Id="rId1" Type="http://schemas.openxmlformats.org/officeDocument/2006/relationships/pivotTable" Target="../pivotTables/pivotTable56.xml"/><Relationship Id="rId6" Type="http://schemas.openxmlformats.org/officeDocument/2006/relationships/pivotTable" Target="../pivotTables/pivotTable61.xml"/><Relationship Id="rId5" Type="http://schemas.openxmlformats.org/officeDocument/2006/relationships/pivotTable" Target="../pivotTables/pivotTable60.xml"/><Relationship Id="rId4" Type="http://schemas.openxmlformats.org/officeDocument/2006/relationships/pivotTable" Target="../pivotTables/pivotTable59.xml"/><Relationship Id="rId9"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pageSetUpPr fitToPage="1"/>
  </sheetPr>
  <dimension ref="A1:A72"/>
  <sheetViews>
    <sheetView showGridLines="0" topLeftCell="A71" zoomScale="66" zoomScaleNormal="66" zoomScaleSheetLayoutView="70" workbookViewId="0">
      <selection activeCell="O93" sqref="O93"/>
    </sheetView>
  </sheetViews>
  <sheetFormatPr defaultColWidth="9.140625" defaultRowHeight="15" x14ac:dyDescent="0.25"/>
  <cols>
    <col min="1" max="16384" width="9.140625" style="14"/>
  </cols>
  <sheetData>
    <row r="1" spans="1:1" x14ac:dyDescent="0.25">
      <c r="A1" s="14" t="s">
        <v>617</v>
      </c>
    </row>
    <row r="71" ht="3" customHeight="1" x14ac:dyDescent="0.25"/>
    <row r="72" ht="6" customHeight="1" x14ac:dyDescent="0.25"/>
  </sheetData>
  <pageMargins left="0.25" right="0.25" top="0.75" bottom="0.75" header="0.3" footer="0.3"/>
  <pageSetup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F0"/>
    <pageSetUpPr fitToPage="1"/>
  </sheetPr>
  <dimension ref="A1:AM31"/>
  <sheetViews>
    <sheetView showGridLines="0" zoomScale="60" zoomScaleNormal="60" zoomScaleSheetLayoutView="70" workbookViewId="0"/>
  </sheetViews>
  <sheetFormatPr defaultColWidth="9.140625" defaultRowHeight="15" x14ac:dyDescent="0.25"/>
  <cols>
    <col min="1" max="34" width="9.140625" style="14"/>
    <col min="35" max="35" width="2.7109375" style="14" customWidth="1"/>
    <col min="36" max="37" width="9.140625" style="14"/>
    <col min="38" max="38" width="26.5703125" style="14" customWidth="1"/>
    <col min="39" max="39" width="16.42578125" style="14" bestFit="1" customWidth="1"/>
    <col min="40" max="16384" width="9.140625" style="14"/>
  </cols>
  <sheetData>
    <row r="1" spans="1:39" x14ac:dyDescent="0.25">
      <c r="A1" s="14" t="s">
        <v>617</v>
      </c>
    </row>
    <row r="2" spans="1:39" ht="18.75" x14ac:dyDescent="0.3">
      <c r="AJ2" s="520" t="s">
        <v>653</v>
      </c>
      <c r="AK2" s="521"/>
      <c r="AL2" s="521"/>
      <c r="AM2" s="522">
        <v>1</v>
      </c>
    </row>
    <row r="4" spans="1:39" ht="18.75" x14ac:dyDescent="0.3">
      <c r="AJ4" s="520" t="s">
        <v>673</v>
      </c>
      <c r="AK4" s="521"/>
      <c r="AL4" s="521"/>
      <c r="AM4" s="522" t="s">
        <v>674</v>
      </c>
    </row>
    <row r="31" spans="28:28" x14ac:dyDescent="0.25">
      <c r="AB31" s="572"/>
    </row>
  </sheetData>
  <pageMargins left="0.25" right="0.25" top="0.75" bottom="0.75" header="0.3" footer="0.3"/>
  <pageSetup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
                <anchor moveWithCells="1" sizeWithCells="1">
                  <from>
                    <xdr:col>32</xdr:col>
                    <xdr:colOff>304800</xdr:colOff>
                    <xdr:row>1</xdr:row>
                    <xdr:rowOff>57150</xdr:rowOff>
                  </from>
                  <to>
                    <xdr:col>33</xdr:col>
                    <xdr:colOff>581025</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pageSetUpPr fitToPage="1"/>
  </sheetPr>
  <dimension ref="A5:F46"/>
  <sheetViews>
    <sheetView showGridLines="0" topLeftCell="A4" zoomScale="69" zoomScaleNormal="69" workbookViewId="0"/>
  </sheetViews>
  <sheetFormatPr defaultRowHeight="15" x14ac:dyDescent="0.25"/>
  <cols>
    <col min="2" max="2" width="88.7109375" customWidth="1"/>
    <col min="3" max="3" width="0" hidden="1" customWidth="1"/>
    <col min="4" max="4" width="20.7109375" style="6" bestFit="1" customWidth="1"/>
    <col min="5" max="5" width="18.7109375" customWidth="1"/>
    <col min="6" max="6" width="12.85546875" customWidth="1"/>
    <col min="256" max="256" width="0.85546875" customWidth="1"/>
    <col min="258" max="258" width="75.28515625" customWidth="1"/>
    <col min="259" max="259" width="0" hidden="1" customWidth="1"/>
    <col min="260" max="260" width="10.85546875" customWidth="1"/>
    <col min="512" max="512" width="0.85546875" customWidth="1"/>
    <col min="514" max="514" width="75.28515625" customWidth="1"/>
    <col min="515" max="515" width="0" hidden="1" customWidth="1"/>
    <col min="516" max="516" width="10.85546875" customWidth="1"/>
    <col min="768" max="768" width="0.85546875" customWidth="1"/>
    <col min="770" max="770" width="75.28515625" customWidth="1"/>
    <col min="771" max="771" width="0" hidden="1" customWidth="1"/>
    <col min="772" max="772" width="10.85546875" customWidth="1"/>
    <col min="1024" max="1024" width="0.85546875" customWidth="1"/>
    <col min="1026" max="1026" width="75.28515625" customWidth="1"/>
    <col min="1027" max="1027" width="0" hidden="1" customWidth="1"/>
    <col min="1028" max="1028" width="10.85546875" customWidth="1"/>
    <col min="1280" max="1280" width="0.85546875" customWidth="1"/>
    <col min="1282" max="1282" width="75.28515625" customWidth="1"/>
    <col min="1283" max="1283" width="0" hidden="1" customWidth="1"/>
    <col min="1284" max="1284" width="10.85546875" customWidth="1"/>
    <col min="1536" max="1536" width="0.85546875" customWidth="1"/>
    <col min="1538" max="1538" width="75.28515625" customWidth="1"/>
    <col min="1539" max="1539" width="0" hidden="1" customWidth="1"/>
    <col min="1540" max="1540" width="10.85546875" customWidth="1"/>
    <col min="1792" max="1792" width="0.85546875" customWidth="1"/>
    <col min="1794" max="1794" width="75.28515625" customWidth="1"/>
    <col min="1795" max="1795" width="0" hidden="1" customWidth="1"/>
    <col min="1796" max="1796" width="10.85546875" customWidth="1"/>
    <col min="2048" max="2048" width="0.85546875" customWidth="1"/>
    <col min="2050" max="2050" width="75.28515625" customWidth="1"/>
    <col min="2051" max="2051" width="0" hidden="1" customWidth="1"/>
    <col min="2052" max="2052" width="10.85546875" customWidth="1"/>
    <col min="2304" max="2304" width="0.85546875" customWidth="1"/>
    <col min="2306" max="2306" width="75.28515625" customWidth="1"/>
    <col min="2307" max="2307" width="0" hidden="1" customWidth="1"/>
    <col min="2308" max="2308" width="10.85546875" customWidth="1"/>
    <col min="2560" max="2560" width="0.85546875" customWidth="1"/>
    <col min="2562" max="2562" width="75.28515625" customWidth="1"/>
    <col min="2563" max="2563" width="0" hidden="1" customWidth="1"/>
    <col min="2564" max="2564" width="10.85546875" customWidth="1"/>
    <col min="2816" max="2816" width="0.85546875" customWidth="1"/>
    <col min="2818" max="2818" width="75.28515625" customWidth="1"/>
    <col min="2819" max="2819" width="0" hidden="1" customWidth="1"/>
    <col min="2820" max="2820" width="10.85546875" customWidth="1"/>
    <col min="3072" max="3072" width="0.85546875" customWidth="1"/>
    <col min="3074" max="3074" width="75.28515625" customWidth="1"/>
    <col min="3075" max="3075" width="0" hidden="1" customWidth="1"/>
    <col min="3076" max="3076" width="10.85546875" customWidth="1"/>
    <col min="3328" max="3328" width="0.85546875" customWidth="1"/>
    <col min="3330" max="3330" width="75.28515625" customWidth="1"/>
    <col min="3331" max="3331" width="0" hidden="1" customWidth="1"/>
    <col min="3332" max="3332" width="10.85546875" customWidth="1"/>
    <col min="3584" max="3584" width="0.85546875" customWidth="1"/>
    <col min="3586" max="3586" width="75.28515625" customWidth="1"/>
    <col min="3587" max="3587" width="0" hidden="1" customWidth="1"/>
    <col min="3588" max="3588" width="10.85546875" customWidth="1"/>
    <col min="3840" max="3840" width="0.85546875" customWidth="1"/>
    <col min="3842" max="3842" width="75.28515625" customWidth="1"/>
    <col min="3843" max="3843" width="0" hidden="1" customWidth="1"/>
    <col min="3844" max="3844" width="10.85546875" customWidth="1"/>
    <col min="4096" max="4096" width="0.85546875" customWidth="1"/>
    <col min="4098" max="4098" width="75.28515625" customWidth="1"/>
    <col min="4099" max="4099" width="0" hidden="1" customWidth="1"/>
    <col min="4100" max="4100" width="10.85546875" customWidth="1"/>
    <col min="4352" max="4352" width="0.85546875" customWidth="1"/>
    <col min="4354" max="4354" width="75.28515625" customWidth="1"/>
    <col min="4355" max="4355" width="0" hidden="1" customWidth="1"/>
    <col min="4356" max="4356" width="10.85546875" customWidth="1"/>
    <col min="4608" max="4608" width="0.85546875" customWidth="1"/>
    <col min="4610" max="4610" width="75.28515625" customWidth="1"/>
    <col min="4611" max="4611" width="0" hidden="1" customWidth="1"/>
    <col min="4612" max="4612" width="10.85546875" customWidth="1"/>
    <col min="4864" max="4864" width="0.85546875" customWidth="1"/>
    <col min="4866" max="4866" width="75.28515625" customWidth="1"/>
    <col min="4867" max="4867" width="0" hidden="1" customWidth="1"/>
    <col min="4868" max="4868" width="10.85546875" customWidth="1"/>
    <col min="5120" max="5120" width="0.85546875" customWidth="1"/>
    <col min="5122" max="5122" width="75.28515625" customWidth="1"/>
    <col min="5123" max="5123" width="0" hidden="1" customWidth="1"/>
    <col min="5124" max="5124" width="10.85546875" customWidth="1"/>
    <col min="5376" max="5376" width="0.85546875" customWidth="1"/>
    <col min="5378" max="5378" width="75.28515625" customWidth="1"/>
    <col min="5379" max="5379" width="0" hidden="1" customWidth="1"/>
    <col min="5380" max="5380" width="10.85546875" customWidth="1"/>
    <col min="5632" max="5632" width="0.85546875" customWidth="1"/>
    <col min="5634" max="5634" width="75.28515625" customWidth="1"/>
    <col min="5635" max="5635" width="0" hidden="1" customWidth="1"/>
    <col min="5636" max="5636" width="10.85546875" customWidth="1"/>
    <col min="5888" max="5888" width="0.85546875" customWidth="1"/>
    <col min="5890" max="5890" width="75.28515625" customWidth="1"/>
    <col min="5891" max="5891" width="0" hidden="1" customWidth="1"/>
    <col min="5892" max="5892" width="10.85546875" customWidth="1"/>
    <col min="6144" max="6144" width="0.85546875" customWidth="1"/>
    <col min="6146" max="6146" width="75.28515625" customWidth="1"/>
    <col min="6147" max="6147" width="0" hidden="1" customWidth="1"/>
    <col min="6148" max="6148" width="10.85546875" customWidth="1"/>
    <col min="6400" max="6400" width="0.85546875" customWidth="1"/>
    <col min="6402" max="6402" width="75.28515625" customWidth="1"/>
    <col min="6403" max="6403" width="0" hidden="1" customWidth="1"/>
    <col min="6404" max="6404" width="10.85546875" customWidth="1"/>
    <col min="6656" max="6656" width="0.85546875" customWidth="1"/>
    <col min="6658" max="6658" width="75.28515625" customWidth="1"/>
    <col min="6659" max="6659" width="0" hidden="1" customWidth="1"/>
    <col min="6660" max="6660" width="10.85546875" customWidth="1"/>
    <col min="6912" max="6912" width="0.85546875" customWidth="1"/>
    <col min="6914" max="6914" width="75.28515625" customWidth="1"/>
    <col min="6915" max="6915" width="0" hidden="1" customWidth="1"/>
    <col min="6916" max="6916" width="10.85546875" customWidth="1"/>
    <col min="7168" max="7168" width="0.85546875" customWidth="1"/>
    <col min="7170" max="7170" width="75.28515625" customWidth="1"/>
    <col min="7171" max="7171" width="0" hidden="1" customWidth="1"/>
    <col min="7172" max="7172" width="10.85546875" customWidth="1"/>
    <col min="7424" max="7424" width="0.85546875" customWidth="1"/>
    <col min="7426" max="7426" width="75.28515625" customWidth="1"/>
    <col min="7427" max="7427" width="0" hidden="1" customWidth="1"/>
    <col min="7428" max="7428" width="10.85546875" customWidth="1"/>
    <col min="7680" max="7680" width="0.85546875" customWidth="1"/>
    <col min="7682" max="7682" width="75.28515625" customWidth="1"/>
    <col min="7683" max="7683" width="0" hidden="1" customWidth="1"/>
    <col min="7684" max="7684" width="10.85546875" customWidth="1"/>
    <col min="7936" max="7936" width="0.85546875" customWidth="1"/>
    <col min="7938" max="7938" width="75.28515625" customWidth="1"/>
    <col min="7939" max="7939" width="0" hidden="1" customWidth="1"/>
    <col min="7940" max="7940" width="10.85546875" customWidth="1"/>
    <col min="8192" max="8192" width="0.85546875" customWidth="1"/>
    <col min="8194" max="8194" width="75.28515625" customWidth="1"/>
    <col min="8195" max="8195" width="0" hidden="1" customWidth="1"/>
    <col min="8196" max="8196" width="10.85546875" customWidth="1"/>
    <col min="8448" max="8448" width="0.85546875" customWidth="1"/>
    <col min="8450" max="8450" width="75.28515625" customWidth="1"/>
    <col min="8451" max="8451" width="0" hidden="1" customWidth="1"/>
    <col min="8452" max="8452" width="10.85546875" customWidth="1"/>
    <col min="8704" max="8704" width="0.85546875" customWidth="1"/>
    <col min="8706" max="8706" width="75.28515625" customWidth="1"/>
    <col min="8707" max="8707" width="0" hidden="1" customWidth="1"/>
    <col min="8708" max="8708" width="10.85546875" customWidth="1"/>
    <col min="8960" max="8960" width="0.85546875" customWidth="1"/>
    <col min="8962" max="8962" width="75.28515625" customWidth="1"/>
    <col min="8963" max="8963" width="0" hidden="1" customWidth="1"/>
    <col min="8964" max="8964" width="10.85546875" customWidth="1"/>
    <col min="9216" max="9216" width="0.85546875" customWidth="1"/>
    <col min="9218" max="9218" width="75.28515625" customWidth="1"/>
    <col min="9219" max="9219" width="0" hidden="1" customWidth="1"/>
    <col min="9220" max="9220" width="10.85546875" customWidth="1"/>
    <col min="9472" max="9472" width="0.85546875" customWidth="1"/>
    <col min="9474" max="9474" width="75.28515625" customWidth="1"/>
    <col min="9475" max="9475" width="0" hidden="1" customWidth="1"/>
    <col min="9476" max="9476" width="10.85546875" customWidth="1"/>
    <col min="9728" max="9728" width="0.85546875" customWidth="1"/>
    <col min="9730" max="9730" width="75.28515625" customWidth="1"/>
    <col min="9731" max="9731" width="0" hidden="1" customWidth="1"/>
    <col min="9732" max="9732" width="10.85546875" customWidth="1"/>
    <col min="9984" max="9984" width="0.85546875" customWidth="1"/>
    <col min="9986" max="9986" width="75.28515625" customWidth="1"/>
    <col min="9987" max="9987" width="0" hidden="1" customWidth="1"/>
    <col min="9988" max="9988" width="10.85546875" customWidth="1"/>
    <col min="10240" max="10240" width="0.85546875" customWidth="1"/>
    <col min="10242" max="10242" width="75.28515625" customWidth="1"/>
    <col min="10243" max="10243" width="0" hidden="1" customWidth="1"/>
    <col min="10244" max="10244" width="10.85546875" customWidth="1"/>
    <col min="10496" max="10496" width="0.85546875" customWidth="1"/>
    <col min="10498" max="10498" width="75.28515625" customWidth="1"/>
    <col min="10499" max="10499" width="0" hidden="1" customWidth="1"/>
    <col min="10500" max="10500" width="10.85546875" customWidth="1"/>
    <col min="10752" max="10752" width="0.85546875" customWidth="1"/>
    <col min="10754" max="10754" width="75.28515625" customWidth="1"/>
    <col min="10755" max="10755" width="0" hidden="1" customWidth="1"/>
    <col min="10756" max="10756" width="10.85546875" customWidth="1"/>
    <col min="11008" max="11008" width="0.85546875" customWidth="1"/>
    <col min="11010" max="11010" width="75.28515625" customWidth="1"/>
    <col min="11011" max="11011" width="0" hidden="1" customWidth="1"/>
    <col min="11012" max="11012" width="10.85546875" customWidth="1"/>
    <col min="11264" max="11264" width="0.85546875" customWidth="1"/>
    <col min="11266" max="11266" width="75.28515625" customWidth="1"/>
    <col min="11267" max="11267" width="0" hidden="1" customWidth="1"/>
    <col min="11268" max="11268" width="10.85546875" customWidth="1"/>
    <col min="11520" max="11520" width="0.85546875" customWidth="1"/>
    <col min="11522" max="11522" width="75.28515625" customWidth="1"/>
    <col min="11523" max="11523" width="0" hidden="1" customWidth="1"/>
    <col min="11524" max="11524" width="10.85546875" customWidth="1"/>
    <col min="11776" max="11776" width="0.85546875" customWidth="1"/>
    <col min="11778" max="11778" width="75.28515625" customWidth="1"/>
    <col min="11779" max="11779" width="0" hidden="1" customWidth="1"/>
    <col min="11780" max="11780" width="10.85546875" customWidth="1"/>
    <col min="12032" max="12032" width="0.85546875" customWidth="1"/>
    <col min="12034" max="12034" width="75.28515625" customWidth="1"/>
    <col min="12035" max="12035" width="0" hidden="1" customWidth="1"/>
    <col min="12036" max="12036" width="10.85546875" customWidth="1"/>
    <col min="12288" max="12288" width="0.85546875" customWidth="1"/>
    <col min="12290" max="12290" width="75.28515625" customWidth="1"/>
    <col min="12291" max="12291" width="0" hidden="1" customWidth="1"/>
    <col min="12292" max="12292" width="10.85546875" customWidth="1"/>
    <col min="12544" max="12544" width="0.85546875" customWidth="1"/>
    <col min="12546" max="12546" width="75.28515625" customWidth="1"/>
    <col min="12547" max="12547" width="0" hidden="1" customWidth="1"/>
    <col min="12548" max="12548" width="10.85546875" customWidth="1"/>
    <col min="12800" max="12800" width="0.85546875" customWidth="1"/>
    <col min="12802" max="12802" width="75.28515625" customWidth="1"/>
    <col min="12803" max="12803" width="0" hidden="1" customWidth="1"/>
    <col min="12804" max="12804" width="10.85546875" customWidth="1"/>
    <col min="13056" max="13056" width="0.85546875" customWidth="1"/>
    <col min="13058" max="13058" width="75.28515625" customWidth="1"/>
    <col min="13059" max="13059" width="0" hidden="1" customWidth="1"/>
    <col min="13060" max="13060" width="10.85546875" customWidth="1"/>
    <col min="13312" max="13312" width="0.85546875" customWidth="1"/>
    <col min="13314" max="13314" width="75.28515625" customWidth="1"/>
    <col min="13315" max="13315" width="0" hidden="1" customWidth="1"/>
    <col min="13316" max="13316" width="10.85546875" customWidth="1"/>
    <col min="13568" max="13568" width="0.85546875" customWidth="1"/>
    <col min="13570" max="13570" width="75.28515625" customWidth="1"/>
    <col min="13571" max="13571" width="0" hidden="1" customWidth="1"/>
    <col min="13572" max="13572" width="10.85546875" customWidth="1"/>
    <col min="13824" max="13824" width="0.85546875" customWidth="1"/>
    <col min="13826" max="13826" width="75.28515625" customWidth="1"/>
    <col min="13827" max="13827" width="0" hidden="1" customWidth="1"/>
    <col min="13828" max="13828" width="10.85546875" customWidth="1"/>
    <col min="14080" max="14080" width="0.85546875" customWidth="1"/>
    <col min="14082" max="14082" width="75.28515625" customWidth="1"/>
    <col min="14083" max="14083" width="0" hidden="1" customWidth="1"/>
    <col min="14084" max="14084" width="10.85546875" customWidth="1"/>
    <col min="14336" max="14336" width="0.85546875" customWidth="1"/>
    <col min="14338" max="14338" width="75.28515625" customWidth="1"/>
    <col min="14339" max="14339" width="0" hidden="1" customWidth="1"/>
    <col min="14340" max="14340" width="10.85546875" customWidth="1"/>
    <col min="14592" max="14592" width="0.85546875" customWidth="1"/>
    <col min="14594" max="14594" width="75.28515625" customWidth="1"/>
    <col min="14595" max="14595" width="0" hidden="1" customWidth="1"/>
    <col min="14596" max="14596" width="10.85546875" customWidth="1"/>
    <col min="14848" max="14848" width="0.85546875" customWidth="1"/>
    <col min="14850" max="14850" width="75.28515625" customWidth="1"/>
    <col min="14851" max="14851" width="0" hidden="1" customWidth="1"/>
    <col min="14852" max="14852" width="10.85546875" customWidth="1"/>
    <col min="15104" max="15104" width="0.85546875" customWidth="1"/>
    <col min="15106" max="15106" width="75.28515625" customWidth="1"/>
    <col min="15107" max="15107" width="0" hidden="1" customWidth="1"/>
    <col min="15108" max="15108" width="10.85546875" customWidth="1"/>
    <col min="15360" max="15360" width="0.85546875" customWidth="1"/>
    <col min="15362" max="15362" width="75.28515625" customWidth="1"/>
    <col min="15363" max="15363" width="0" hidden="1" customWidth="1"/>
    <col min="15364" max="15364" width="10.85546875" customWidth="1"/>
    <col min="15616" max="15616" width="0.85546875" customWidth="1"/>
    <col min="15618" max="15618" width="75.28515625" customWidth="1"/>
    <col min="15619" max="15619" width="0" hidden="1" customWidth="1"/>
    <col min="15620" max="15620" width="10.85546875" customWidth="1"/>
    <col min="15872" max="15872" width="0.85546875" customWidth="1"/>
    <col min="15874" max="15874" width="75.28515625" customWidth="1"/>
    <col min="15875" max="15875" width="0" hidden="1" customWidth="1"/>
    <col min="15876" max="15876" width="10.85546875" customWidth="1"/>
    <col min="16128" max="16128" width="0.85546875" customWidth="1"/>
    <col min="16130" max="16130" width="75.28515625" customWidth="1"/>
    <col min="16131" max="16131" width="0" hidden="1" customWidth="1"/>
    <col min="16132" max="16132" width="10.85546875" customWidth="1"/>
  </cols>
  <sheetData>
    <row r="5" spans="1:6" ht="18" x14ac:dyDescent="0.25">
      <c r="A5" s="15" t="s">
        <v>77</v>
      </c>
      <c r="B5" s="7"/>
      <c r="C5" s="7"/>
      <c r="D5" s="44"/>
    </row>
    <row r="6" spans="1:6" ht="18" x14ac:dyDescent="0.25">
      <c r="A6" s="15" t="s">
        <v>78</v>
      </c>
      <c r="B6" s="7"/>
      <c r="C6" s="8" t="s">
        <v>79</v>
      </c>
      <c r="D6" s="44"/>
    </row>
    <row r="7" spans="1:6" x14ac:dyDescent="0.25">
      <c r="C7" s="16" t="s">
        <v>80</v>
      </c>
    </row>
    <row r="8" spans="1:6" ht="15.75" x14ac:dyDescent="0.25">
      <c r="A8" s="17"/>
      <c r="B8" s="18"/>
      <c r="C8" s="18"/>
      <c r="D8" s="45" t="s">
        <v>93</v>
      </c>
      <c r="E8" s="45" t="s">
        <v>94</v>
      </c>
      <c r="F8" s="45" t="s">
        <v>80</v>
      </c>
    </row>
    <row r="9" spans="1:6" ht="16.5" customHeight="1" x14ac:dyDescent="0.25">
      <c r="A9" s="10"/>
      <c r="B9" s="19"/>
      <c r="C9" s="20"/>
      <c r="D9" s="46"/>
      <c r="E9" s="34"/>
    </row>
    <row r="10" spans="1:6" ht="22.5" customHeight="1" x14ac:dyDescent="0.25">
      <c r="A10" s="10"/>
      <c r="B10" s="493" t="s">
        <v>81</v>
      </c>
      <c r="C10" s="494">
        <v>6</v>
      </c>
      <c r="D10" s="495" t="s">
        <v>0</v>
      </c>
      <c r="E10" s="495" t="s">
        <v>0</v>
      </c>
      <c r="F10" s="298">
        <v>5</v>
      </c>
    </row>
    <row r="11" spans="1:6" ht="22.5" customHeight="1" x14ac:dyDescent="0.25">
      <c r="A11" s="10"/>
      <c r="B11" s="21" t="s">
        <v>82</v>
      </c>
      <c r="C11" s="20">
        <v>6</v>
      </c>
      <c r="D11" s="47" t="s">
        <v>0</v>
      </c>
      <c r="E11" s="47" t="s">
        <v>0</v>
      </c>
      <c r="F11" s="298">
        <v>4</v>
      </c>
    </row>
    <row r="12" spans="1:6" ht="22.5" customHeight="1" x14ac:dyDescent="0.25">
      <c r="A12" s="10"/>
      <c r="B12" s="22" t="s">
        <v>516</v>
      </c>
      <c r="C12" s="20">
        <v>6</v>
      </c>
      <c r="D12" s="49" t="s">
        <v>95</v>
      </c>
      <c r="E12" s="48" t="s">
        <v>0</v>
      </c>
      <c r="F12" s="298">
        <v>5</v>
      </c>
    </row>
    <row r="13" spans="1:6" ht="22.5" customHeight="1" x14ac:dyDescent="0.25">
      <c r="A13" s="10"/>
      <c r="B13" s="23" t="s">
        <v>517</v>
      </c>
      <c r="C13" s="20">
        <v>6</v>
      </c>
      <c r="D13" s="50" t="s">
        <v>95</v>
      </c>
      <c r="E13" s="50" t="s">
        <v>96</v>
      </c>
      <c r="F13" s="298">
        <v>5</v>
      </c>
    </row>
    <row r="14" spans="1:6" ht="22.5" customHeight="1" x14ac:dyDescent="0.25">
      <c r="A14" s="10"/>
      <c r="B14" s="490" t="s">
        <v>512</v>
      </c>
      <c r="C14" s="491"/>
      <c r="D14" s="492" t="s">
        <v>95</v>
      </c>
      <c r="E14" s="492" t="s">
        <v>96</v>
      </c>
      <c r="F14" s="298">
        <v>5</v>
      </c>
    </row>
    <row r="15" spans="1:6" ht="22.5" customHeight="1" x14ac:dyDescent="0.25">
      <c r="A15" s="10"/>
      <c r="B15" s="24"/>
      <c r="C15" s="20"/>
      <c r="D15" s="46"/>
      <c r="E15" s="31"/>
      <c r="F15" s="298"/>
    </row>
    <row r="16" spans="1:6" ht="22.5" customHeight="1" x14ac:dyDescent="0.25">
      <c r="A16" s="10"/>
      <c r="B16" s="25"/>
      <c r="C16" s="26"/>
      <c r="D16" s="51"/>
      <c r="E16" s="51"/>
      <c r="F16" s="298"/>
    </row>
    <row r="17" spans="1:6" ht="22.5" customHeight="1" x14ac:dyDescent="0.25">
      <c r="A17" s="10"/>
      <c r="B17" s="485" t="s">
        <v>84</v>
      </c>
      <c r="C17" s="486">
        <v>5</v>
      </c>
      <c r="D17" s="487" t="s">
        <v>0</v>
      </c>
      <c r="E17" s="487" t="s">
        <v>0</v>
      </c>
      <c r="F17" s="298">
        <v>5</v>
      </c>
    </row>
    <row r="18" spans="1:6" ht="22.5" customHeight="1" x14ac:dyDescent="0.25">
      <c r="A18" s="10"/>
      <c r="B18" s="28" t="s">
        <v>106</v>
      </c>
      <c r="C18" s="27">
        <v>5</v>
      </c>
      <c r="D18" s="52" t="s">
        <v>0</v>
      </c>
      <c r="E18" s="52" t="s">
        <v>0</v>
      </c>
      <c r="F18" s="298">
        <v>4</v>
      </c>
    </row>
    <row r="19" spans="1:6" ht="22.5" customHeight="1" x14ac:dyDescent="0.25">
      <c r="A19" s="10"/>
      <c r="B19" s="29" t="s">
        <v>85</v>
      </c>
      <c r="C19" s="30">
        <v>4</v>
      </c>
      <c r="D19" s="53" t="s">
        <v>95</v>
      </c>
      <c r="E19" s="53" t="s">
        <v>96</v>
      </c>
      <c r="F19" s="298">
        <v>4</v>
      </c>
    </row>
    <row r="20" spans="1:6" ht="22.5" customHeight="1" x14ac:dyDescent="0.25">
      <c r="A20" s="10"/>
      <c r="B20" s="488" t="s">
        <v>651</v>
      </c>
      <c r="C20" s="480"/>
      <c r="D20" s="489" t="s">
        <v>0</v>
      </c>
      <c r="E20" s="489" t="s">
        <v>0</v>
      </c>
      <c r="F20" s="298">
        <v>4</v>
      </c>
    </row>
    <row r="21" spans="1:6" ht="22.5" customHeight="1" x14ac:dyDescent="0.25">
      <c r="A21" s="10"/>
      <c r="B21" s="31"/>
      <c r="C21" s="27"/>
      <c r="D21" s="13"/>
      <c r="E21" s="13"/>
      <c r="F21" s="298"/>
    </row>
    <row r="22" spans="1:6" ht="22.5" customHeight="1" x14ac:dyDescent="0.25">
      <c r="A22" s="10"/>
      <c r="B22" s="11"/>
      <c r="C22" s="27"/>
      <c r="D22" s="12"/>
      <c r="E22" s="12"/>
      <c r="F22" s="298"/>
    </row>
    <row r="23" spans="1:6" ht="22.5" customHeight="1" x14ac:dyDescent="0.25">
      <c r="A23" s="10"/>
      <c r="B23" s="482" t="s">
        <v>87</v>
      </c>
      <c r="C23" s="483">
        <v>5</v>
      </c>
      <c r="D23" s="484" t="s">
        <v>0</v>
      </c>
      <c r="E23" s="484" t="s">
        <v>96</v>
      </c>
      <c r="F23" s="298">
        <v>5</v>
      </c>
    </row>
    <row r="24" spans="1:6" ht="22.5" customHeight="1" x14ac:dyDescent="0.25">
      <c r="A24" s="10"/>
      <c r="B24" s="32" t="str">
        <f>'Quality '!$B$29:$I$29</f>
        <v>Identify number of units scrapped per units completed</v>
      </c>
      <c r="C24" s="26">
        <v>5</v>
      </c>
      <c r="D24" s="54" t="s">
        <v>0</v>
      </c>
      <c r="E24" s="54" t="s">
        <v>97</v>
      </c>
      <c r="F24" s="298">
        <v>5</v>
      </c>
    </row>
    <row r="25" spans="1:6" ht="22.5" customHeight="1" x14ac:dyDescent="0.25">
      <c r="A25" s="10"/>
      <c r="B25" s="33" t="s">
        <v>88</v>
      </c>
      <c r="C25" s="26">
        <v>5</v>
      </c>
      <c r="D25" s="55" t="s">
        <v>0</v>
      </c>
      <c r="E25" s="55" t="s">
        <v>97</v>
      </c>
      <c r="F25" s="298">
        <v>5</v>
      </c>
    </row>
    <row r="26" spans="1:6" ht="22.5" customHeight="1" x14ac:dyDescent="0.25">
      <c r="A26" s="10"/>
      <c r="B26" s="56" t="s">
        <v>518</v>
      </c>
      <c r="C26" s="26"/>
      <c r="D26" s="55" t="s">
        <v>465</v>
      </c>
      <c r="E26" s="55" t="s">
        <v>97</v>
      </c>
      <c r="F26" s="298">
        <v>5</v>
      </c>
    </row>
    <row r="27" spans="1:6" ht="22.5" customHeight="1" x14ac:dyDescent="0.25">
      <c r="A27" s="10"/>
      <c r="B27" s="34"/>
      <c r="C27" s="26"/>
      <c r="D27" s="51"/>
      <c r="E27" s="51"/>
      <c r="F27" s="298"/>
    </row>
    <row r="28" spans="1:6" ht="22.5" customHeight="1" x14ac:dyDescent="0.25">
      <c r="A28" s="10"/>
      <c r="B28" s="477" t="s">
        <v>460</v>
      </c>
      <c r="C28" s="11">
        <v>4</v>
      </c>
      <c r="D28" s="478" t="s">
        <v>95</v>
      </c>
      <c r="E28" s="478" t="s">
        <v>97</v>
      </c>
      <c r="F28" s="298">
        <v>5</v>
      </c>
    </row>
    <row r="29" spans="1:6" ht="22.5" customHeight="1" x14ac:dyDescent="0.25">
      <c r="A29" s="10"/>
      <c r="B29" s="35" t="s">
        <v>466</v>
      </c>
      <c r="C29" s="30"/>
      <c r="D29" s="57" t="s">
        <v>95</v>
      </c>
      <c r="E29" s="57" t="s">
        <v>97</v>
      </c>
      <c r="F29" s="298">
        <v>5</v>
      </c>
    </row>
    <row r="30" spans="1:6" ht="22.5" customHeight="1" x14ac:dyDescent="0.25">
      <c r="A30" s="10"/>
      <c r="B30" s="36" t="s">
        <v>461</v>
      </c>
      <c r="C30" s="30">
        <v>4</v>
      </c>
      <c r="D30" s="58" t="s">
        <v>95</v>
      </c>
      <c r="E30" s="58" t="s">
        <v>96</v>
      </c>
      <c r="F30" s="298">
        <v>5</v>
      </c>
    </row>
    <row r="31" spans="1:6" ht="22.5" customHeight="1" x14ac:dyDescent="0.25">
      <c r="A31" s="10"/>
      <c r="B31" s="37" t="s">
        <v>462</v>
      </c>
      <c r="C31" s="30"/>
      <c r="D31" s="59" t="s">
        <v>95</v>
      </c>
      <c r="E31" s="59" t="s">
        <v>96</v>
      </c>
      <c r="F31" s="298">
        <v>5</v>
      </c>
    </row>
    <row r="32" spans="1:6" s="39" customFormat="1" ht="22.5" customHeight="1" x14ac:dyDescent="0.25">
      <c r="A32" s="7"/>
      <c r="B32" s="38"/>
      <c r="C32" s="27"/>
      <c r="D32" s="60"/>
      <c r="E32" s="60"/>
      <c r="F32" s="298"/>
    </row>
    <row r="33" spans="1:6" ht="22.5" customHeight="1" x14ac:dyDescent="0.25">
      <c r="A33" s="10"/>
      <c r="B33" s="40"/>
      <c r="C33" s="30"/>
      <c r="D33" s="46"/>
      <c r="E33" s="46"/>
      <c r="F33" s="298"/>
    </row>
    <row r="34" spans="1:6" ht="22.5" customHeight="1" x14ac:dyDescent="0.25">
      <c r="A34" s="10"/>
      <c r="B34" s="41" t="s">
        <v>89</v>
      </c>
      <c r="C34" s="30">
        <v>4</v>
      </c>
      <c r="D34" s="61" t="s">
        <v>95</v>
      </c>
      <c r="E34" s="61" t="s">
        <v>96</v>
      </c>
      <c r="F34" s="298">
        <v>5</v>
      </c>
    </row>
    <row r="35" spans="1:6" ht="22.5" customHeight="1" x14ac:dyDescent="0.25">
      <c r="A35" s="10"/>
      <c r="B35" s="42" t="s">
        <v>86</v>
      </c>
      <c r="C35" s="30"/>
      <c r="D35" s="62" t="s">
        <v>0</v>
      </c>
      <c r="E35" s="62" t="s">
        <v>97</v>
      </c>
      <c r="F35" s="298">
        <v>4</v>
      </c>
    </row>
    <row r="36" spans="1:6" ht="22.5" customHeight="1" x14ac:dyDescent="0.25">
      <c r="A36" s="10"/>
      <c r="B36" s="136" t="s">
        <v>90</v>
      </c>
      <c r="C36" s="137"/>
      <c r="D36" s="138" t="s">
        <v>95</v>
      </c>
      <c r="E36" s="138" t="s">
        <v>97</v>
      </c>
      <c r="F36" s="298">
        <v>3</v>
      </c>
    </row>
    <row r="37" spans="1:6" ht="22.5" customHeight="1" x14ac:dyDescent="0.25">
      <c r="A37" s="10"/>
      <c r="B37" s="479" t="s">
        <v>449</v>
      </c>
      <c r="C37" s="480"/>
      <c r="D37" s="481" t="s">
        <v>95</v>
      </c>
      <c r="E37" s="481" t="s">
        <v>97</v>
      </c>
      <c r="F37" s="298">
        <v>3</v>
      </c>
    </row>
    <row r="38" spans="1:6" ht="22.5" customHeight="1" x14ac:dyDescent="0.25">
      <c r="A38" s="10"/>
      <c r="B38" s="24"/>
      <c r="C38" s="26"/>
      <c r="D38" s="63"/>
      <c r="E38" s="63"/>
      <c r="F38" s="272"/>
    </row>
    <row r="39" spans="1:6" ht="22.5" customHeight="1" x14ac:dyDescent="0.25">
      <c r="A39" s="10"/>
      <c r="B39" s="81" t="s">
        <v>91</v>
      </c>
      <c r="C39" s="82">
        <v>3</v>
      </c>
      <c r="D39" s="476" t="s">
        <v>95</v>
      </c>
      <c r="E39" s="476" t="s">
        <v>97</v>
      </c>
      <c r="F39" s="272">
        <v>2</v>
      </c>
    </row>
    <row r="40" spans="1:6" ht="22.5" customHeight="1" x14ac:dyDescent="0.25">
      <c r="A40" s="10"/>
      <c r="B40" s="81" t="s">
        <v>573</v>
      </c>
      <c r="C40" s="82">
        <v>3</v>
      </c>
      <c r="D40" s="83" t="s">
        <v>95</v>
      </c>
      <c r="E40" s="83" t="s">
        <v>97</v>
      </c>
      <c r="F40" s="272">
        <v>2</v>
      </c>
    </row>
    <row r="41" spans="1:6" ht="22.5" customHeight="1" x14ac:dyDescent="0.25">
      <c r="A41" s="10"/>
      <c r="B41" s="31"/>
      <c r="C41" s="26">
        <v>3</v>
      </c>
      <c r="D41" s="64"/>
      <c r="E41" s="64"/>
      <c r="F41" s="272"/>
    </row>
    <row r="42" spans="1:6" ht="16.5" thickBot="1" x14ac:dyDescent="0.3">
      <c r="A42" s="10"/>
      <c r="B42" s="43"/>
      <c r="C42" s="26"/>
      <c r="D42" s="51"/>
      <c r="E42" s="51"/>
      <c r="F42" s="299">
        <f>SUM(F9:F41)</f>
        <v>100</v>
      </c>
    </row>
    <row r="43" spans="1:6" ht="16.5" thickTop="1" x14ac:dyDescent="0.25">
      <c r="A43" s="10"/>
      <c r="B43" s="72" t="s">
        <v>141</v>
      </c>
      <c r="C43" s="73">
        <v>3</v>
      </c>
      <c r="D43" s="74" t="s">
        <v>144</v>
      </c>
      <c r="E43" s="74" t="s">
        <v>145</v>
      </c>
    </row>
    <row r="44" spans="1:6" ht="15.75" x14ac:dyDescent="0.25">
      <c r="B44" s="75" t="s">
        <v>142</v>
      </c>
      <c r="C44" s="76">
        <v>3</v>
      </c>
      <c r="D44" s="77" t="s">
        <v>144</v>
      </c>
      <c r="E44" s="77" t="s">
        <v>145</v>
      </c>
    </row>
    <row r="45" spans="1:6" ht="15.75" x14ac:dyDescent="0.25">
      <c r="B45" s="78" t="s">
        <v>143</v>
      </c>
      <c r="C45" s="79"/>
      <c r="D45" s="80" t="s">
        <v>144</v>
      </c>
      <c r="E45" s="80" t="s">
        <v>145</v>
      </c>
    </row>
    <row r="46" spans="1:6" ht="15.75" x14ac:dyDescent="0.25">
      <c r="B46" s="31"/>
      <c r="C46" s="26">
        <v>3</v>
      </c>
      <c r="D46" s="64"/>
      <c r="E46" s="64"/>
    </row>
  </sheetData>
  <hyperlinks>
    <hyperlink ref="G58" location="Home7" display="Home7"/>
    <hyperlink ref="AE208" location="Home7" display="Home7"/>
    <hyperlink ref="D57" location="Home7" display="Home7"/>
    <hyperlink ref="AB207" location="Home7" display="Home7"/>
    <hyperlink ref="C57" location="Home7" display="Home7"/>
    <hyperlink ref="AA207" location="Home7" display="Home7"/>
    <hyperlink ref="AC58" location="Home7" display="Home7"/>
    <hyperlink ref="BA208" location="Home7" display="Home7"/>
    <hyperlink ref="F5" location="Home8" display="Forward&gt;"/>
    <hyperlink ref="E5" location="Home8" display="Forward&gt;"/>
    <hyperlink ref="Z57" location="Home7" display="Home7"/>
    <hyperlink ref="AX207" location="Home7" display="Home7"/>
    <hyperlink ref="D5" location="Home6" display="&lt;Back"/>
    <hyperlink ref="Y57" location="Home7" display="Home7"/>
    <hyperlink ref="AW207" location="Home7" display="Home7"/>
    <hyperlink ref="C7" location="blank_map" display="blank_map"/>
  </hyperlinks>
  <pageMargins left="0.7" right="0.7" top="0.75" bottom="0.75" header="0.3" footer="0.3"/>
  <pageSetup scale="41"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pageSetUpPr fitToPage="1"/>
  </sheetPr>
  <dimension ref="A4:P69"/>
  <sheetViews>
    <sheetView showGridLines="0" topLeftCell="A40" zoomScale="50" zoomScaleNormal="50" zoomScaleSheetLayoutView="50" workbookViewId="0">
      <selection activeCell="D59" sqref="D59:H69"/>
    </sheetView>
  </sheetViews>
  <sheetFormatPr defaultRowHeight="15" x14ac:dyDescent="0.25"/>
  <cols>
    <col min="1" max="1" width="2.42578125" style="39" customWidth="1"/>
    <col min="2" max="2" width="31" style="89" customWidth="1"/>
    <col min="3" max="3" width="1.42578125" style="90" customWidth="1"/>
    <col min="4" max="6" width="58.7109375" customWidth="1"/>
    <col min="7" max="7" width="58.85546875" customWidth="1"/>
    <col min="8" max="8" width="58.7109375" customWidth="1"/>
    <col min="9" max="11" width="9.140625" style="39"/>
    <col min="252" max="252" width="3.85546875" customWidth="1"/>
    <col min="253" max="253" width="17" customWidth="1"/>
    <col min="254" max="254" width="2.42578125" customWidth="1"/>
    <col min="255" max="255" width="24" customWidth="1"/>
    <col min="256" max="256" width="1.42578125" customWidth="1"/>
    <col min="257" max="258" width="22.7109375" customWidth="1"/>
    <col min="259" max="262" width="44.7109375" customWidth="1"/>
    <col min="263" max="264" width="44.5703125" customWidth="1"/>
    <col min="508" max="508" width="3.85546875" customWidth="1"/>
    <col min="509" max="509" width="17" customWidth="1"/>
    <col min="510" max="510" width="2.42578125" customWidth="1"/>
    <col min="511" max="511" width="24" customWidth="1"/>
    <col min="512" max="512" width="1.42578125" customWidth="1"/>
    <col min="513" max="514" width="22.7109375" customWidth="1"/>
    <col min="515" max="518" width="44.7109375" customWidth="1"/>
    <col min="519" max="520" width="44.5703125" customWidth="1"/>
    <col min="764" max="764" width="3.85546875" customWidth="1"/>
    <col min="765" max="765" width="17" customWidth="1"/>
    <col min="766" max="766" width="2.42578125" customWidth="1"/>
    <col min="767" max="767" width="24" customWidth="1"/>
    <col min="768" max="768" width="1.42578125" customWidth="1"/>
    <col min="769" max="770" width="22.7109375" customWidth="1"/>
    <col min="771" max="774" width="44.7109375" customWidth="1"/>
    <col min="775" max="776" width="44.5703125" customWidth="1"/>
    <col min="1020" max="1020" width="3.85546875" customWidth="1"/>
    <col min="1021" max="1021" width="17" customWidth="1"/>
    <col min="1022" max="1022" width="2.42578125" customWidth="1"/>
    <col min="1023" max="1023" width="24" customWidth="1"/>
    <col min="1024" max="1024" width="1.42578125" customWidth="1"/>
    <col min="1025" max="1026" width="22.7109375" customWidth="1"/>
    <col min="1027" max="1030" width="44.7109375" customWidth="1"/>
    <col min="1031" max="1032" width="44.5703125" customWidth="1"/>
    <col min="1276" max="1276" width="3.85546875" customWidth="1"/>
    <col min="1277" max="1277" width="17" customWidth="1"/>
    <col min="1278" max="1278" width="2.42578125" customWidth="1"/>
    <col min="1279" max="1279" width="24" customWidth="1"/>
    <col min="1280" max="1280" width="1.42578125" customWidth="1"/>
    <col min="1281" max="1282" width="22.7109375" customWidth="1"/>
    <col min="1283" max="1286" width="44.7109375" customWidth="1"/>
    <col min="1287" max="1288" width="44.5703125" customWidth="1"/>
    <col min="1532" max="1532" width="3.85546875" customWidth="1"/>
    <col min="1533" max="1533" width="17" customWidth="1"/>
    <col min="1534" max="1534" width="2.42578125" customWidth="1"/>
    <col min="1535" max="1535" width="24" customWidth="1"/>
    <col min="1536" max="1536" width="1.42578125" customWidth="1"/>
    <col min="1537" max="1538" width="22.7109375" customWidth="1"/>
    <col min="1539" max="1542" width="44.7109375" customWidth="1"/>
    <col min="1543" max="1544" width="44.5703125" customWidth="1"/>
    <col min="1788" max="1788" width="3.85546875" customWidth="1"/>
    <col min="1789" max="1789" width="17" customWidth="1"/>
    <col min="1790" max="1790" width="2.42578125" customWidth="1"/>
    <col min="1791" max="1791" width="24" customWidth="1"/>
    <col min="1792" max="1792" width="1.42578125" customWidth="1"/>
    <col min="1793" max="1794" width="22.7109375" customWidth="1"/>
    <col min="1795" max="1798" width="44.7109375" customWidth="1"/>
    <col min="1799" max="1800" width="44.5703125" customWidth="1"/>
    <col min="2044" max="2044" width="3.85546875" customWidth="1"/>
    <col min="2045" max="2045" width="17" customWidth="1"/>
    <col min="2046" max="2046" width="2.42578125" customWidth="1"/>
    <col min="2047" max="2047" width="24" customWidth="1"/>
    <col min="2048" max="2048" width="1.42578125" customWidth="1"/>
    <col min="2049" max="2050" width="22.7109375" customWidth="1"/>
    <col min="2051" max="2054" width="44.7109375" customWidth="1"/>
    <col min="2055" max="2056" width="44.5703125" customWidth="1"/>
    <col min="2300" max="2300" width="3.85546875" customWidth="1"/>
    <col min="2301" max="2301" width="17" customWidth="1"/>
    <col min="2302" max="2302" width="2.42578125" customWidth="1"/>
    <col min="2303" max="2303" width="24" customWidth="1"/>
    <col min="2304" max="2304" width="1.42578125" customWidth="1"/>
    <col min="2305" max="2306" width="22.7109375" customWidth="1"/>
    <col min="2307" max="2310" width="44.7109375" customWidth="1"/>
    <col min="2311" max="2312" width="44.5703125" customWidth="1"/>
    <col min="2556" max="2556" width="3.85546875" customWidth="1"/>
    <col min="2557" max="2557" width="17" customWidth="1"/>
    <col min="2558" max="2558" width="2.42578125" customWidth="1"/>
    <col min="2559" max="2559" width="24" customWidth="1"/>
    <col min="2560" max="2560" width="1.42578125" customWidth="1"/>
    <col min="2561" max="2562" width="22.7109375" customWidth="1"/>
    <col min="2563" max="2566" width="44.7109375" customWidth="1"/>
    <col min="2567" max="2568" width="44.5703125" customWidth="1"/>
    <col min="2812" max="2812" width="3.85546875" customWidth="1"/>
    <col min="2813" max="2813" width="17" customWidth="1"/>
    <col min="2814" max="2814" width="2.42578125" customWidth="1"/>
    <col min="2815" max="2815" width="24" customWidth="1"/>
    <col min="2816" max="2816" width="1.42578125" customWidth="1"/>
    <col min="2817" max="2818" width="22.7109375" customWidth="1"/>
    <col min="2819" max="2822" width="44.7109375" customWidth="1"/>
    <col min="2823" max="2824" width="44.5703125" customWidth="1"/>
    <col min="3068" max="3068" width="3.85546875" customWidth="1"/>
    <col min="3069" max="3069" width="17" customWidth="1"/>
    <col min="3070" max="3070" width="2.42578125" customWidth="1"/>
    <col min="3071" max="3071" width="24" customWidth="1"/>
    <col min="3072" max="3072" width="1.42578125" customWidth="1"/>
    <col min="3073" max="3074" width="22.7109375" customWidth="1"/>
    <col min="3075" max="3078" width="44.7109375" customWidth="1"/>
    <col min="3079" max="3080" width="44.5703125" customWidth="1"/>
    <col min="3324" max="3324" width="3.85546875" customWidth="1"/>
    <col min="3325" max="3325" width="17" customWidth="1"/>
    <col min="3326" max="3326" width="2.42578125" customWidth="1"/>
    <col min="3327" max="3327" width="24" customWidth="1"/>
    <col min="3328" max="3328" width="1.42578125" customWidth="1"/>
    <col min="3329" max="3330" width="22.7109375" customWidth="1"/>
    <col min="3331" max="3334" width="44.7109375" customWidth="1"/>
    <col min="3335" max="3336" width="44.5703125" customWidth="1"/>
    <col min="3580" max="3580" width="3.85546875" customWidth="1"/>
    <col min="3581" max="3581" width="17" customWidth="1"/>
    <col min="3582" max="3582" width="2.42578125" customWidth="1"/>
    <col min="3583" max="3583" width="24" customWidth="1"/>
    <col min="3584" max="3584" width="1.42578125" customWidth="1"/>
    <col min="3585" max="3586" width="22.7109375" customWidth="1"/>
    <col min="3587" max="3590" width="44.7109375" customWidth="1"/>
    <col min="3591" max="3592" width="44.5703125" customWidth="1"/>
    <col min="3836" max="3836" width="3.85546875" customWidth="1"/>
    <col min="3837" max="3837" width="17" customWidth="1"/>
    <col min="3838" max="3838" width="2.42578125" customWidth="1"/>
    <col min="3839" max="3839" width="24" customWidth="1"/>
    <col min="3840" max="3840" width="1.42578125" customWidth="1"/>
    <col min="3841" max="3842" width="22.7109375" customWidth="1"/>
    <col min="3843" max="3846" width="44.7109375" customWidth="1"/>
    <col min="3847" max="3848" width="44.5703125" customWidth="1"/>
    <col min="4092" max="4092" width="3.85546875" customWidth="1"/>
    <col min="4093" max="4093" width="17" customWidth="1"/>
    <col min="4094" max="4094" width="2.42578125" customWidth="1"/>
    <col min="4095" max="4095" width="24" customWidth="1"/>
    <col min="4096" max="4096" width="1.42578125" customWidth="1"/>
    <col min="4097" max="4098" width="22.7109375" customWidth="1"/>
    <col min="4099" max="4102" width="44.7109375" customWidth="1"/>
    <col min="4103" max="4104" width="44.5703125" customWidth="1"/>
    <col min="4348" max="4348" width="3.85546875" customWidth="1"/>
    <col min="4349" max="4349" width="17" customWidth="1"/>
    <col min="4350" max="4350" width="2.42578125" customWidth="1"/>
    <col min="4351" max="4351" width="24" customWidth="1"/>
    <col min="4352" max="4352" width="1.42578125" customWidth="1"/>
    <col min="4353" max="4354" width="22.7109375" customWidth="1"/>
    <col min="4355" max="4358" width="44.7109375" customWidth="1"/>
    <col min="4359" max="4360" width="44.5703125" customWidth="1"/>
    <col min="4604" max="4604" width="3.85546875" customWidth="1"/>
    <col min="4605" max="4605" width="17" customWidth="1"/>
    <col min="4606" max="4606" width="2.42578125" customWidth="1"/>
    <col min="4607" max="4607" width="24" customWidth="1"/>
    <col min="4608" max="4608" width="1.42578125" customWidth="1"/>
    <col min="4609" max="4610" width="22.7109375" customWidth="1"/>
    <col min="4611" max="4614" width="44.7109375" customWidth="1"/>
    <col min="4615" max="4616" width="44.5703125" customWidth="1"/>
    <col min="4860" max="4860" width="3.85546875" customWidth="1"/>
    <col min="4861" max="4861" width="17" customWidth="1"/>
    <col min="4862" max="4862" width="2.42578125" customWidth="1"/>
    <col min="4863" max="4863" width="24" customWidth="1"/>
    <col min="4864" max="4864" width="1.42578125" customWidth="1"/>
    <col min="4865" max="4866" width="22.7109375" customWidth="1"/>
    <col min="4867" max="4870" width="44.7109375" customWidth="1"/>
    <col min="4871" max="4872" width="44.5703125" customWidth="1"/>
    <col min="5116" max="5116" width="3.85546875" customWidth="1"/>
    <col min="5117" max="5117" width="17" customWidth="1"/>
    <col min="5118" max="5118" width="2.42578125" customWidth="1"/>
    <col min="5119" max="5119" width="24" customWidth="1"/>
    <col min="5120" max="5120" width="1.42578125" customWidth="1"/>
    <col min="5121" max="5122" width="22.7109375" customWidth="1"/>
    <col min="5123" max="5126" width="44.7109375" customWidth="1"/>
    <col min="5127" max="5128" width="44.5703125" customWidth="1"/>
    <col min="5372" max="5372" width="3.85546875" customWidth="1"/>
    <col min="5373" max="5373" width="17" customWidth="1"/>
    <col min="5374" max="5374" width="2.42578125" customWidth="1"/>
    <col min="5375" max="5375" width="24" customWidth="1"/>
    <col min="5376" max="5376" width="1.42578125" customWidth="1"/>
    <col min="5377" max="5378" width="22.7109375" customWidth="1"/>
    <col min="5379" max="5382" width="44.7109375" customWidth="1"/>
    <col min="5383" max="5384" width="44.5703125" customWidth="1"/>
    <col min="5628" max="5628" width="3.85546875" customWidth="1"/>
    <col min="5629" max="5629" width="17" customWidth="1"/>
    <col min="5630" max="5630" width="2.42578125" customWidth="1"/>
    <col min="5631" max="5631" width="24" customWidth="1"/>
    <col min="5632" max="5632" width="1.42578125" customWidth="1"/>
    <col min="5633" max="5634" width="22.7109375" customWidth="1"/>
    <col min="5635" max="5638" width="44.7109375" customWidth="1"/>
    <col min="5639" max="5640" width="44.5703125" customWidth="1"/>
    <col min="5884" max="5884" width="3.85546875" customWidth="1"/>
    <col min="5885" max="5885" width="17" customWidth="1"/>
    <col min="5886" max="5886" width="2.42578125" customWidth="1"/>
    <col min="5887" max="5887" width="24" customWidth="1"/>
    <col min="5888" max="5888" width="1.42578125" customWidth="1"/>
    <col min="5889" max="5890" width="22.7109375" customWidth="1"/>
    <col min="5891" max="5894" width="44.7109375" customWidth="1"/>
    <col min="5895" max="5896" width="44.5703125" customWidth="1"/>
    <col min="6140" max="6140" width="3.85546875" customWidth="1"/>
    <col min="6141" max="6141" width="17" customWidth="1"/>
    <col min="6142" max="6142" width="2.42578125" customWidth="1"/>
    <col min="6143" max="6143" width="24" customWidth="1"/>
    <col min="6144" max="6144" width="1.42578125" customWidth="1"/>
    <col min="6145" max="6146" width="22.7109375" customWidth="1"/>
    <col min="6147" max="6150" width="44.7109375" customWidth="1"/>
    <col min="6151" max="6152" width="44.5703125" customWidth="1"/>
    <col min="6396" max="6396" width="3.85546875" customWidth="1"/>
    <col min="6397" max="6397" width="17" customWidth="1"/>
    <col min="6398" max="6398" width="2.42578125" customWidth="1"/>
    <col min="6399" max="6399" width="24" customWidth="1"/>
    <col min="6400" max="6400" width="1.42578125" customWidth="1"/>
    <col min="6401" max="6402" width="22.7109375" customWidth="1"/>
    <col min="6403" max="6406" width="44.7109375" customWidth="1"/>
    <col min="6407" max="6408" width="44.5703125" customWidth="1"/>
    <col min="6652" max="6652" width="3.85546875" customWidth="1"/>
    <col min="6653" max="6653" width="17" customWidth="1"/>
    <col min="6654" max="6654" width="2.42578125" customWidth="1"/>
    <col min="6655" max="6655" width="24" customWidth="1"/>
    <col min="6656" max="6656" width="1.42578125" customWidth="1"/>
    <col min="6657" max="6658" width="22.7109375" customWidth="1"/>
    <col min="6659" max="6662" width="44.7109375" customWidth="1"/>
    <col min="6663" max="6664" width="44.5703125" customWidth="1"/>
    <col min="6908" max="6908" width="3.85546875" customWidth="1"/>
    <col min="6909" max="6909" width="17" customWidth="1"/>
    <col min="6910" max="6910" width="2.42578125" customWidth="1"/>
    <col min="6911" max="6911" width="24" customWidth="1"/>
    <col min="6912" max="6912" width="1.42578125" customWidth="1"/>
    <col min="6913" max="6914" width="22.7109375" customWidth="1"/>
    <col min="6915" max="6918" width="44.7109375" customWidth="1"/>
    <col min="6919" max="6920" width="44.5703125" customWidth="1"/>
    <col min="7164" max="7164" width="3.85546875" customWidth="1"/>
    <col min="7165" max="7165" width="17" customWidth="1"/>
    <col min="7166" max="7166" width="2.42578125" customWidth="1"/>
    <col min="7167" max="7167" width="24" customWidth="1"/>
    <col min="7168" max="7168" width="1.42578125" customWidth="1"/>
    <col min="7169" max="7170" width="22.7109375" customWidth="1"/>
    <col min="7171" max="7174" width="44.7109375" customWidth="1"/>
    <col min="7175" max="7176" width="44.5703125" customWidth="1"/>
    <col min="7420" max="7420" width="3.85546875" customWidth="1"/>
    <col min="7421" max="7421" width="17" customWidth="1"/>
    <col min="7422" max="7422" width="2.42578125" customWidth="1"/>
    <col min="7423" max="7423" width="24" customWidth="1"/>
    <col min="7424" max="7424" width="1.42578125" customWidth="1"/>
    <col min="7425" max="7426" width="22.7109375" customWidth="1"/>
    <col min="7427" max="7430" width="44.7109375" customWidth="1"/>
    <col min="7431" max="7432" width="44.5703125" customWidth="1"/>
    <col min="7676" max="7676" width="3.85546875" customWidth="1"/>
    <col min="7677" max="7677" width="17" customWidth="1"/>
    <col min="7678" max="7678" width="2.42578125" customWidth="1"/>
    <col min="7679" max="7679" width="24" customWidth="1"/>
    <col min="7680" max="7680" width="1.42578125" customWidth="1"/>
    <col min="7681" max="7682" width="22.7109375" customWidth="1"/>
    <col min="7683" max="7686" width="44.7109375" customWidth="1"/>
    <col min="7687" max="7688" width="44.5703125" customWidth="1"/>
    <col min="7932" max="7932" width="3.85546875" customWidth="1"/>
    <col min="7933" max="7933" width="17" customWidth="1"/>
    <col min="7934" max="7934" width="2.42578125" customWidth="1"/>
    <col min="7935" max="7935" width="24" customWidth="1"/>
    <col min="7936" max="7936" width="1.42578125" customWidth="1"/>
    <col min="7937" max="7938" width="22.7109375" customWidth="1"/>
    <col min="7939" max="7942" width="44.7109375" customWidth="1"/>
    <col min="7943" max="7944" width="44.5703125" customWidth="1"/>
    <col min="8188" max="8188" width="3.85546875" customWidth="1"/>
    <col min="8189" max="8189" width="17" customWidth="1"/>
    <col min="8190" max="8190" width="2.42578125" customWidth="1"/>
    <col min="8191" max="8191" width="24" customWidth="1"/>
    <col min="8192" max="8192" width="1.42578125" customWidth="1"/>
    <col min="8193" max="8194" width="22.7109375" customWidth="1"/>
    <col min="8195" max="8198" width="44.7109375" customWidth="1"/>
    <col min="8199" max="8200" width="44.5703125" customWidth="1"/>
    <col min="8444" max="8444" width="3.85546875" customWidth="1"/>
    <col min="8445" max="8445" width="17" customWidth="1"/>
    <col min="8446" max="8446" width="2.42578125" customWidth="1"/>
    <col min="8447" max="8447" width="24" customWidth="1"/>
    <col min="8448" max="8448" width="1.42578125" customWidth="1"/>
    <col min="8449" max="8450" width="22.7109375" customWidth="1"/>
    <col min="8451" max="8454" width="44.7109375" customWidth="1"/>
    <col min="8455" max="8456" width="44.5703125" customWidth="1"/>
    <col min="8700" max="8700" width="3.85546875" customWidth="1"/>
    <col min="8701" max="8701" width="17" customWidth="1"/>
    <col min="8702" max="8702" width="2.42578125" customWidth="1"/>
    <col min="8703" max="8703" width="24" customWidth="1"/>
    <col min="8704" max="8704" width="1.42578125" customWidth="1"/>
    <col min="8705" max="8706" width="22.7109375" customWidth="1"/>
    <col min="8707" max="8710" width="44.7109375" customWidth="1"/>
    <col min="8711" max="8712" width="44.5703125" customWidth="1"/>
    <col min="8956" max="8956" width="3.85546875" customWidth="1"/>
    <col min="8957" max="8957" width="17" customWidth="1"/>
    <col min="8958" max="8958" width="2.42578125" customWidth="1"/>
    <col min="8959" max="8959" width="24" customWidth="1"/>
    <col min="8960" max="8960" width="1.42578125" customWidth="1"/>
    <col min="8961" max="8962" width="22.7109375" customWidth="1"/>
    <col min="8963" max="8966" width="44.7109375" customWidth="1"/>
    <col min="8967" max="8968" width="44.5703125" customWidth="1"/>
    <col min="9212" max="9212" width="3.85546875" customWidth="1"/>
    <col min="9213" max="9213" width="17" customWidth="1"/>
    <col min="9214" max="9214" width="2.42578125" customWidth="1"/>
    <col min="9215" max="9215" width="24" customWidth="1"/>
    <col min="9216" max="9216" width="1.42578125" customWidth="1"/>
    <col min="9217" max="9218" width="22.7109375" customWidth="1"/>
    <col min="9219" max="9222" width="44.7109375" customWidth="1"/>
    <col min="9223" max="9224" width="44.5703125" customWidth="1"/>
    <col min="9468" max="9468" width="3.85546875" customWidth="1"/>
    <col min="9469" max="9469" width="17" customWidth="1"/>
    <col min="9470" max="9470" width="2.42578125" customWidth="1"/>
    <col min="9471" max="9471" width="24" customWidth="1"/>
    <col min="9472" max="9472" width="1.42578125" customWidth="1"/>
    <col min="9473" max="9474" width="22.7109375" customWidth="1"/>
    <col min="9475" max="9478" width="44.7109375" customWidth="1"/>
    <col min="9479" max="9480" width="44.5703125" customWidth="1"/>
    <col min="9724" max="9724" width="3.85546875" customWidth="1"/>
    <col min="9725" max="9725" width="17" customWidth="1"/>
    <col min="9726" max="9726" width="2.42578125" customWidth="1"/>
    <col min="9727" max="9727" width="24" customWidth="1"/>
    <col min="9728" max="9728" width="1.42578125" customWidth="1"/>
    <col min="9729" max="9730" width="22.7109375" customWidth="1"/>
    <col min="9731" max="9734" width="44.7109375" customWidth="1"/>
    <col min="9735" max="9736" width="44.5703125" customWidth="1"/>
    <col min="9980" max="9980" width="3.85546875" customWidth="1"/>
    <col min="9981" max="9981" width="17" customWidth="1"/>
    <col min="9982" max="9982" width="2.42578125" customWidth="1"/>
    <col min="9983" max="9983" width="24" customWidth="1"/>
    <col min="9984" max="9984" width="1.42578125" customWidth="1"/>
    <col min="9985" max="9986" width="22.7109375" customWidth="1"/>
    <col min="9987" max="9990" width="44.7109375" customWidth="1"/>
    <col min="9991" max="9992" width="44.5703125" customWidth="1"/>
    <col min="10236" max="10236" width="3.85546875" customWidth="1"/>
    <col min="10237" max="10237" width="17" customWidth="1"/>
    <col min="10238" max="10238" width="2.42578125" customWidth="1"/>
    <col min="10239" max="10239" width="24" customWidth="1"/>
    <col min="10240" max="10240" width="1.42578125" customWidth="1"/>
    <col min="10241" max="10242" width="22.7109375" customWidth="1"/>
    <col min="10243" max="10246" width="44.7109375" customWidth="1"/>
    <col min="10247" max="10248" width="44.5703125" customWidth="1"/>
    <col min="10492" max="10492" width="3.85546875" customWidth="1"/>
    <col min="10493" max="10493" width="17" customWidth="1"/>
    <col min="10494" max="10494" width="2.42578125" customWidth="1"/>
    <col min="10495" max="10495" width="24" customWidth="1"/>
    <col min="10496" max="10496" width="1.42578125" customWidth="1"/>
    <col min="10497" max="10498" width="22.7109375" customWidth="1"/>
    <col min="10499" max="10502" width="44.7109375" customWidth="1"/>
    <col min="10503" max="10504" width="44.5703125" customWidth="1"/>
    <col min="10748" max="10748" width="3.85546875" customWidth="1"/>
    <col min="10749" max="10749" width="17" customWidth="1"/>
    <col min="10750" max="10750" width="2.42578125" customWidth="1"/>
    <col min="10751" max="10751" width="24" customWidth="1"/>
    <col min="10752" max="10752" width="1.42578125" customWidth="1"/>
    <col min="10753" max="10754" width="22.7109375" customWidth="1"/>
    <col min="10755" max="10758" width="44.7109375" customWidth="1"/>
    <col min="10759" max="10760" width="44.5703125" customWidth="1"/>
    <col min="11004" max="11004" width="3.85546875" customWidth="1"/>
    <col min="11005" max="11005" width="17" customWidth="1"/>
    <col min="11006" max="11006" width="2.42578125" customWidth="1"/>
    <col min="11007" max="11007" width="24" customWidth="1"/>
    <col min="11008" max="11008" width="1.42578125" customWidth="1"/>
    <col min="11009" max="11010" width="22.7109375" customWidth="1"/>
    <col min="11011" max="11014" width="44.7109375" customWidth="1"/>
    <col min="11015" max="11016" width="44.5703125" customWidth="1"/>
    <col min="11260" max="11260" width="3.85546875" customWidth="1"/>
    <col min="11261" max="11261" width="17" customWidth="1"/>
    <col min="11262" max="11262" width="2.42578125" customWidth="1"/>
    <col min="11263" max="11263" width="24" customWidth="1"/>
    <col min="11264" max="11264" width="1.42578125" customWidth="1"/>
    <col min="11265" max="11266" width="22.7109375" customWidth="1"/>
    <col min="11267" max="11270" width="44.7109375" customWidth="1"/>
    <col min="11271" max="11272" width="44.5703125" customWidth="1"/>
    <col min="11516" max="11516" width="3.85546875" customWidth="1"/>
    <col min="11517" max="11517" width="17" customWidth="1"/>
    <col min="11518" max="11518" width="2.42578125" customWidth="1"/>
    <col min="11519" max="11519" width="24" customWidth="1"/>
    <col min="11520" max="11520" width="1.42578125" customWidth="1"/>
    <col min="11521" max="11522" width="22.7109375" customWidth="1"/>
    <col min="11523" max="11526" width="44.7109375" customWidth="1"/>
    <col min="11527" max="11528" width="44.5703125" customWidth="1"/>
    <col min="11772" max="11772" width="3.85546875" customWidth="1"/>
    <col min="11773" max="11773" width="17" customWidth="1"/>
    <col min="11774" max="11774" width="2.42578125" customWidth="1"/>
    <col min="11775" max="11775" width="24" customWidth="1"/>
    <col min="11776" max="11776" width="1.42578125" customWidth="1"/>
    <col min="11777" max="11778" width="22.7109375" customWidth="1"/>
    <col min="11779" max="11782" width="44.7109375" customWidth="1"/>
    <col min="11783" max="11784" width="44.5703125" customWidth="1"/>
    <col min="12028" max="12028" width="3.85546875" customWidth="1"/>
    <col min="12029" max="12029" width="17" customWidth="1"/>
    <col min="12030" max="12030" width="2.42578125" customWidth="1"/>
    <col min="12031" max="12031" width="24" customWidth="1"/>
    <col min="12032" max="12032" width="1.42578125" customWidth="1"/>
    <col min="12033" max="12034" width="22.7109375" customWidth="1"/>
    <col min="12035" max="12038" width="44.7109375" customWidth="1"/>
    <col min="12039" max="12040" width="44.5703125" customWidth="1"/>
    <col min="12284" max="12284" width="3.85546875" customWidth="1"/>
    <col min="12285" max="12285" width="17" customWidth="1"/>
    <col min="12286" max="12286" width="2.42578125" customWidth="1"/>
    <col min="12287" max="12287" width="24" customWidth="1"/>
    <col min="12288" max="12288" width="1.42578125" customWidth="1"/>
    <col min="12289" max="12290" width="22.7109375" customWidth="1"/>
    <col min="12291" max="12294" width="44.7109375" customWidth="1"/>
    <col min="12295" max="12296" width="44.5703125" customWidth="1"/>
    <col min="12540" max="12540" width="3.85546875" customWidth="1"/>
    <col min="12541" max="12541" width="17" customWidth="1"/>
    <col min="12542" max="12542" width="2.42578125" customWidth="1"/>
    <col min="12543" max="12543" width="24" customWidth="1"/>
    <col min="12544" max="12544" width="1.42578125" customWidth="1"/>
    <col min="12545" max="12546" width="22.7109375" customWidth="1"/>
    <col min="12547" max="12550" width="44.7109375" customWidth="1"/>
    <col min="12551" max="12552" width="44.5703125" customWidth="1"/>
    <col min="12796" max="12796" width="3.85546875" customWidth="1"/>
    <col min="12797" max="12797" width="17" customWidth="1"/>
    <col min="12798" max="12798" width="2.42578125" customWidth="1"/>
    <col min="12799" max="12799" width="24" customWidth="1"/>
    <col min="12800" max="12800" width="1.42578125" customWidth="1"/>
    <col min="12801" max="12802" width="22.7109375" customWidth="1"/>
    <col min="12803" max="12806" width="44.7109375" customWidth="1"/>
    <col min="12807" max="12808" width="44.5703125" customWidth="1"/>
    <col min="13052" max="13052" width="3.85546875" customWidth="1"/>
    <col min="13053" max="13053" width="17" customWidth="1"/>
    <col min="13054" max="13054" width="2.42578125" customWidth="1"/>
    <col min="13055" max="13055" width="24" customWidth="1"/>
    <col min="13056" max="13056" width="1.42578125" customWidth="1"/>
    <col min="13057" max="13058" width="22.7109375" customWidth="1"/>
    <col min="13059" max="13062" width="44.7109375" customWidth="1"/>
    <col min="13063" max="13064" width="44.5703125" customWidth="1"/>
    <col min="13308" max="13308" width="3.85546875" customWidth="1"/>
    <col min="13309" max="13309" width="17" customWidth="1"/>
    <col min="13310" max="13310" width="2.42578125" customWidth="1"/>
    <col min="13311" max="13311" width="24" customWidth="1"/>
    <col min="13312" max="13312" width="1.42578125" customWidth="1"/>
    <col min="13313" max="13314" width="22.7109375" customWidth="1"/>
    <col min="13315" max="13318" width="44.7109375" customWidth="1"/>
    <col min="13319" max="13320" width="44.5703125" customWidth="1"/>
    <col min="13564" max="13564" width="3.85546875" customWidth="1"/>
    <col min="13565" max="13565" width="17" customWidth="1"/>
    <col min="13566" max="13566" width="2.42578125" customWidth="1"/>
    <col min="13567" max="13567" width="24" customWidth="1"/>
    <col min="13568" max="13568" width="1.42578125" customWidth="1"/>
    <col min="13569" max="13570" width="22.7109375" customWidth="1"/>
    <col min="13571" max="13574" width="44.7109375" customWidth="1"/>
    <col min="13575" max="13576" width="44.5703125" customWidth="1"/>
    <col min="13820" max="13820" width="3.85546875" customWidth="1"/>
    <col min="13821" max="13821" width="17" customWidth="1"/>
    <col min="13822" max="13822" width="2.42578125" customWidth="1"/>
    <col min="13823" max="13823" width="24" customWidth="1"/>
    <col min="13824" max="13824" width="1.42578125" customWidth="1"/>
    <col min="13825" max="13826" width="22.7109375" customWidth="1"/>
    <col min="13827" max="13830" width="44.7109375" customWidth="1"/>
    <col min="13831" max="13832" width="44.5703125" customWidth="1"/>
    <col min="14076" max="14076" width="3.85546875" customWidth="1"/>
    <col min="14077" max="14077" width="17" customWidth="1"/>
    <col min="14078" max="14078" width="2.42578125" customWidth="1"/>
    <col min="14079" max="14079" width="24" customWidth="1"/>
    <col min="14080" max="14080" width="1.42578125" customWidth="1"/>
    <col min="14081" max="14082" width="22.7109375" customWidth="1"/>
    <col min="14083" max="14086" width="44.7109375" customWidth="1"/>
    <col min="14087" max="14088" width="44.5703125" customWidth="1"/>
    <col min="14332" max="14332" width="3.85546875" customWidth="1"/>
    <col min="14333" max="14333" width="17" customWidth="1"/>
    <col min="14334" max="14334" width="2.42578125" customWidth="1"/>
    <col min="14335" max="14335" width="24" customWidth="1"/>
    <col min="14336" max="14336" width="1.42578125" customWidth="1"/>
    <col min="14337" max="14338" width="22.7109375" customWidth="1"/>
    <col min="14339" max="14342" width="44.7109375" customWidth="1"/>
    <col min="14343" max="14344" width="44.5703125" customWidth="1"/>
    <col min="14588" max="14588" width="3.85546875" customWidth="1"/>
    <col min="14589" max="14589" width="17" customWidth="1"/>
    <col min="14590" max="14590" width="2.42578125" customWidth="1"/>
    <col min="14591" max="14591" width="24" customWidth="1"/>
    <col min="14592" max="14592" width="1.42578125" customWidth="1"/>
    <col min="14593" max="14594" width="22.7109375" customWidth="1"/>
    <col min="14595" max="14598" width="44.7109375" customWidth="1"/>
    <col min="14599" max="14600" width="44.5703125" customWidth="1"/>
    <col min="14844" max="14844" width="3.85546875" customWidth="1"/>
    <col min="14845" max="14845" width="17" customWidth="1"/>
    <col min="14846" max="14846" width="2.42578125" customWidth="1"/>
    <col min="14847" max="14847" width="24" customWidth="1"/>
    <col min="14848" max="14848" width="1.42578125" customWidth="1"/>
    <col min="14849" max="14850" width="22.7109375" customWidth="1"/>
    <col min="14851" max="14854" width="44.7109375" customWidth="1"/>
    <col min="14855" max="14856" width="44.5703125" customWidth="1"/>
    <col min="15100" max="15100" width="3.85546875" customWidth="1"/>
    <col min="15101" max="15101" width="17" customWidth="1"/>
    <col min="15102" max="15102" width="2.42578125" customWidth="1"/>
    <col min="15103" max="15103" width="24" customWidth="1"/>
    <col min="15104" max="15104" width="1.42578125" customWidth="1"/>
    <col min="15105" max="15106" width="22.7109375" customWidth="1"/>
    <col min="15107" max="15110" width="44.7109375" customWidth="1"/>
    <col min="15111" max="15112" width="44.5703125" customWidth="1"/>
    <col min="15356" max="15356" width="3.85546875" customWidth="1"/>
    <col min="15357" max="15357" width="17" customWidth="1"/>
    <col min="15358" max="15358" width="2.42578125" customWidth="1"/>
    <col min="15359" max="15359" width="24" customWidth="1"/>
    <col min="15360" max="15360" width="1.42578125" customWidth="1"/>
    <col min="15361" max="15362" width="22.7109375" customWidth="1"/>
    <col min="15363" max="15366" width="44.7109375" customWidth="1"/>
    <col min="15367" max="15368" width="44.5703125" customWidth="1"/>
    <col min="15612" max="15612" width="3.85546875" customWidth="1"/>
    <col min="15613" max="15613" width="17" customWidth="1"/>
    <col min="15614" max="15614" width="2.42578125" customWidth="1"/>
    <col min="15615" max="15615" width="24" customWidth="1"/>
    <col min="15616" max="15616" width="1.42578125" customWidth="1"/>
    <col min="15617" max="15618" width="22.7109375" customWidth="1"/>
    <col min="15619" max="15622" width="44.7109375" customWidth="1"/>
    <col min="15623" max="15624" width="44.5703125" customWidth="1"/>
    <col min="15868" max="15868" width="3.85546875" customWidth="1"/>
    <col min="15869" max="15869" width="17" customWidth="1"/>
    <col min="15870" max="15870" width="2.42578125" customWidth="1"/>
    <col min="15871" max="15871" width="24" customWidth="1"/>
    <col min="15872" max="15872" width="1.42578125" customWidth="1"/>
    <col min="15873" max="15874" width="22.7109375" customWidth="1"/>
    <col min="15875" max="15878" width="44.7109375" customWidth="1"/>
    <col min="15879" max="15880" width="44.5703125" customWidth="1"/>
    <col min="16124" max="16124" width="3.85546875" customWidth="1"/>
    <col min="16125" max="16125" width="17" customWidth="1"/>
    <col min="16126" max="16126" width="2.42578125" customWidth="1"/>
    <col min="16127" max="16127" width="24" customWidth="1"/>
    <col min="16128" max="16128" width="1.42578125" customWidth="1"/>
    <col min="16129" max="16130" width="22.7109375" customWidth="1"/>
    <col min="16131" max="16134" width="44.7109375" customWidth="1"/>
    <col min="16135" max="16136" width="44.5703125" customWidth="1"/>
  </cols>
  <sheetData>
    <row r="4" spans="1:11" s="39" customFormat="1" ht="44.25" customHeight="1" x14ac:dyDescent="0.25"/>
    <row r="5" spans="1:11" s="39" customFormat="1" ht="27.75" customHeight="1" x14ac:dyDescent="0.25">
      <c r="B5" s="89"/>
      <c r="C5" s="90"/>
    </row>
    <row r="6" spans="1:11" s="96" customFormat="1" ht="76.5" customHeight="1" x14ac:dyDescent="0.25">
      <c r="A6" s="92"/>
      <c r="B6" s="93" t="s">
        <v>148</v>
      </c>
      <c r="C6" s="94"/>
      <c r="D6" s="304" t="str">
        <f>'KPI Summary'!B10</f>
        <v>Generate Sales Greater than or equal to Budget</v>
      </c>
      <c r="E6" s="310" t="str">
        <f>'KPI Summary'!B11</f>
        <v>Increase Sales in Specific Industries</v>
      </c>
      <c r="F6" s="316" t="str">
        <f>'KPI Summary'!B12</f>
        <v>Increase Gross Margins %</v>
      </c>
      <c r="G6" s="322" t="str">
        <f>'KPI Summary'!B13</f>
        <v>EBITDA % Overhead as % of Sales</v>
      </c>
      <c r="H6" s="315" t="str">
        <f>'KPI Summary'!B14</f>
        <v>Increase Average Sale Dollar amount per invoice &amp; per Units Sold</v>
      </c>
      <c r="I6" s="95"/>
      <c r="J6" s="91"/>
      <c r="K6" s="91"/>
    </row>
    <row r="7" spans="1:11" s="7" customFormat="1" ht="7.5" customHeight="1" x14ac:dyDescent="0.25">
      <c r="B7" s="93"/>
      <c r="C7" s="97"/>
      <c r="D7" s="113"/>
      <c r="E7" s="113"/>
      <c r="F7" s="113"/>
      <c r="G7" s="113"/>
      <c r="H7" s="113"/>
    </row>
    <row r="8" spans="1:11" ht="138.75" customHeight="1" x14ac:dyDescent="0.25">
      <c r="A8" s="7"/>
      <c r="B8" s="93" t="s">
        <v>149</v>
      </c>
      <c r="D8" s="306" t="str">
        <f>Sales!$B$7</f>
        <v>Increased Sales through implementation of detailed Sales Strategic Plan. Increased sales = $ to pay expenses, reduced inventory</v>
      </c>
      <c r="E8" s="311" t="str">
        <f>Sales!$B$30</f>
        <v>Increased Sales &amp; EBITDA, Larger Market Share, Increased Industry Base (protection from declines in specific Industries)</v>
      </c>
      <c r="F8" s="317" t="str">
        <f>Sales!$B$53</f>
        <v>A higher the Gross Margin = more dollars avaialable to pay S, G &amp; A overhead expenses.  Increase GM % and $'s through improved internal processes, LEAN processes, smart purchasing and increased employee efficiencies.</v>
      </c>
      <c r="G8" s="323" t="str">
        <f>Sales!B76</f>
        <v>Increased EBITDA = Increased Shareholder Value, Incentive Payments, Capital for Future Growth</v>
      </c>
      <c r="H8" s="311" t="str">
        <f>Sales!B99</f>
        <v>Increased Sales &amp; EBITDA, Larger Market Share, Increased Industry Base (protection from declines in specific Industries)</v>
      </c>
    </row>
    <row r="9" spans="1:11" s="7" customFormat="1" ht="7.5" customHeight="1" x14ac:dyDescent="0.25">
      <c r="B9" s="93"/>
      <c r="C9" s="97"/>
      <c r="D9" s="98"/>
      <c r="E9" s="98"/>
      <c r="F9" s="98"/>
      <c r="G9" s="98"/>
      <c r="H9" s="301"/>
    </row>
    <row r="10" spans="1:11" s="103" customFormat="1" ht="15.75" customHeight="1" x14ac:dyDescent="0.2">
      <c r="A10" s="100"/>
      <c r="B10" s="101" t="s">
        <v>110</v>
      </c>
      <c r="C10" s="102"/>
      <c r="D10" s="307" t="str">
        <f>Sales!Q9</f>
        <v>Actual Sales vs Planned Sales</v>
      </c>
      <c r="E10" s="312" t="str">
        <f>Sales!Q31</f>
        <v xml:space="preserve">$ in Sales in Specific Industries </v>
      </c>
      <c r="F10" s="318" t="str">
        <f>Sales!Q54</f>
        <v>Actual GM % vs Planned Gm %</v>
      </c>
      <c r="G10" s="324" t="str">
        <f>Sales!Q78</f>
        <v>EBITDA/Sales = EBITDA Contribution</v>
      </c>
      <c r="H10" s="576" t="str">
        <f>Sales!Q101</f>
        <v>Average Sale</v>
      </c>
      <c r="I10" s="99"/>
      <c r="J10" s="99"/>
      <c r="K10" s="99"/>
    </row>
    <row r="11" spans="1:11" s="103" customFormat="1" ht="15.75" x14ac:dyDescent="0.2">
      <c r="A11" s="100"/>
      <c r="B11" s="101"/>
      <c r="C11" s="102"/>
      <c r="D11" s="308"/>
      <c r="E11" s="313"/>
      <c r="F11" s="319"/>
      <c r="G11" s="325"/>
      <c r="H11" s="577"/>
      <c r="I11" s="99"/>
      <c r="J11" s="99"/>
      <c r="K11" s="99"/>
    </row>
    <row r="12" spans="1:11" s="103" customFormat="1" ht="15.75" x14ac:dyDescent="0.2">
      <c r="A12" s="100"/>
      <c r="B12" s="101" t="s">
        <v>150</v>
      </c>
      <c r="C12" s="102"/>
      <c r="D12" s="574">
        <f>Sales!Q11</f>
        <v>7.3392431339854042E-2</v>
      </c>
      <c r="E12" s="528" t="e">
        <f>Sales!Q33</f>
        <v>#REF!</v>
      </c>
      <c r="F12" s="320">
        <f>Sales!Q56</f>
        <v>0.74</v>
      </c>
      <c r="G12" s="326">
        <f>Sales!Q80</f>
        <v>0.48135584620704464</v>
      </c>
      <c r="H12" s="528">
        <f>Sales!Q103</f>
        <v>10768.75</v>
      </c>
      <c r="I12" s="99"/>
      <c r="J12" s="99"/>
      <c r="K12" s="99"/>
    </row>
    <row r="13" spans="1:11" s="103" customFormat="1" x14ac:dyDescent="0.2">
      <c r="A13" s="100"/>
      <c r="B13" s="104"/>
      <c r="C13" s="102"/>
      <c r="D13" s="325"/>
      <c r="E13" s="519"/>
      <c r="F13" s="320"/>
      <c r="G13" s="326"/>
      <c r="H13" s="313"/>
      <c r="I13" s="99"/>
      <c r="J13" s="99"/>
      <c r="K13" s="99"/>
    </row>
    <row r="14" spans="1:11" s="103" customFormat="1" ht="15.75" x14ac:dyDescent="0.2">
      <c r="A14" s="100"/>
      <c r="B14" s="101" t="s">
        <v>112</v>
      </c>
      <c r="C14" s="102"/>
      <c r="D14" s="574">
        <f>Sales!Q12</f>
        <v>0.9</v>
      </c>
      <c r="E14" s="528">
        <f>Sales!Q34</f>
        <v>25000</v>
      </c>
      <c r="F14" s="320">
        <f>Sales!Q57</f>
        <v>0.6</v>
      </c>
      <c r="G14" s="326">
        <f>Sales!Q81</f>
        <v>0.03</v>
      </c>
      <c r="H14" s="528">
        <f>Sales!Q104</f>
        <v>500</v>
      </c>
      <c r="I14" s="99"/>
      <c r="J14" s="99"/>
      <c r="K14" s="99"/>
    </row>
    <row r="15" spans="1:11" s="248" customFormat="1" ht="26.25" customHeight="1" x14ac:dyDescent="0.25">
      <c r="A15" s="245"/>
      <c r="B15" s="105" t="s">
        <v>151</v>
      </c>
      <c r="C15" s="246"/>
      <c r="D15" s="365">
        <f>Sales!Q13</f>
        <v>8.1547145933171153E-2</v>
      </c>
      <c r="E15" s="366" t="e">
        <f>Sales!Q35</f>
        <v>#REF!</v>
      </c>
      <c r="F15" s="320">
        <f>Sales!Q58</f>
        <v>1.2333333333333334</v>
      </c>
      <c r="G15" s="326">
        <f>Sales!Q82</f>
        <v>16.045194873568157</v>
      </c>
      <c r="H15" s="366">
        <f>Sales!Q105</f>
        <v>21.537500000000001</v>
      </c>
      <c r="I15" s="247"/>
      <c r="J15" s="247"/>
      <c r="K15" s="247"/>
    </row>
    <row r="16" spans="1:11" s="103" customFormat="1" ht="15.75" x14ac:dyDescent="0.2">
      <c r="A16" s="100"/>
      <c r="B16" s="101" t="s">
        <v>114</v>
      </c>
      <c r="C16" s="102"/>
      <c r="D16" s="309" t="s">
        <v>115</v>
      </c>
      <c r="E16" s="314" t="s">
        <v>115</v>
      </c>
      <c r="F16" s="321" t="s">
        <v>115</v>
      </c>
      <c r="G16" s="327" t="s">
        <v>115</v>
      </c>
      <c r="H16" s="314" t="str">
        <f>Sales!Q106</f>
        <v>Sales Department</v>
      </c>
      <c r="I16" s="99"/>
      <c r="J16" s="99"/>
      <c r="K16" s="99"/>
    </row>
    <row r="17" spans="1:16" s="39" customFormat="1" ht="45" customHeight="1" x14ac:dyDescent="0.25">
      <c r="B17" s="106"/>
      <c r="C17" s="90"/>
      <c r="D17" s="44"/>
      <c r="E17" s="44"/>
      <c r="F17" s="44"/>
      <c r="G17" s="44"/>
      <c r="H17" s="44"/>
    </row>
    <row r="18" spans="1:16" s="39" customFormat="1" ht="15" customHeight="1" x14ac:dyDescent="0.25">
      <c r="B18" s="106"/>
      <c r="C18" s="90"/>
      <c r="D18" s="44"/>
      <c r="E18" s="44"/>
      <c r="F18" s="44"/>
      <c r="G18" s="44"/>
      <c r="H18" s="44"/>
    </row>
    <row r="19" spans="1:16" s="96" customFormat="1" ht="55.5" customHeight="1" x14ac:dyDescent="0.25">
      <c r="A19" s="92"/>
      <c r="B19" s="93" t="s">
        <v>148</v>
      </c>
      <c r="C19" s="94"/>
      <c r="D19" s="129" t="str">
        <f>'KPI Summary'!B17</f>
        <v>Improve Quote/Win/Loss Ratios</v>
      </c>
      <c r="E19" s="108" t="str">
        <f>'KPI Summary'!B18</f>
        <v>Improve Quote Turn Around Time</v>
      </c>
      <c r="F19" s="263" t="str">
        <f>'KPI Summary'!B19</f>
        <v>Reduce Quote to Actual Variances</v>
      </c>
      <c r="G19" s="257" t="str">
        <f>'Quotes &amp; Inventory'!B74</f>
        <v>Average Quote Dollar Amount (Min &amp; Max $'s)</v>
      </c>
      <c r="H19" s="111" t="str">
        <f>'Quotes &amp; Inventory'!B97</f>
        <v>Reduce/Eliminate Late Cost and Simple Inventory Adjustment</v>
      </c>
      <c r="I19" s="91"/>
      <c r="J19" s="92"/>
      <c r="K19" s="249"/>
      <c r="L19" s="249"/>
      <c r="M19" s="249"/>
      <c r="N19" s="249"/>
      <c r="O19" s="249"/>
      <c r="P19" s="249"/>
    </row>
    <row r="20" spans="1:16" s="7" customFormat="1" ht="7.5" customHeight="1" x14ac:dyDescent="0.25">
      <c r="B20" s="93"/>
      <c r="C20" s="97"/>
      <c r="D20" s="113"/>
      <c r="E20" s="113"/>
      <c r="F20" s="113"/>
      <c r="G20" s="113"/>
      <c r="H20" s="113"/>
    </row>
    <row r="21" spans="1:16" ht="75" customHeight="1" x14ac:dyDescent="0.25">
      <c r="A21" s="7"/>
      <c r="B21" s="93" t="s">
        <v>149</v>
      </c>
      <c r="D21" s="130" t="str">
        <f>'Quotes &amp; Inventory'!B7</f>
        <v>Improves Customer Service. Increased wins = Increased Sales = Increased EBITDA</v>
      </c>
      <c r="E21" s="114" t="str">
        <f>'Quotes &amp; Inventory'!B30</f>
        <v xml:space="preserve">Improves Customer Service.  Increases Quote Win potential. </v>
      </c>
      <c r="F21" s="264" t="str">
        <f>'Quotes &amp; Inventory'!B53</f>
        <v>Reduces Manufacturing Costs = Improves Profitabily per Job = Increases EBITDA</v>
      </c>
      <c r="G21" s="258" t="str">
        <f>'Quotes &amp; Inventory'!B75</f>
        <v>Increased quote dollars = Increased Sales = Increased EBITDA</v>
      </c>
      <c r="H21" s="116" t="str">
        <f>'Quotes &amp; Inventory'!B98</f>
        <v>Improve Accuracy of Customer Profitability Reports, improve inventory processes, Increase overall profitability</v>
      </c>
      <c r="I21" s="252"/>
      <c r="J21" s="250"/>
      <c r="K21" s="250"/>
      <c r="L21" s="250"/>
      <c r="M21" s="250"/>
      <c r="N21" s="250"/>
      <c r="O21" s="250"/>
      <c r="P21" s="10"/>
    </row>
    <row r="22" spans="1:16" s="7" customFormat="1" ht="7.5" customHeight="1" x14ac:dyDescent="0.25">
      <c r="B22" s="93"/>
      <c r="C22" s="97"/>
      <c r="D22" s="98"/>
      <c r="E22" s="98"/>
      <c r="F22" s="98"/>
      <c r="G22" s="98"/>
      <c r="H22" s="301"/>
    </row>
    <row r="23" spans="1:16" s="103" customFormat="1" ht="30" customHeight="1" x14ac:dyDescent="0.2">
      <c r="A23" s="100"/>
      <c r="B23" s="101" t="s">
        <v>110</v>
      </c>
      <c r="C23" s="102"/>
      <c r="D23" s="359" t="str">
        <f>'Quotes &amp; Inventory'!Q9</f>
        <v>% of W/L/C</v>
      </c>
      <c r="E23" s="117" t="str">
        <f>'Quotes &amp; Inventory'!R32</f>
        <v>Average Turn Around Days</v>
      </c>
      <c r="F23" s="373" t="str">
        <f>'Quotes &amp; Inventory'!R55</f>
        <v>Variance of Actual vs Estimate Job Costs</v>
      </c>
      <c r="G23" s="259" t="str">
        <f>'Quotes &amp; Inventory'!R77</f>
        <v>Average Quote Dollar Amount (Min $)</v>
      </c>
      <c r="H23" s="582" t="str">
        <f>'Quotes &amp; Inventory'!R100</f>
        <v>$ of Simple Inventory and Late Costs</v>
      </c>
      <c r="I23" s="99"/>
      <c r="J23" s="100"/>
      <c r="K23" s="251"/>
      <c r="L23" s="251"/>
      <c r="M23" s="251"/>
      <c r="N23" s="251"/>
      <c r="O23" s="251"/>
      <c r="P23" s="251"/>
    </row>
    <row r="24" spans="1:16" s="103" customFormat="1" x14ac:dyDescent="0.2">
      <c r="A24" s="100"/>
      <c r="B24" s="104"/>
      <c r="C24" s="102"/>
      <c r="D24" s="132"/>
      <c r="E24" s="118"/>
      <c r="F24" s="374"/>
      <c r="G24" s="260"/>
      <c r="H24" s="583"/>
      <c r="I24" s="99"/>
      <c r="J24" s="100"/>
      <c r="K24" s="251"/>
      <c r="L24" s="251"/>
      <c r="M24" s="251"/>
      <c r="N24" s="251"/>
      <c r="O24" s="251"/>
      <c r="P24" s="251"/>
    </row>
    <row r="25" spans="1:16" s="103" customFormat="1" ht="15.75" x14ac:dyDescent="0.2">
      <c r="A25" s="100"/>
      <c r="B25" s="101" t="s">
        <v>150</v>
      </c>
      <c r="C25" s="102"/>
      <c r="D25" s="133">
        <f>'Quotes &amp; Inventory'!Q11</f>
        <v>0</v>
      </c>
      <c r="E25" s="357">
        <f>'Quotes &amp; Inventory'!R34</f>
        <v>42240</v>
      </c>
      <c r="F25" s="375">
        <f>'Quotes &amp; Inventory'!R57</f>
        <v>1.3529</v>
      </c>
      <c r="G25" s="529">
        <f>'Quotes &amp; Inventory'!R79</f>
        <v>24901.58</v>
      </c>
      <c r="H25" s="381">
        <f>'Quotes &amp; Inventory'!R101</f>
        <v>1097524.47</v>
      </c>
      <c r="I25" s="99"/>
      <c r="J25" s="99"/>
    </row>
    <row r="26" spans="1:16" s="103" customFormat="1" x14ac:dyDescent="0.2">
      <c r="A26" s="100"/>
      <c r="B26" s="104"/>
      <c r="C26" s="102"/>
      <c r="D26" s="303"/>
      <c r="E26" s="357"/>
      <c r="F26" s="375"/>
      <c r="G26" s="530"/>
      <c r="H26" s="377"/>
      <c r="I26" s="99"/>
      <c r="J26" s="99"/>
    </row>
    <row r="27" spans="1:16" s="103" customFormat="1" ht="15.75" x14ac:dyDescent="0.2">
      <c r="A27" s="100"/>
      <c r="B27" s="101" t="s">
        <v>112</v>
      </c>
      <c r="C27" s="102"/>
      <c r="D27" s="133">
        <f>'Quotes &amp; Inventory'!Q12</f>
        <v>0.5</v>
      </c>
      <c r="E27" s="358">
        <f>'Quotes &amp; Inventory'!R35</f>
        <v>3</v>
      </c>
      <c r="F27" s="375">
        <f>'Quotes &amp; Inventory'!R58</f>
        <v>0.95</v>
      </c>
      <c r="G27" s="529">
        <f>'Quotes &amp; Inventory'!R80</f>
        <v>10000</v>
      </c>
      <c r="H27" s="381">
        <f>'Quotes &amp; Inventory'!R103</f>
        <v>3000000</v>
      </c>
      <c r="I27" s="99"/>
      <c r="J27" s="99"/>
    </row>
    <row r="28" spans="1:16" s="103" customFormat="1" ht="26.25" customHeight="1" x14ac:dyDescent="0.2">
      <c r="A28" s="100"/>
      <c r="B28" s="105" t="s">
        <v>151</v>
      </c>
      <c r="C28" s="102"/>
      <c r="D28" s="133">
        <f>'Quotes &amp; Inventory'!Q13</f>
        <v>0</v>
      </c>
      <c r="E28" s="367">
        <f>'Quotes &amp; Inventory'!R36</f>
        <v>14080</v>
      </c>
      <c r="F28" s="375">
        <f>'Quotes &amp; Inventory'!R59</f>
        <v>1.4241052631578948</v>
      </c>
      <c r="G28" s="270">
        <f>'Quotes &amp; Inventory'!R81</f>
        <v>2.4901580000000001</v>
      </c>
      <c r="H28" s="380">
        <f>'Quotes &amp; Inventory'!R104</f>
        <v>-4.1663000000000003E-4</v>
      </c>
      <c r="I28" s="99"/>
      <c r="J28" s="99"/>
    </row>
    <row r="29" spans="1:16" s="103" customFormat="1" ht="17.25" customHeight="1" x14ac:dyDescent="0.2">
      <c r="A29" s="100"/>
      <c r="B29" s="101" t="s">
        <v>114</v>
      </c>
      <c r="C29" s="102"/>
      <c r="D29" s="135" t="s">
        <v>166</v>
      </c>
      <c r="E29" s="125" t="s">
        <v>167</v>
      </c>
      <c r="F29" s="376" t="s">
        <v>167</v>
      </c>
      <c r="G29" s="379" t="s">
        <v>167</v>
      </c>
      <c r="H29" s="378" t="s">
        <v>169</v>
      </c>
      <c r="I29" s="99"/>
      <c r="J29" s="99"/>
    </row>
    <row r="30" spans="1:16" s="39" customFormat="1" ht="18" x14ac:dyDescent="0.25">
      <c r="A30" s="7"/>
      <c r="B30" s="93"/>
      <c r="C30" s="90"/>
      <c r="D30" s="44"/>
      <c r="E30" s="44"/>
      <c r="F30" s="44"/>
      <c r="G30" s="44"/>
      <c r="H30" s="44"/>
    </row>
    <row r="31" spans="1:16" ht="39" customHeight="1" x14ac:dyDescent="0.25">
      <c r="A31" s="7"/>
      <c r="B31" s="93"/>
      <c r="D31" s="107"/>
      <c r="E31" s="107"/>
      <c r="F31" s="107"/>
      <c r="G31" s="107"/>
      <c r="H31" s="107"/>
    </row>
    <row r="32" spans="1:16" s="96" customFormat="1" ht="54.75" customHeight="1" x14ac:dyDescent="0.25">
      <c r="A32" s="92"/>
      <c r="B32" s="93" t="s">
        <v>152</v>
      </c>
      <c r="C32" s="94"/>
      <c r="D32" s="305" t="str">
        <f>'KPI Summary'!B23</f>
        <v>Improve Quality - Reduce Total Rework Costs</v>
      </c>
      <c r="E32" s="333" t="str">
        <f>'KPI Summary'!B24</f>
        <v>Identify number of units scrapped per units completed</v>
      </c>
      <c r="F32" s="339" t="s">
        <v>88</v>
      </c>
      <c r="G32" s="345" t="str">
        <f>'Quality '!$B$74</f>
        <v>Units Scrapped by Scrap Code</v>
      </c>
      <c r="H32" s="338" t="str">
        <f>'Quotes &amp; Inventory'!B120</f>
        <v>Increase Inventory Turns</v>
      </c>
      <c r="J32" s="91"/>
      <c r="K32" s="91"/>
    </row>
    <row r="33" spans="1:16" s="7" customFormat="1" ht="7.5" customHeight="1" x14ac:dyDescent="0.25">
      <c r="B33" s="112"/>
      <c r="C33" s="97"/>
      <c r="D33" s="113"/>
      <c r="E33" s="113"/>
      <c r="F33" s="113"/>
      <c r="G33" s="113"/>
      <c r="H33" s="113"/>
    </row>
    <row r="34" spans="1:16" ht="75" customHeight="1" x14ac:dyDescent="0.25">
      <c r="A34" s="7"/>
      <c r="B34" s="93" t="s">
        <v>153</v>
      </c>
      <c r="D34" s="328" t="s">
        <v>162</v>
      </c>
      <c r="E34" s="334" t="s">
        <v>216</v>
      </c>
      <c r="F34" s="340" t="s">
        <v>215</v>
      </c>
      <c r="G34" s="346" t="str">
        <f>'Quality '!$B$75</f>
        <v>Decreasing overall reject % by scrap code leads to increased profitability through increased customer service,  decreased production costs, rework costs, etc.</v>
      </c>
      <c r="H34" s="334" t="str">
        <f>'Quotes &amp; Inventory'!B121</f>
        <v>Improved purchasing, reduced carrying costs, decreased dead inventory, increased DSI = increased profitabilty = increased Shareholder Value</v>
      </c>
      <c r="I34" s="250"/>
      <c r="J34" s="250"/>
      <c r="K34" s="250"/>
      <c r="L34" s="250"/>
      <c r="M34" s="250"/>
      <c r="N34" s="250"/>
      <c r="O34" s="250"/>
      <c r="P34" s="10"/>
    </row>
    <row r="35" spans="1:16" s="7" customFormat="1" ht="7.5" customHeight="1" x14ac:dyDescent="0.25">
      <c r="B35" s="112"/>
      <c r="C35" s="97"/>
      <c r="D35" s="98"/>
      <c r="E35" s="98"/>
      <c r="F35" s="98"/>
      <c r="G35" s="98"/>
      <c r="H35" s="141"/>
      <c r="I35" s="250"/>
      <c r="J35" s="250"/>
      <c r="K35" s="250"/>
      <c r="L35" s="250"/>
      <c r="M35" s="250"/>
      <c r="N35" s="250"/>
      <c r="O35" s="250"/>
    </row>
    <row r="36" spans="1:16" s="103" customFormat="1" ht="16.5" customHeight="1" x14ac:dyDescent="0.2">
      <c r="A36" s="100"/>
      <c r="B36" s="101" t="s">
        <v>154</v>
      </c>
      <c r="C36" s="102"/>
      <c r="D36" s="329" t="s">
        <v>1372</v>
      </c>
      <c r="E36" s="335" t="str">
        <f>'Quality '!Q31</f>
        <v># of Rejects</v>
      </c>
      <c r="F36" s="341" t="str">
        <f>'Quality '!R55</f>
        <v># of RMA's</v>
      </c>
      <c r="G36" s="347" t="str">
        <f>'Quality '!$R$77</f>
        <v>Quantity by Scrap Code</v>
      </c>
      <c r="H36" s="580" t="str">
        <f>'Quotes &amp; Inventory'!R124</f>
        <v>Increase Inventory Turns</v>
      </c>
      <c r="I36" s="251"/>
      <c r="J36" s="100"/>
      <c r="K36" s="100"/>
      <c r="L36" s="251"/>
      <c r="M36" s="251"/>
      <c r="N36" s="251"/>
      <c r="O36" s="251"/>
      <c r="P36" s="251"/>
    </row>
    <row r="37" spans="1:16" s="103" customFormat="1" ht="15.75" x14ac:dyDescent="0.2">
      <c r="A37" s="100"/>
      <c r="B37" s="101"/>
      <c r="C37" s="102"/>
      <c r="D37" s="330"/>
      <c r="E37" s="336"/>
      <c r="F37" s="342"/>
      <c r="G37" s="348"/>
      <c r="H37" s="581"/>
      <c r="I37" s="251"/>
      <c r="J37" s="100"/>
      <c r="K37" s="100"/>
      <c r="L37" s="251"/>
      <c r="M37" s="251"/>
      <c r="N37" s="251"/>
      <c r="O37" s="251"/>
      <c r="P37" s="251"/>
    </row>
    <row r="38" spans="1:16" s="103" customFormat="1" ht="15.75" x14ac:dyDescent="0.2">
      <c r="A38" s="100"/>
      <c r="B38" s="101" t="s">
        <v>155</v>
      </c>
      <c r="C38" s="102"/>
      <c r="D38" s="331">
        <f>'Quality '!Q11</f>
        <v>0</v>
      </c>
      <c r="E38" s="531" t="e">
        <f>'Quality '!Q33</f>
        <v>#REF!</v>
      </c>
      <c r="F38" s="343" t="e">
        <f>'Quality '!R57</f>
        <v>#REF!</v>
      </c>
      <c r="G38" s="438">
        <f>'Quality '!$R$79</f>
        <v>0</v>
      </c>
      <c r="H38" s="352">
        <f>'Quotes &amp; Inventory'!R126</f>
        <v>65.735526649625683</v>
      </c>
      <c r="J38" s="99"/>
      <c r="K38" s="99"/>
    </row>
    <row r="39" spans="1:16" s="103" customFormat="1" ht="15.75" x14ac:dyDescent="0.2">
      <c r="A39" s="100"/>
      <c r="B39" s="101"/>
      <c r="C39" s="102"/>
      <c r="D39" s="331"/>
      <c r="E39" s="361"/>
      <c r="F39" s="342"/>
      <c r="G39" s="350"/>
      <c r="H39" s="336"/>
      <c r="J39" s="99"/>
      <c r="K39" s="99"/>
    </row>
    <row r="40" spans="1:16" s="103" customFormat="1" ht="15.75" x14ac:dyDescent="0.2">
      <c r="A40" s="100"/>
      <c r="B40" s="101" t="s">
        <v>156</v>
      </c>
      <c r="C40" s="102"/>
      <c r="D40" s="331">
        <f>'Quality '!Q12</f>
        <v>0.03</v>
      </c>
      <c r="E40" s="531">
        <f>'Quality '!Q34</f>
        <v>1E-3</v>
      </c>
      <c r="F40" s="342">
        <f>'Quality '!R58</f>
        <v>150</v>
      </c>
      <c r="G40" s="438">
        <f>'Quality '!$R$80</f>
        <v>350</v>
      </c>
      <c r="H40" s="352">
        <f>'Quotes &amp; Inventory'!R127</f>
        <v>1.5</v>
      </c>
      <c r="J40" s="99"/>
      <c r="K40" s="99"/>
    </row>
    <row r="41" spans="1:16" s="103" customFormat="1" ht="26.25" customHeight="1" x14ac:dyDescent="0.2">
      <c r="A41" s="100"/>
      <c r="B41" s="105" t="s">
        <v>151</v>
      </c>
      <c r="C41" s="102"/>
      <c r="D41" s="368">
        <f>'Quality '!Q13</f>
        <v>0</v>
      </c>
      <c r="E41" s="369" t="e">
        <f>'Quality '!Q35</f>
        <v>#REF!</v>
      </c>
      <c r="F41" s="370" t="e">
        <f>'Quality '!R59</f>
        <v>#REF!</v>
      </c>
      <c r="G41" s="349">
        <f>'Quality '!R81</f>
        <v>0</v>
      </c>
      <c r="H41" s="496">
        <f>'Quotes &amp; Inventory'!R128</f>
        <v>43.823684433083791</v>
      </c>
      <c r="J41" s="99"/>
      <c r="K41" s="99"/>
    </row>
    <row r="42" spans="1:16" s="127" customFormat="1" ht="19.5" customHeight="1" x14ac:dyDescent="0.25">
      <c r="A42" s="122"/>
      <c r="B42" s="123" t="s">
        <v>157</v>
      </c>
      <c r="C42" s="124"/>
      <c r="D42" s="332" t="s">
        <v>168</v>
      </c>
      <c r="E42" s="337" t="s">
        <v>168</v>
      </c>
      <c r="F42" s="344" t="s">
        <v>169</v>
      </c>
      <c r="G42" s="351" t="s">
        <v>169</v>
      </c>
      <c r="H42" s="337" t="s">
        <v>169</v>
      </c>
      <c r="J42" s="121"/>
      <c r="K42" s="121"/>
    </row>
    <row r="43" spans="1:16" s="39" customFormat="1" ht="18" x14ac:dyDescent="0.25">
      <c r="A43" s="7"/>
      <c r="B43" s="93"/>
      <c r="C43" s="90"/>
      <c r="D43" s="128"/>
      <c r="E43" s="128"/>
      <c r="F43" s="128"/>
      <c r="G43" s="128"/>
      <c r="H43" s="128"/>
    </row>
    <row r="44" spans="1:16" ht="39" customHeight="1" x14ac:dyDescent="0.25">
      <c r="A44" s="7"/>
      <c r="B44" s="112"/>
      <c r="D44" s="107"/>
      <c r="E44" s="107"/>
      <c r="F44" s="107"/>
      <c r="G44" s="107"/>
      <c r="H44" s="107"/>
    </row>
    <row r="45" spans="1:16" s="96" customFormat="1" ht="60" customHeight="1" x14ac:dyDescent="0.25">
      <c r="A45" s="92"/>
      <c r="B45" s="93" t="str">
        <f>B32</f>
        <v>Objective</v>
      </c>
      <c r="C45" s="94"/>
      <c r="D45" s="109" t="str">
        <f>'KPI Summary'!B34</f>
        <v>Review and Improve Work Center Utilization</v>
      </c>
      <c r="E45" s="110" t="str">
        <f>Production!$B$29</f>
        <v>Improve On-Time Delivery</v>
      </c>
      <c r="F45" s="263" t="str">
        <f>Production!$B$52</f>
        <v>Reduce Overall Production Times</v>
      </c>
      <c r="G45" s="257" t="str">
        <f>Production!B74</f>
        <v>% of Units Scrapped per Workcenter</v>
      </c>
      <c r="H45" s="256"/>
      <c r="I45" s="91"/>
      <c r="J45" s="91"/>
      <c r="K45" s="91"/>
    </row>
    <row r="46" spans="1:16" s="7" customFormat="1" ht="7.5" customHeight="1" x14ac:dyDescent="0.25">
      <c r="B46" s="93"/>
      <c r="C46" s="97"/>
      <c r="D46" s="113"/>
      <c r="E46" s="113"/>
      <c r="F46" s="113"/>
      <c r="G46" s="113"/>
      <c r="H46" s="113"/>
    </row>
    <row r="47" spans="1:16" ht="108.75" customHeight="1" x14ac:dyDescent="0.25">
      <c r="A47" s="7"/>
      <c r="B47" s="93" t="str">
        <f>B34</f>
        <v>Benefit</v>
      </c>
      <c r="D47" s="114" t="str">
        <f>Production!B7</f>
        <v>Increase Work Center Efficiencies = Reduced Manufacturing GM% &amp; Revenues = Increased EBITDA</v>
      </c>
      <c r="E47" s="115" t="s">
        <v>164</v>
      </c>
      <c r="F47" s="264" t="s">
        <v>616</v>
      </c>
      <c r="G47" s="258" t="str">
        <f>Production!B75</f>
        <v>Improve Accuracy of Customer Profitability Reports, improve inventory processes, Increase overall profitability</v>
      </c>
      <c r="H47" s="255"/>
    </row>
    <row r="48" spans="1:16" s="7" customFormat="1" ht="7.5" customHeight="1" x14ac:dyDescent="0.25">
      <c r="B48" s="93"/>
      <c r="C48" s="97"/>
      <c r="D48" s="98"/>
      <c r="E48" s="98"/>
      <c r="F48" s="98"/>
      <c r="G48" s="98"/>
      <c r="H48" s="98"/>
    </row>
    <row r="49" spans="1:11" s="103" customFormat="1" ht="16.5" customHeight="1" x14ac:dyDescent="0.2">
      <c r="A49" s="100"/>
      <c r="B49" s="101" t="str">
        <f>B36</f>
        <v>Performance Measure</v>
      </c>
      <c r="C49" s="102"/>
      <c r="D49" s="131" t="str">
        <f>Production!Q9</f>
        <v>Work Center Utilization %</v>
      </c>
      <c r="E49" s="117" t="str">
        <f>Production!R32</f>
        <v># of Jobs On-Time</v>
      </c>
      <c r="F49" s="265" t="str">
        <f>Production!R55</f>
        <v>Actual vs Estimate Production Time</v>
      </c>
      <c r="G49" s="259" t="str">
        <f>Production!R76</f>
        <v>% of Unts Scrapped</v>
      </c>
      <c r="H49" s="578"/>
      <c r="I49" s="99"/>
      <c r="J49" s="99"/>
      <c r="K49" s="99"/>
    </row>
    <row r="50" spans="1:11" s="103" customFormat="1" ht="15.75" x14ac:dyDescent="0.2">
      <c r="A50" s="100"/>
      <c r="B50" s="101"/>
      <c r="C50" s="102"/>
      <c r="D50" s="132"/>
      <c r="E50" s="118"/>
      <c r="F50" s="266"/>
      <c r="G50" s="260"/>
      <c r="H50" s="579"/>
      <c r="I50" s="99"/>
      <c r="J50" s="99"/>
      <c r="K50" s="99"/>
    </row>
    <row r="51" spans="1:11" s="103" customFormat="1" ht="15.75" x14ac:dyDescent="0.2">
      <c r="A51" s="100"/>
      <c r="B51" s="101" t="s">
        <v>155</v>
      </c>
      <c r="C51" s="102"/>
      <c r="D51" s="133" t="e">
        <f>Production!Q11</f>
        <v>#REF!</v>
      </c>
      <c r="E51" s="119">
        <f>Production!R34</f>
        <v>0</v>
      </c>
      <c r="F51" s="267">
        <f>Production!R57</f>
        <v>1.3999999999999999E-2</v>
      </c>
      <c r="G51" s="532">
        <f>Production!R78</f>
        <v>0</v>
      </c>
      <c r="H51" s="254"/>
      <c r="I51" s="99"/>
      <c r="J51" s="99"/>
      <c r="K51" s="99"/>
    </row>
    <row r="52" spans="1:11" s="103" customFormat="1" ht="15.75" x14ac:dyDescent="0.2">
      <c r="A52" s="100"/>
      <c r="B52" s="101"/>
      <c r="C52" s="102"/>
      <c r="D52" s="132"/>
      <c r="E52" s="118"/>
      <c r="F52" s="268"/>
      <c r="G52" s="261"/>
      <c r="H52" s="120"/>
      <c r="I52" s="99"/>
      <c r="J52" s="99"/>
      <c r="K52" s="99"/>
    </row>
    <row r="53" spans="1:11" s="103" customFormat="1" ht="15.75" x14ac:dyDescent="0.2">
      <c r="A53" s="100"/>
      <c r="B53" s="101" t="s">
        <v>156</v>
      </c>
      <c r="C53" s="102"/>
      <c r="D53" s="134">
        <f>Production!Q12</f>
        <v>0.9</v>
      </c>
      <c r="E53" s="119">
        <f>Production!R35</f>
        <v>0.45</v>
      </c>
      <c r="F53" s="267">
        <f>Production!R58</f>
        <v>0.85</v>
      </c>
      <c r="G53" s="533">
        <f>Production!R79</f>
        <v>0.01</v>
      </c>
      <c r="H53" s="253"/>
      <c r="I53" s="99"/>
      <c r="J53" s="99"/>
      <c r="K53" s="99"/>
    </row>
    <row r="54" spans="1:11" s="103" customFormat="1" ht="26.25" customHeight="1" x14ac:dyDescent="0.2">
      <c r="A54" s="100"/>
      <c r="B54" s="105" t="s">
        <v>151</v>
      </c>
      <c r="C54" s="102"/>
      <c r="D54" s="134" t="e">
        <f>Production!Q13</f>
        <v>#REF!</v>
      </c>
      <c r="E54" s="119">
        <f>Production!R36</f>
        <v>0</v>
      </c>
      <c r="F54" s="267">
        <f>Production!R59</f>
        <v>1.6470588235294115E-2</v>
      </c>
      <c r="G54" s="534">
        <f>Production!R80</f>
        <v>0</v>
      </c>
      <c r="H54" s="253"/>
      <c r="I54" s="99"/>
      <c r="J54" s="99"/>
      <c r="K54" s="99"/>
    </row>
    <row r="55" spans="1:11" s="103" customFormat="1" ht="17.25" customHeight="1" x14ac:dyDescent="0.2">
      <c r="A55" s="100"/>
      <c r="B55" s="101" t="s">
        <v>157</v>
      </c>
      <c r="C55" s="102"/>
      <c r="D55" s="135" t="s">
        <v>169</v>
      </c>
      <c r="E55" s="125" t="s">
        <v>169</v>
      </c>
      <c r="F55" s="269" t="s">
        <v>169</v>
      </c>
      <c r="G55" s="262" t="s">
        <v>169</v>
      </c>
      <c r="H55" s="126" t="s">
        <v>169</v>
      </c>
      <c r="I55" s="99"/>
      <c r="J55" s="99"/>
      <c r="K55" s="99"/>
    </row>
    <row r="56" spans="1:11" s="39" customFormat="1" ht="13.5" customHeight="1" x14ac:dyDescent="0.25">
      <c r="A56" s="7"/>
      <c r="B56" s="93"/>
      <c r="C56" s="90"/>
      <c r="D56" s="128"/>
      <c r="E56" s="128"/>
      <c r="F56" s="128"/>
      <c r="G56" s="128"/>
      <c r="H56" s="128"/>
    </row>
    <row r="57" spans="1:11" ht="38.25" customHeight="1" x14ac:dyDescent="0.25">
      <c r="A57" s="7"/>
      <c r="B57" s="112"/>
      <c r="D57" s="8"/>
      <c r="E57" s="8"/>
      <c r="F57" s="8"/>
      <c r="G57" s="8"/>
      <c r="H57" s="8"/>
    </row>
    <row r="58" spans="1:11" s="7" customFormat="1" ht="7.5" customHeight="1" x14ac:dyDescent="0.25">
      <c r="B58" s="93"/>
      <c r="C58" s="97"/>
    </row>
    <row r="59" spans="1:11" s="96" customFormat="1" ht="60" customHeight="1" x14ac:dyDescent="0.25">
      <c r="A59" s="92"/>
      <c r="B59" s="93" t="str">
        <f>B45</f>
        <v>Objective</v>
      </c>
      <c r="C59" s="94"/>
      <c r="D59" s="305" t="str">
        <f>Labor!B6</f>
        <v>Increase Chargeable Hours Percentage</v>
      </c>
      <c r="E59" s="333" t="str">
        <f>Labor!B29</f>
        <v>Reduce Indirect Hours per Work Order Sequence Code</v>
      </c>
      <c r="F59" s="339" t="str">
        <f>Labor!B53</f>
        <v>Increase Revenue per Labor hour for each department (Sales, Admin, Shop)</v>
      </c>
      <c r="G59" s="345" t="str">
        <f>Labor!B77</f>
        <v>Reduce Labor Costs per Unit</v>
      </c>
      <c r="H59" s="338"/>
      <c r="I59" s="91"/>
      <c r="J59" s="91"/>
      <c r="K59" s="91"/>
    </row>
    <row r="60" spans="1:11" s="7" customFormat="1" ht="7.5" customHeight="1" x14ac:dyDescent="0.25">
      <c r="B60" s="93"/>
      <c r="C60" s="97"/>
      <c r="D60" s="113"/>
      <c r="E60" s="113"/>
      <c r="F60" s="113"/>
      <c r="G60" s="113"/>
      <c r="H60" s="113"/>
    </row>
    <row r="61" spans="1:11" ht="108.75" customHeight="1" x14ac:dyDescent="0.25">
      <c r="A61" s="7"/>
      <c r="B61" s="93" t="str">
        <f>B47</f>
        <v>Benefit</v>
      </c>
      <c r="D61" s="328" t="str">
        <f>Labor!B7</f>
        <v>Reduces Manufacturing Costs = Increases Revenue per Labor Hour (shop), reduces Unapplied OH = Increases EBITDA</v>
      </c>
      <c r="E61" s="334" t="str">
        <f>Labor!B30</f>
        <v>Increases labor efficiency &amp; overall profitability.  Increases Manufacturing GM% and EBITDA</v>
      </c>
      <c r="F61" s="340" t="str">
        <f>Labor!B55</f>
        <v>Increases labor efficiency &amp; overall profitability.  Increases Manufacturing GM% and EBITDA</v>
      </c>
      <c r="G61" s="346" t="str">
        <f>Labor!B79</f>
        <v>Increases profitabiliy through reduced labor cost, reduced rework costs and reduced overall producion cycle times</v>
      </c>
      <c r="H61" s="334"/>
    </row>
    <row r="62" spans="1:11" s="7" customFormat="1" ht="7.5" customHeight="1" x14ac:dyDescent="0.25">
      <c r="B62" s="93"/>
      <c r="C62" s="97"/>
      <c r="D62" s="98"/>
      <c r="E62" s="98"/>
      <c r="F62" s="98"/>
      <c r="G62" s="98"/>
      <c r="H62" s="302"/>
    </row>
    <row r="63" spans="1:11" s="103" customFormat="1" ht="16.5" customHeight="1" x14ac:dyDescent="0.2">
      <c r="A63" s="100"/>
      <c r="B63" s="101" t="str">
        <f>B49</f>
        <v>Performance Measure</v>
      </c>
      <c r="C63" s="102"/>
      <c r="D63" s="329" t="str">
        <f>Labor!Q9</f>
        <v>% of Direct Labor</v>
      </c>
      <c r="E63" s="335" t="str">
        <f>Labor!Q32</f>
        <v># of Indirect Hours above breaks and balancing</v>
      </c>
      <c r="F63" s="341" t="str">
        <f>Labor!Q57</f>
        <v>Revenue $ per Labor Hour</v>
      </c>
      <c r="G63" s="347" t="str">
        <f>Labor!Q82</f>
        <v>$ Labor Costs per Unit Produced</v>
      </c>
      <c r="H63" s="580"/>
      <c r="I63" s="99"/>
      <c r="J63" s="99"/>
      <c r="K63" s="99"/>
    </row>
    <row r="64" spans="1:11" s="103" customFormat="1" ht="15.75" x14ac:dyDescent="0.2">
      <c r="A64" s="100"/>
      <c r="B64" s="101"/>
      <c r="C64" s="102"/>
      <c r="D64" s="330"/>
      <c r="E64" s="336"/>
      <c r="F64" s="342"/>
      <c r="G64" s="348"/>
      <c r="H64" s="581"/>
      <c r="I64" s="99"/>
      <c r="J64" s="99"/>
      <c r="K64" s="99"/>
    </row>
    <row r="65" spans="1:11" s="103" customFormat="1" ht="15.75" x14ac:dyDescent="0.2">
      <c r="A65" s="100"/>
      <c r="B65" s="101" t="s">
        <v>155</v>
      </c>
      <c r="C65" s="102"/>
      <c r="D65" s="331">
        <f>Labor!Q11</f>
        <v>1</v>
      </c>
      <c r="E65" s="360">
        <f>Labor!Q34</f>
        <v>0</v>
      </c>
      <c r="F65" s="355">
        <f>Labor!Q59</f>
        <v>73530.444168725575</v>
      </c>
      <c r="G65" s="354">
        <f>Labor!Q84</f>
        <v>15.23</v>
      </c>
      <c r="H65" s="352"/>
      <c r="I65" s="99"/>
      <c r="J65" s="99"/>
      <c r="K65" s="99"/>
    </row>
    <row r="66" spans="1:11" s="103" customFormat="1" ht="15.75" x14ac:dyDescent="0.2">
      <c r="A66" s="100"/>
      <c r="B66" s="101"/>
      <c r="C66" s="102"/>
      <c r="D66" s="331"/>
      <c r="E66" s="361"/>
      <c r="F66" s="356"/>
      <c r="G66" s="354"/>
      <c r="H66" s="336"/>
      <c r="I66" s="99"/>
      <c r="J66" s="99"/>
      <c r="K66" s="99"/>
    </row>
    <row r="67" spans="1:11" s="103" customFormat="1" ht="15.75" x14ac:dyDescent="0.2">
      <c r="A67" s="100"/>
      <c r="B67" s="101" t="s">
        <v>156</v>
      </c>
      <c r="C67" s="102"/>
      <c r="D67" s="331">
        <f>Labor!Q12</f>
        <v>1</v>
      </c>
      <c r="E67" s="361">
        <f>Labor!Q35</f>
        <v>100</v>
      </c>
      <c r="F67" s="356">
        <f>Labor!Q60</f>
        <v>145</v>
      </c>
      <c r="G67" s="354">
        <f>Labor!Q85</f>
        <v>6.5</v>
      </c>
      <c r="H67" s="352"/>
      <c r="I67" s="99"/>
      <c r="J67" s="99"/>
      <c r="K67" s="99"/>
    </row>
    <row r="68" spans="1:11" s="103" customFormat="1" ht="26.25" customHeight="1" x14ac:dyDescent="0.2">
      <c r="A68" s="100"/>
      <c r="B68" s="105" t="s">
        <v>151</v>
      </c>
      <c r="C68" s="102"/>
      <c r="D68" s="331">
        <f>Labor!Q13</f>
        <v>1</v>
      </c>
      <c r="E68" s="369">
        <f>Labor!Q36</f>
        <v>0</v>
      </c>
      <c r="F68" s="370">
        <f>Labor!Q61</f>
        <v>507.10651150845223</v>
      </c>
      <c r="G68" s="575">
        <f>Labor!Q86</f>
        <v>2.3430769230769233</v>
      </c>
      <c r="H68" s="353"/>
      <c r="I68" s="99"/>
      <c r="J68" s="99"/>
      <c r="K68" s="99"/>
    </row>
    <row r="69" spans="1:11" s="103" customFormat="1" ht="17.25" customHeight="1" x14ac:dyDescent="0.2">
      <c r="A69" s="100"/>
      <c r="B69" s="101" t="s">
        <v>157</v>
      </c>
      <c r="C69" s="102"/>
      <c r="D69" s="332" t="s">
        <v>169</v>
      </c>
      <c r="E69" s="337" t="s">
        <v>169</v>
      </c>
      <c r="F69" s="344" t="s">
        <v>169</v>
      </c>
      <c r="G69" s="351" t="s">
        <v>169</v>
      </c>
      <c r="H69" s="337" t="s">
        <v>169</v>
      </c>
      <c r="I69" s="99"/>
      <c r="J69" s="99"/>
      <c r="K69" s="99"/>
    </row>
  </sheetData>
  <mergeCells count="5">
    <mergeCell ref="H10:H11"/>
    <mergeCell ref="H49:H50"/>
    <mergeCell ref="H36:H37"/>
    <mergeCell ref="H63:H64"/>
    <mergeCell ref="H23:H24"/>
  </mergeCells>
  <conditionalFormatting sqref="F15:G15">
    <cfRule type="iconSet" priority="7">
      <iconSet iconSet="3TrafficLights2">
        <cfvo type="percent" val="0"/>
        <cfvo type="percent" val="33"/>
        <cfvo type="percent" val="67"/>
      </iconSet>
    </cfRule>
  </conditionalFormatting>
  <conditionalFormatting sqref="D15:E15">
    <cfRule type="iconSet" priority="6">
      <iconSet iconSet="3TrafficLights2">
        <cfvo type="percent" val="0"/>
        <cfvo type="percent" val="33"/>
        <cfvo type="percent" val="67"/>
      </iconSet>
    </cfRule>
  </conditionalFormatting>
  <conditionalFormatting sqref="D28:H28">
    <cfRule type="iconSet" priority="5">
      <iconSet iconSet="3TrafficLights2">
        <cfvo type="percent" val="0"/>
        <cfvo type="percent" val="33"/>
        <cfvo type="percent" val="67"/>
      </iconSet>
    </cfRule>
  </conditionalFormatting>
  <conditionalFormatting sqref="D41:G41">
    <cfRule type="iconSet" priority="4">
      <iconSet iconSet="3TrafficLights2">
        <cfvo type="percent" val="0"/>
        <cfvo type="percent" val="33"/>
        <cfvo type="percent" val="67"/>
      </iconSet>
    </cfRule>
  </conditionalFormatting>
  <conditionalFormatting sqref="D54:G54">
    <cfRule type="iconSet" priority="3">
      <iconSet iconSet="3TrafficLights2">
        <cfvo type="percent" val="0"/>
        <cfvo type="percent" val="33"/>
        <cfvo type="percent" val="67"/>
      </iconSet>
    </cfRule>
  </conditionalFormatting>
  <conditionalFormatting sqref="D68:G68">
    <cfRule type="iconSet" priority="2">
      <iconSet iconSet="3TrafficLights2">
        <cfvo type="percent" val="0"/>
        <cfvo type="percent" val="33"/>
        <cfvo type="percent" val="67"/>
      </iconSet>
    </cfRule>
  </conditionalFormatting>
  <conditionalFormatting sqref="H15">
    <cfRule type="iconSet" priority="1">
      <iconSet iconSet="3TrafficLights2">
        <cfvo type="percent" val="0"/>
        <cfvo type="percent" val="33"/>
        <cfvo type="percent" val="67"/>
      </iconSet>
    </cfRule>
  </conditionalFormatting>
  <pageMargins left="0.7" right="0.7" top="0.75" bottom="0.75" header="0.3" footer="0.3"/>
  <pageSetup scale="35" orientation="landscape" r:id="rId1"/>
  <ignoredErrors>
    <ignoredError sqref="E68"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pageSetUpPr fitToPage="1"/>
  </sheetPr>
  <dimension ref="B1:AA56"/>
  <sheetViews>
    <sheetView showGridLines="0" zoomScale="55" zoomScaleNormal="55" workbookViewId="0"/>
  </sheetViews>
  <sheetFormatPr defaultRowHeight="12.75" x14ac:dyDescent="0.2"/>
  <cols>
    <col min="1" max="1" width="3.42578125" style="147" customWidth="1"/>
    <col min="2" max="2" width="19.42578125" style="142" customWidth="1"/>
    <col min="3" max="3" width="7.42578125" style="143" customWidth="1"/>
    <col min="4" max="4" width="19.42578125" style="142" customWidth="1"/>
    <col min="5" max="5" width="7.42578125" style="144" customWidth="1"/>
    <col min="6" max="6" width="19.42578125" style="145" customWidth="1"/>
    <col min="7" max="7" width="7.42578125" style="144" customWidth="1"/>
    <col min="8" max="8" width="19.42578125" style="144" customWidth="1"/>
    <col min="9" max="9" width="7.42578125" style="144" customWidth="1"/>
    <col min="10" max="10" width="19.42578125" style="144" customWidth="1"/>
    <col min="11" max="11" width="7.42578125" style="144" customWidth="1"/>
    <col min="12" max="12" width="19.42578125" style="146" customWidth="1"/>
    <col min="13" max="13" width="7.42578125" style="144" customWidth="1"/>
    <col min="14" max="16" width="19.42578125" style="146" customWidth="1"/>
    <col min="17" max="17" width="9.140625" style="144"/>
    <col min="18" max="20" width="9.140625" style="147"/>
    <col min="21" max="21" width="12" style="147" customWidth="1"/>
    <col min="22" max="22" width="12.42578125" style="147" customWidth="1"/>
    <col min="23" max="23" width="11.140625" style="147" customWidth="1"/>
    <col min="24" max="24" width="9.140625" style="147"/>
    <col min="25" max="25" width="13" style="147" customWidth="1"/>
    <col min="26" max="26" width="15.5703125" style="147" customWidth="1"/>
    <col min="27" max="27" width="11.7109375" style="147" customWidth="1"/>
    <col min="28" max="28" width="14.85546875" style="147" customWidth="1"/>
    <col min="29" max="29" width="11.7109375" style="147" customWidth="1"/>
    <col min="30" max="256" width="9.140625" style="147"/>
    <col min="257" max="257" width="3.42578125" style="147" customWidth="1"/>
    <col min="258" max="258" width="19.42578125" style="147" customWidth="1"/>
    <col min="259" max="259" width="7.42578125" style="147" customWidth="1"/>
    <col min="260" max="260" width="19.42578125" style="147" customWidth="1"/>
    <col min="261" max="261" width="7.42578125" style="147" customWidth="1"/>
    <col min="262" max="262" width="19.42578125" style="147" customWidth="1"/>
    <col min="263" max="263" width="7.42578125" style="147" customWidth="1"/>
    <col min="264" max="264" width="19.42578125" style="147" customWidth="1"/>
    <col min="265" max="265" width="7.42578125" style="147" customWidth="1"/>
    <col min="266" max="266" width="19.42578125" style="147" customWidth="1"/>
    <col min="267" max="267" width="7.42578125" style="147" customWidth="1"/>
    <col min="268" max="268" width="19.42578125" style="147" customWidth="1"/>
    <col min="269" max="269" width="7.42578125" style="147" customWidth="1"/>
    <col min="270" max="272" width="19.42578125" style="147" customWidth="1"/>
    <col min="273" max="276" width="9.140625" style="147"/>
    <col min="277" max="277" width="12" style="147" customWidth="1"/>
    <col min="278" max="278" width="12.42578125" style="147" customWidth="1"/>
    <col min="279" max="279" width="11.140625" style="147" customWidth="1"/>
    <col min="280" max="280" width="9.140625" style="147"/>
    <col min="281" max="281" width="13" style="147" customWidth="1"/>
    <col min="282" max="282" width="15.5703125" style="147" customWidth="1"/>
    <col min="283" max="283" width="11.7109375" style="147" customWidth="1"/>
    <col min="284" max="284" width="14.85546875" style="147" customWidth="1"/>
    <col min="285" max="285" width="11.7109375" style="147" customWidth="1"/>
    <col min="286" max="512" width="9.140625" style="147"/>
    <col min="513" max="513" width="3.42578125" style="147" customWidth="1"/>
    <col min="514" max="514" width="19.42578125" style="147" customWidth="1"/>
    <col min="515" max="515" width="7.42578125" style="147" customWidth="1"/>
    <col min="516" max="516" width="19.42578125" style="147" customWidth="1"/>
    <col min="517" max="517" width="7.42578125" style="147" customWidth="1"/>
    <col min="518" max="518" width="19.42578125" style="147" customWidth="1"/>
    <col min="519" max="519" width="7.42578125" style="147" customWidth="1"/>
    <col min="520" max="520" width="19.42578125" style="147" customWidth="1"/>
    <col min="521" max="521" width="7.42578125" style="147" customWidth="1"/>
    <col min="522" max="522" width="19.42578125" style="147" customWidth="1"/>
    <col min="523" max="523" width="7.42578125" style="147" customWidth="1"/>
    <col min="524" max="524" width="19.42578125" style="147" customWidth="1"/>
    <col min="525" max="525" width="7.42578125" style="147" customWidth="1"/>
    <col min="526" max="528" width="19.42578125" style="147" customWidth="1"/>
    <col min="529" max="532" width="9.140625" style="147"/>
    <col min="533" max="533" width="12" style="147" customWidth="1"/>
    <col min="534" max="534" width="12.42578125" style="147" customWidth="1"/>
    <col min="535" max="535" width="11.140625" style="147" customWidth="1"/>
    <col min="536" max="536" width="9.140625" style="147"/>
    <col min="537" max="537" width="13" style="147" customWidth="1"/>
    <col min="538" max="538" width="15.5703125" style="147" customWidth="1"/>
    <col min="539" max="539" width="11.7109375" style="147" customWidth="1"/>
    <col min="540" max="540" width="14.85546875" style="147" customWidth="1"/>
    <col min="541" max="541" width="11.7109375" style="147" customWidth="1"/>
    <col min="542" max="768" width="9.140625" style="147"/>
    <col min="769" max="769" width="3.42578125" style="147" customWidth="1"/>
    <col min="770" max="770" width="19.42578125" style="147" customWidth="1"/>
    <col min="771" max="771" width="7.42578125" style="147" customWidth="1"/>
    <col min="772" max="772" width="19.42578125" style="147" customWidth="1"/>
    <col min="773" max="773" width="7.42578125" style="147" customWidth="1"/>
    <col min="774" max="774" width="19.42578125" style="147" customWidth="1"/>
    <col min="775" max="775" width="7.42578125" style="147" customWidth="1"/>
    <col min="776" max="776" width="19.42578125" style="147" customWidth="1"/>
    <col min="777" max="777" width="7.42578125" style="147" customWidth="1"/>
    <col min="778" max="778" width="19.42578125" style="147" customWidth="1"/>
    <col min="779" max="779" width="7.42578125" style="147" customWidth="1"/>
    <col min="780" max="780" width="19.42578125" style="147" customWidth="1"/>
    <col min="781" max="781" width="7.42578125" style="147" customWidth="1"/>
    <col min="782" max="784" width="19.42578125" style="147" customWidth="1"/>
    <col min="785" max="788" width="9.140625" style="147"/>
    <col min="789" max="789" width="12" style="147" customWidth="1"/>
    <col min="790" max="790" width="12.42578125" style="147" customWidth="1"/>
    <col min="791" max="791" width="11.140625" style="147" customWidth="1"/>
    <col min="792" max="792" width="9.140625" style="147"/>
    <col min="793" max="793" width="13" style="147" customWidth="1"/>
    <col min="794" max="794" width="15.5703125" style="147" customWidth="1"/>
    <col min="795" max="795" width="11.7109375" style="147" customWidth="1"/>
    <col min="796" max="796" width="14.85546875" style="147" customWidth="1"/>
    <col min="797" max="797" width="11.7109375" style="147" customWidth="1"/>
    <col min="798" max="1024" width="9.140625" style="147"/>
    <col min="1025" max="1025" width="3.42578125" style="147" customWidth="1"/>
    <col min="1026" max="1026" width="19.42578125" style="147" customWidth="1"/>
    <col min="1027" max="1027" width="7.42578125" style="147" customWidth="1"/>
    <col min="1028" max="1028" width="19.42578125" style="147" customWidth="1"/>
    <col min="1029" max="1029" width="7.42578125" style="147" customWidth="1"/>
    <col min="1030" max="1030" width="19.42578125" style="147" customWidth="1"/>
    <col min="1031" max="1031" width="7.42578125" style="147" customWidth="1"/>
    <col min="1032" max="1032" width="19.42578125" style="147" customWidth="1"/>
    <col min="1033" max="1033" width="7.42578125" style="147" customWidth="1"/>
    <col min="1034" max="1034" width="19.42578125" style="147" customWidth="1"/>
    <col min="1035" max="1035" width="7.42578125" style="147" customWidth="1"/>
    <col min="1036" max="1036" width="19.42578125" style="147" customWidth="1"/>
    <col min="1037" max="1037" width="7.42578125" style="147" customWidth="1"/>
    <col min="1038" max="1040" width="19.42578125" style="147" customWidth="1"/>
    <col min="1041" max="1044" width="9.140625" style="147"/>
    <col min="1045" max="1045" width="12" style="147" customWidth="1"/>
    <col min="1046" max="1046" width="12.42578125" style="147" customWidth="1"/>
    <col min="1047" max="1047" width="11.140625" style="147" customWidth="1"/>
    <col min="1048" max="1048" width="9.140625" style="147"/>
    <col min="1049" max="1049" width="13" style="147" customWidth="1"/>
    <col min="1050" max="1050" width="15.5703125" style="147" customWidth="1"/>
    <col min="1051" max="1051" width="11.7109375" style="147" customWidth="1"/>
    <col min="1052" max="1052" width="14.85546875" style="147" customWidth="1"/>
    <col min="1053" max="1053" width="11.7109375" style="147" customWidth="1"/>
    <col min="1054" max="1280" width="9.140625" style="147"/>
    <col min="1281" max="1281" width="3.42578125" style="147" customWidth="1"/>
    <col min="1282" max="1282" width="19.42578125" style="147" customWidth="1"/>
    <col min="1283" max="1283" width="7.42578125" style="147" customWidth="1"/>
    <col min="1284" max="1284" width="19.42578125" style="147" customWidth="1"/>
    <col min="1285" max="1285" width="7.42578125" style="147" customWidth="1"/>
    <col min="1286" max="1286" width="19.42578125" style="147" customWidth="1"/>
    <col min="1287" max="1287" width="7.42578125" style="147" customWidth="1"/>
    <col min="1288" max="1288" width="19.42578125" style="147" customWidth="1"/>
    <col min="1289" max="1289" width="7.42578125" style="147" customWidth="1"/>
    <col min="1290" max="1290" width="19.42578125" style="147" customWidth="1"/>
    <col min="1291" max="1291" width="7.42578125" style="147" customWidth="1"/>
    <col min="1292" max="1292" width="19.42578125" style="147" customWidth="1"/>
    <col min="1293" max="1293" width="7.42578125" style="147" customWidth="1"/>
    <col min="1294" max="1296" width="19.42578125" style="147" customWidth="1"/>
    <col min="1297" max="1300" width="9.140625" style="147"/>
    <col min="1301" max="1301" width="12" style="147" customWidth="1"/>
    <col min="1302" max="1302" width="12.42578125" style="147" customWidth="1"/>
    <col min="1303" max="1303" width="11.140625" style="147" customWidth="1"/>
    <col min="1304" max="1304" width="9.140625" style="147"/>
    <col min="1305" max="1305" width="13" style="147" customWidth="1"/>
    <col min="1306" max="1306" width="15.5703125" style="147" customWidth="1"/>
    <col min="1307" max="1307" width="11.7109375" style="147" customWidth="1"/>
    <col min="1308" max="1308" width="14.85546875" style="147" customWidth="1"/>
    <col min="1309" max="1309" width="11.7109375" style="147" customWidth="1"/>
    <col min="1310" max="1536" width="9.140625" style="147"/>
    <col min="1537" max="1537" width="3.42578125" style="147" customWidth="1"/>
    <col min="1538" max="1538" width="19.42578125" style="147" customWidth="1"/>
    <col min="1539" max="1539" width="7.42578125" style="147" customWidth="1"/>
    <col min="1540" max="1540" width="19.42578125" style="147" customWidth="1"/>
    <col min="1541" max="1541" width="7.42578125" style="147" customWidth="1"/>
    <col min="1542" max="1542" width="19.42578125" style="147" customWidth="1"/>
    <col min="1543" max="1543" width="7.42578125" style="147" customWidth="1"/>
    <col min="1544" max="1544" width="19.42578125" style="147" customWidth="1"/>
    <col min="1545" max="1545" width="7.42578125" style="147" customWidth="1"/>
    <col min="1546" max="1546" width="19.42578125" style="147" customWidth="1"/>
    <col min="1547" max="1547" width="7.42578125" style="147" customWidth="1"/>
    <col min="1548" max="1548" width="19.42578125" style="147" customWidth="1"/>
    <col min="1549" max="1549" width="7.42578125" style="147" customWidth="1"/>
    <col min="1550" max="1552" width="19.42578125" style="147" customWidth="1"/>
    <col min="1553" max="1556" width="9.140625" style="147"/>
    <col min="1557" max="1557" width="12" style="147" customWidth="1"/>
    <col min="1558" max="1558" width="12.42578125" style="147" customWidth="1"/>
    <col min="1559" max="1559" width="11.140625" style="147" customWidth="1"/>
    <col min="1560" max="1560" width="9.140625" style="147"/>
    <col min="1561" max="1561" width="13" style="147" customWidth="1"/>
    <col min="1562" max="1562" width="15.5703125" style="147" customWidth="1"/>
    <col min="1563" max="1563" width="11.7109375" style="147" customWidth="1"/>
    <col min="1564" max="1564" width="14.85546875" style="147" customWidth="1"/>
    <col min="1565" max="1565" width="11.7109375" style="147" customWidth="1"/>
    <col min="1566" max="1792" width="9.140625" style="147"/>
    <col min="1793" max="1793" width="3.42578125" style="147" customWidth="1"/>
    <col min="1794" max="1794" width="19.42578125" style="147" customWidth="1"/>
    <col min="1795" max="1795" width="7.42578125" style="147" customWidth="1"/>
    <col min="1796" max="1796" width="19.42578125" style="147" customWidth="1"/>
    <col min="1797" max="1797" width="7.42578125" style="147" customWidth="1"/>
    <col min="1798" max="1798" width="19.42578125" style="147" customWidth="1"/>
    <col min="1799" max="1799" width="7.42578125" style="147" customWidth="1"/>
    <col min="1800" max="1800" width="19.42578125" style="147" customWidth="1"/>
    <col min="1801" max="1801" width="7.42578125" style="147" customWidth="1"/>
    <col min="1802" max="1802" width="19.42578125" style="147" customWidth="1"/>
    <col min="1803" max="1803" width="7.42578125" style="147" customWidth="1"/>
    <col min="1804" max="1804" width="19.42578125" style="147" customWidth="1"/>
    <col min="1805" max="1805" width="7.42578125" style="147" customWidth="1"/>
    <col min="1806" max="1808" width="19.42578125" style="147" customWidth="1"/>
    <col min="1809" max="1812" width="9.140625" style="147"/>
    <col min="1813" max="1813" width="12" style="147" customWidth="1"/>
    <col min="1814" max="1814" width="12.42578125" style="147" customWidth="1"/>
    <col min="1815" max="1815" width="11.140625" style="147" customWidth="1"/>
    <col min="1816" max="1816" width="9.140625" style="147"/>
    <col min="1817" max="1817" width="13" style="147" customWidth="1"/>
    <col min="1818" max="1818" width="15.5703125" style="147" customWidth="1"/>
    <col min="1819" max="1819" width="11.7109375" style="147" customWidth="1"/>
    <col min="1820" max="1820" width="14.85546875" style="147" customWidth="1"/>
    <col min="1821" max="1821" width="11.7109375" style="147" customWidth="1"/>
    <col min="1822" max="2048" width="9.140625" style="147"/>
    <col min="2049" max="2049" width="3.42578125" style="147" customWidth="1"/>
    <col min="2050" max="2050" width="19.42578125" style="147" customWidth="1"/>
    <col min="2051" max="2051" width="7.42578125" style="147" customWidth="1"/>
    <col min="2052" max="2052" width="19.42578125" style="147" customWidth="1"/>
    <col min="2053" max="2053" width="7.42578125" style="147" customWidth="1"/>
    <col min="2054" max="2054" width="19.42578125" style="147" customWidth="1"/>
    <col min="2055" max="2055" width="7.42578125" style="147" customWidth="1"/>
    <col min="2056" max="2056" width="19.42578125" style="147" customWidth="1"/>
    <col min="2057" max="2057" width="7.42578125" style="147" customWidth="1"/>
    <col min="2058" max="2058" width="19.42578125" style="147" customWidth="1"/>
    <col min="2059" max="2059" width="7.42578125" style="147" customWidth="1"/>
    <col min="2060" max="2060" width="19.42578125" style="147" customWidth="1"/>
    <col min="2061" max="2061" width="7.42578125" style="147" customWidth="1"/>
    <col min="2062" max="2064" width="19.42578125" style="147" customWidth="1"/>
    <col min="2065" max="2068" width="9.140625" style="147"/>
    <col min="2069" max="2069" width="12" style="147" customWidth="1"/>
    <col min="2070" max="2070" width="12.42578125" style="147" customWidth="1"/>
    <col min="2071" max="2071" width="11.140625" style="147" customWidth="1"/>
    <col min="2072" max="2072" width="9.140625" style="147"/>
    <col min="2073" max="2073" width="13" style="147" customWidth="1"/>
    <col min="2074" max="2074" width="15.5703125" style="147" customWidth="1"/>
    <col min="2075" max="2075" width="11.7109375" style="147" customWidth="1"/>
    <col min="2076" max="2076" width="14.85546875" style="147" customWidth="1"/>
    <col min="2077" max="2077" width="11.7109375" style="147" customWidth="1"/>
    <col min="2078" max="2304" width="9.140625" style="147"/>
    <col min="2305" max="2305" width="3.42578125" style="147" customWidth="1"/>
    <col min="2306" max="2306" width="19.42578125" style="147" customWidth="1"/>
    <col min="2307" max="2307" width="7.42578125" style="147" customWidth="1"/>
    <col min="2308" max="2308" width="19.42578125" style="147" customWidth="1"/>
    <col min="2309" max="2309" width="7.42578125" style="147" customWidth="1"/>
    <col min="2310" max="2310" width="19.42578125" style="147" customWidth="1"/>
    <col min="2311" max="2311" width="7.42578125" style="147" customWidth="1"/>
    <col min="2312" max="2312" width="19.42578125" style="147" customWidth="1"/>
    <col min="2313" max="2313" width="7.42578125" style="147" customWidth="1"/>
    <col min="2314" max="2314" width="19.42578125" style="147" customWidth="1"/>
    <col min="2315" max="2315" width="7.42578125" style="147" customWidth="1"/>
    <col min="2316" max="2316" width="19.42578125" style="147" customWidth="1"/>
    <col min="2317" max="2317" width="7.42578125" style="147" customWidth="1"/>
    <col min="2318" max="2320" width="19.42578125" style="147" customWidth="1"/>
    <col min="2321" max="2324" width="9.140625" style="147"/>
    <col min="2325" max="2325" width="12" style="147" customWidth="1"/>
    <col min="2326" max="2326" width="12.42578125" style="147" customWidth="1"/>
    <col min="2327" max="2327" width="11.140625" style="147" customWidth="1"/>
    <col min="2328" max="2328" width="9.140625" style="147"/>
    <col min="2329" max="2329" width="13" style="147" customWidth="1"/>
    <col min="2330" max="2330" width="15.5703125" style="147" customWidth="1"/>
    <col min="2331" max="2331" width="11.7109375" style="147" customWidth="1"/>
    <col min="2332" max="2332" width="14.85546875" style="147" customWidth="1"/>
    <col min="2333" max="2333" width="11.7109375" style="147" customWidth="1"/>
    <col min="2334" max="2560" width="9.140625" style="147"/>
    <col min="2561" max="2561" width="3.42578125" style="147" customWidth="1"/>
    <col min="2562" max="2562" width="19.42578125" style="147" customWidth="1"/>
    <col min="2563" max="2563" width="7.42578125" style="147" customWidth="1"/>
    <col min="2564" max="2564" width="19.42578125" style="147" customWidth="1"/>
    <col min="2565" max="2565" width="7.42578125" style="147" customWidth="1"/>
    <col min="2566" max="2566" width="19.42578125" style="147" customWidth="1"/>
    <col min="2567" max="2567" width="7.42578125" style="147" customWidth="1"/>
    <col min="2568" max="2568" width="19.42578125" style="147" customWidth="1"/>
    <col min="2569" max="2569" width="7.42578125" style="147" customWidth="1"/>
    <col min="2570" max="2570" width="19.42578125" style="147" customWidth="1"/>
    <col min="2571" max="2571" width="7.42578125" style="147" customWidth="1"/>
    <col min="2572" max="2572" width="19.42578125" style="147" customWidth="1"/>
    <col min="2573" max="2573" width="7.42578125" style="147" customWidth="1"/>
    <col min="2574" max="2576" width="19.42578125" style="147" customWidth="1"/>
    <col min="2577" max="2580" width="9.140625" style="147"/>
    <col min="2581" max="2581" width="12" style="147" customWidth="1"/>
    <col min="2582" max="2582" width="12.42578125" style="147" customWidth="1"/>
    <col min="2583" max="2583" width="11.140625" style="147" customWidth="1"/>
    <col min="2584" max="2584" width="9.140625" style="147"/>
    <col min="2585" max="2585" width="13" style="147" customWidth="1"/>
    <col min="2586" max="2586" width="15.5703125" style="147" customWidth="1"/>
    <col min="2587" max="2587" width="11.7109375" style="147" customWidth="1"/>
    <col min="2588" max="2588" width="14.85546875" style="147" customWidth="1"/>
    <col min="2589" max="2589" width="11.7109375" style="147" customWidth="1"/>
    <col min="2590" max="2816" width="9.140625" style="147"/>
    <col min="2817" max="2817" width="3.42578125" style="147" customWidth="1"/>
    <col min="2818" max="2818" width="19.42578125" style="147" customWidth="1"/>
    <col min="2819" max="2819" width="7.42578125" style="147" customWidth="1"/>
    <col min="2820" max="2820" width="19.42578125" style="147" customWidth="1"/>
    <col min="2821" max="2821" width="7.42578125" style="147" customWidth="1"/>
    <col min="2822" max="2822" width="19.42578125" style="147" customWidth="1"/>
    <col min="2823" max="2823" width="7.42578125" style="147" customWidth="1"/>
    <col min="2824" max="2824" width="19.42578125" style="147" customWidth="1"/>
    <col min="2825" max="2825" width="7.42578125" style="147" customWidth="1"/>
    <col min="2826" max="2826" width="19.42578125" style="147" customWidth="1"/>
    <col min="2827" max="2827" width="7.42578125" style="147" customWidth="1"/>
    <col min="2828" max="2828" width="19.42578125" style="147" customWidth="1"/>
    <col min="2829" max="2829" width="7.42578125" style="147" customWidth="1"/>
    <col min="2830" max="2832" width="19.42578125" style="147" customWidth="1"/>
    <col min="2833" max="2836" width="9.140625" style="147"/>
    <col min="2837" max="2837" width="12" style="147" customWidth="1"/>
    <col min="2838" max="2838" width="12.42578125" style="147" customWidth="1"/>
    <col min="2839" max="2839" width="11.140625" style="147" customWidth="1"/>
    <col min="2840" max="2840" width="9.140625" style="147"/>
    <col min="2841" max="2841" width="13" style="147" customWidth="1"/>
    <col min="2842" max="2842" width="15.5703125" style="147" customWidth="1"/>
    <col min="2843" max="2843" width="11.7109375" style="147" customWidth="1"/>
    <col min="2844" max="2844" width="14.85546875" style="147" customWidth="1"/>
    <col min="2845" max="2845" width="11.7109375" style="147" customWidth="1"/>
    <col min="2846" max="3072" width="9.140625" style="147"/>
    <col min="3073" max="3073" width="3.42578125" style="147" customWidth="1"/>
    <col min="3074" max="3074" width="19.42578125" style="147" customWidth="1"/>
    <col min="3075" max="3075" width="7.42578125" style="147" customWidth="1"/>
    <col min="3076" max="3076" width="19.42578125" style="147" customWidth="1"/>
    <col min="3077" max="3077" width="7.42578125" style="147" customWidth="1"/>
    <col min="3078" max="3078" width="19.42578125" style="147" customWidth="1"/>
    <col min="3079" max="3079" width="7.42578125" style="147" customWidth="1"/>
    <col min="3080" max="3080" width="19.42578125" style="147" customWidth="1"/>
    <col min="3081" max="3081" width="7.42578125" style="147" customWidth="1"/>
    <col min="3082" max="3082" width="19.42578125" style="147" customWidth="1"/>
    <col min="3083" max="3083" width="7.42578125" style="147" customWidth="1"/>
    <col min="3084" max="3084" width="19.42578125" style="147" customWidth="1"/>
    <col min="3085" max="3085" width="7.42578125" style="147" customWidth="1"/>
    <col min="3086" max="3088" width="19.42578125" style="147" customWidth="1"/>
    <col min="3089" max="3092" width="9.140625" style="147"/>
    <col min="3093" max="3093" width="12" style="147" customWidth="1"/>
    <col min="3094" max="3094" width="12.42578125" style="147" customWidth="1"/>
    <col min="3095" max="3095" width="11.140625" style="147" customWidth="1"/>
    <col min="3096" max="3096" width="9.140625" style="147"/>
    <col min="3097" max="3097" width="13" style="147" customWidth="1"/>
    <col min="3098" max="3098" width="15.5703125" style="147" customWidth="1"/>
    <col min="3099" max="3099" width="11.7109375" style="147" customWidth="1"/>
    <col min="3100" max="3100" width="14.85546875" style="147" customWidth="1"/>
    <col min="3101" max="3101" width="11.7109375" style="147" customWidth="1"/>
    <col min="3102" max="3328" width="9.140625" style="147"/>
    <col min="3329" max="3329" width="3.42578125" style="147" customWidth="1"/>
    <col min="3330" max="3330" width="19.42578125" style="147" customWidth="1"/>
    <col min="3331" max="3331" width="7.42578125" style="147" customWidth="1"/>
    <col min="3332" max="3332" width="19.42578125" style="147" customWidth="1"/>
    <col min="3333" max="3333" width="7.42578125" style="147" customWidth="1"/>
    <col min="3334" max="3334" width="19.42578125" style="147" customWidth="1"/>
    <col min="3335" max="3335" width="7.42578125" style="147" customWidth="1"/>
    <col min="3336" max="3336" width="19.42578125" style="147" customWidth="1"/>
    <col min="3337" max="3337" width="7.42578125" style="147" customWidth="1"/>
    <col min="3338" max="3338" width="19.42578125" style="147" customWidth="1"/>
    <col min="3339" max="3339" width="7.42578125" style="147" customWidth="1"/>
    <col min="3340" max="3340" width="19.42578125" style="147" customWidth="1"/>
    <col min="3341" max="3341" width="7.42578125" style="147" customWidth="1"/>
    <col min="3342" max="3344" width="19.42578125" style="147" customWidth="1"/>
    <col min="3345" max="3348" width="9.140625" style="147"/>
    <col min="3349" max="3349" width="12" style="147" customWidth="1"/>
    <col min="3350" max="3350" width="12.42578125" style="147" customWidth="1"/>
    <col min="3351" max="3351" width="11.140625" style="147" customWidth="1"/>
    <col min="3352" max="3352" width="9.140625" style="147"/>
    <col min="3353" max="3353" width="13" style="147" customWidth="1"/>
    <col min="3354" max="3354" width="15.5703125" style="147" customWidth="1"/>
    <col min="3355" max="3355" width="11.7109375" style="147" customWidth="1"/>
    <col min="3356" max="3356" width="14.85546875" style="147" customWidth="1"/>
    <col min="3357" max="3357" width="11.7109375" style="147" customWidth="1"/>
    <col min="3358" max="3584" width="9.140625" style="147"/>
    <col min="3585" max="3585" width="3.42578125" style="147" customWidth="1"/>
    <col min="3586" max="3586" width="19.42578125" style="147" customWidth="1"/>
    <col min="3587" max="3587" width="7.42578125" style="147" customWidth="1"/>
    <col min="3588" max="3588" width="19.42578125" style="147" customWidth="1"/>
    <col min="3589" max="3589" width="7.42578125" style="147" customWidth="1"/>
    <col min="3590" max="3590" width="19.42578125" style="147" customWidth="1"/>
    <col min="3591" max="3591" width="7.42578125" style="147" customWidth="1"/>
    <col min="3592" max="3592" width="19.42578125" style="147" customWidth="1"/>
    <col min="3593" max="3593" width="7.42578125" style="147" customWidth="1"/>
    <col min="3594" max="3594" width="19.42578125" style="147" customWidth="1"/>
    <col min="3595" max="3595" width="7.42578125" style="147" customWidth="1"/>
    <col min="3596" max="3596" width="19.42578125" style="147" customWidth="1"/>
    <col min="3597" max="3597" width="7.42578125" style="147" customWidth="1"/>
    <col min="3598" max="3600" width="19.42578125" style="147" customWidth="1"/>
    <col min="3601" max="3604" width="9.140625" style="147"/>
    <col min="3605" max="3605" width="12" style="147" customWidth="1"/>
    <col min="3606" max="3606" width="12.42578125" style="147" customWidth="1"/>
    <col min="3607" max="3607" width="11.140625" style="147" customWidth="1"/>
    <col min="3608" max="3608" width="9.140625" style="147"/>
    <col min="3609" max="3609" width="13" style="147" customWidth="1"/>
    <col min="3610" max="3610" width="15.5703125" style="147" customWidth="1"/>
    <col min="3611" max="3611" width="11.7109375" style="147" customWidth="1"/>
    <col min="3612" max="3612" width="14.85546875" style="147" customWidth="1"/>
    <col min="3613" max="3613" width="11.7109375" style="147" customWidth="1"/>
    <col min="3614" max="3840" width="9.140625" style="147"/>
    <col min="3841" max="3841" width="3.42578125" style="147" customWidth="1"/>
    <col min="3842" max="3842" width="19.42578125" style="147" customWidth="1"/>
    <col min="3843" max="3843" width="7.42578125" style="147" customWidth="1"/>
    <col min="3844" max="3844" width="19.42578125" style="147" customWidth="1"/>
    <col min="3845" max="3845" width="7.42578125" style="147" customWidth="1"/>
    <col min="3846" max="3846" width="19.42578125" style="147" customWidth="1"/>
    <col min="3847" max="3847" width="7.42578125" style="147" customWidth="1"/>
    <col min="3848" max="3848" width="19.42578125" style="147" customWidth="1"/>
    <col min="3849" max="3849" width="7.42578125" style="147" customWidth="1"/>
    <col min="3850" max="3850" width="19.42578125" style="147" customWidth="1"/>
    <col min="3851" max="3851" width="7.42578125" style="147" customWidth="1"/>
    <col min="3852" max="3852" width="19.42578125" style="147" customWidth="1"/>
    <col min="3853" max="3853" width="7.42578125" style="147" customWidth="1"/>
    <col min="3854" max="3856" width="19.42578125" style="147" customWidth="1"/>
    <col min="3857" max="3860" width="9.140625" style="147"/>
    <col min="3861" max="3861" width="12" style="147" customWidth="1"/>
    <col min="3862" max="3862" width="12.42578125" style="147" customWidth="1"/>
    <col min="3863" max="3863" width="11.140625" style="147" customWidth="1"/>
    <col min="3864" max="3864" width="9.140625" style="147"/>
    <col min="3865" max="3865" width="13" style="147" customWidth="1"/>
    <col min="3866" max="3866" width="15.5703125" style="147" customWidth="1"/>
    <col min="3867" max="3867" width="11.7109375" style="147" customWidth="1"/>
    <col min="3868" max="3868" width="14.85546875" style="147" customWidth="1"/>
    <col min="3869" max="3869" width="11.7109375" style="147" customWidth="1"/>
    <col min="3870" max="4096" width="9.140625" style="147"/>
    <col min="4097" max="4097" width="3.42578125" style="147" customWidth="1"/>
    <col min="4098" max="4098" width="19.42578125" style="147" customWidth="1"/>
    <col min="4099" max="4099" width="7.42578125" style="147" customWidth="1"/>
    <col min="4100" max="4100" width="19.42578125" style="147" customWidth="1"/>
    <col min="4101" max="4101" width="7.42578125" style="147" customWidth="1"/>
    <col min="4102" max="4102" width="19.42578125" style="147" customWidth="1"/>
    <col min="4103" max="4103" width="7.42578125" style="147" customWidth="1"/>
    <col min="4104" max="4104" width="19.42578125" style="147" customWidth="1"/>
    <col min="4105" max="4105" width="7.42578125" style="147" customWidth="1"/>
    <col min="4106" max="4106" width="19.42578125" style="147" customWidth="1"/>
    <col min="4107" max="4107" width="7.42578125" style="147" customWidth="1"/>
    <col min="4108" max="4108" width="19.42578125" style="147" customWidth="1"/>
    <col min="4109" max="4109" width="7.42578125" style="147" customWidth="1"/>
    <col min="4110" max="4112" width="19.42578125" style="147" customWidth="1"/>
    <col min="4113" max="4116" width="9.140625" style="147"/>
    <col min="4117" max="4117" width="12" style="147" customWidth="1"/>
    <col min="4118" max="4118" width="12.42578125" style="147" customWidth="1"/>
    <col min="4119" max="4119" width="11.140625" style="147" customWidth="1"/>
    <col min="4120" max="4120" width="9.140625" style="147"/>
    <col min="4121" max="4121" width="13" style="147" customWidth="1"/>
    <col min="4122" max="4122" width="15.5703125" style="147" customWidth="1"/>
    <col min="4123" max="4123" width="11.7109375" style="147" customWidth="1"/>
    <col min="4124" max="4124" width="14.85546875" style="147" customWidth="1"/>
    <col min="4125" max="4125" width="11.7109375" style="147" customWidth="1"/>
    <col min="4126" max="4352" width="9.140625" style="147"/>
    <col min="4353" max="4353" width="3.42578125" style="147" customWidth="1"/>
    <col min="4354" max="4354" width="19.42578125" style="147" customWidth="1"/>
    <col min="4355" max="4355" width="7.42578125" style="147" customWidth="1"/>
    <col min="4356" max="4356" width="19.42578125" style="147" customWidth="1"/>
    <col min="4357" max="4357" width="7.42578125" style="147" customWidth="1"/>
    <col min="4358" max="4358" width="19.42578125" style="147" customWidth="1"/>
    <col min="4359" max="4359" width="7.42578125" style="147" customWidth="1"/>
    <col min="4360" max="4360" width="19.42578125" style="147" customWidth="1"/>
    <col min="4361" max="4361" width="7.42578125" style="147" customWidth="1"/>
    <col min="4362" max="4362" width="19.42578125" style="147" customWidth="1"/>
    <col min="4363" max="4363" width="7.42578125" style="147" customWidth="1"/>
    <col min="4364" max="4364" width="19.42578125" style="147" customWidth="1"/>
    <col min="4365" max="4365" width="7.42578125" style="147" customWidth="1"/>
    <col min="4366" max="4368" width="19.42578125" style="147" customWidth="1"/>
    <col min="4369" max="4372" width="9.140625" style="147"/>
    <col min="4373" max="4373" width="12" style="147" customWidth="1"/>
    <col min="4374" max="4374" width="12.42578125" style="147" customWidth="1"/>
    <col min="4375" max="4375" width="11.140625" style="147" customWidth="1"/>
    <col min="4376" max="4376" width="9.140625" style="147"/>
    <col min="4377" max="4377" width="13" style="147" customWidth="1"/>
    <col min="4378" max="4378" width="15.5703125" style="147" customWidth="1"/>
    <col min="4379" max="4379" width="11.7109375" style="147" customWidth="1"/>
    <col min="4380" max="4380" width="14.85546875" style="147" customWidth="1"/>
    <col min="4381" max="4381" width="11.7109375" style="147" customWidth="1"/>
    <col min="4382" max="4608" width="9.140625" style="147"/>
    <col min="4609" max="4609" width="3.42578125" style="147" customWidth="1"/>
    <col min="4610" max="4610" width="19.42578125" style="147" customWidth="1"/>
    <col min="4611" max="4611" width="7.42578125" style="147" customWidth="1"/>
    <col min="4612" max="4612" width="19.42578125" style="147" customWidth="1"/>
    <col min="4613" max="4613" width="7.42578125" style="147" customWidth="1"/>
    <col min="4614" max="4614" width="19.42578125" style="147" customWidth="1"/>
    <col min="4615" max="4615" width="7.42578125" style="147" customWidth="1"/>
    <col min="4616" max="4616" width="19.42578125" style="147" customWidth="1"/>
    <col min="4617" max="4617" width="7.42578125" style="147" customWidth="1"/>
    <col min="4618" max="4618" width="19.42578125" style="147" customWidth="1"/>
    <col min="4619" max="4619" width="7.42578125" style="147" customWidth="1"/>
    <col min="4620" max="4620" width="19.42578125" style="147" customWidth="1"/>
    <col min="4621" max="4621" width="7.42578125" style="147" customWidth="1"/>
    <col min="4622" max="4624" width="19.42578125" style="147" customWidth="1"/>
    <col min="4625" max="4628" width="9.140625" style="147"/>
    <col min="4629" max="4629" width="12" style="147" customWidth="1"/>
    <col min="4630" max="4630" width="12.42578125" style="147" customWidth="1"/>
    <col min="4631" max="4631" width="11.140625" style="147" customWidth="1"/>
    <col min="4632" max="4632" width="9.140625" style="147"/>
    <col min="4633" max="4633" width="13" style="147" customWidth="1"/>
    <col min="4634" max="4634" width="15.5703125" style="147" customWidth="1"/>
    <col min="4635" max="4635" width="11.7109375" style="147" customWidth="1"/>
    <col min="4636" max="4636" width="14.85546875" style="147" customWidth="1"/>
    <col min="4637" max="4637" width="11.7109375" style="147" customWidth="1"/>
    <col min="4638" max="4864" width="9.140625" style="147"/>
    <col min="4865" max="4865" width="3.42578125" style="147" customWidth="1"/>
    <col min="4866" max="4866" width="19.42578125" style="147" customWidth="1"/>
    <col min="4867" max="4867" width="7.42578125" style="147" customWidth="1"/>
    <col min="4868" max="4868" width="19.42578125" style="147" customWidth="1"/>
    <col min="4869" max="4869" width="7.42578125" style="147" customWidth="1"/>
    <col min="4870" max="4870" width="19.42578125" style="147" customWidth="1"/>
    <col min="4871" max="4871" width="7.42578125" style="147" customWidth="1"/>
    <col min="4872" max="4872" width="19.42578125" style="147" customWidth="1"/>
    <col min="4873" max="4873" width="7.42578125" style="147" customWidth="1"/>
    <col min="4874" max="4874" width="19.42578125" style="147" customWidth="1"/>
    <col min="4875" max="4875" width="7.42578125" style="147" customWidth="1"/>
    <col min="4876" max="4876" width="19.42578125" style="147" customWidth="1"/>
    <col min="4877" max="4877" width="7.42578125" style="147" customWidth="1"/>
    <col min="4878" max="4880" width="19.42578125" style="147" customWidth="1"/>
    <col min="4881" max="4884" width="9.140625" style="147"/>
    <col min="4885" max="4885" width="12" style="147" customWidth="1"/>
    <col min="4886" max="4886" width="12.42578125" style="147" customWidth="1"/>
    <col min="4887" max="4887" width="11.140625" style="147" customWidth="1"/>
    <col min="4888" max="4888" width="9.140625" style="147"/>
    <col min="4889" max="4889" width="13" style="147" customWidth="1"/>
    <col min="4890" max="4890" width="15.5703125" style="147" customWidth="1"/>
    <col min="4891" max="4891" width="11.7109375" style="147" customWidth="1"/>
    <col min="4892" max="4892" width="14.85546875" style="147" customWidth="1"/>
    <col min="4893" max="4893" width="11.7109375" style="147" customWidth="1"/>
    <col min="4894" max="5120" width="9.140625" style="147"/>
    <col min="5121" max="5121" width="3.42578125" style="147" customWidth="1"/>
    <col min="5122" max="5122" width="19.42578125" style="147" customWidth="1"/>
    <col min="5123" max="5123" width="7.42578125" style="147" customWidth="1"/>
    <col min="5124" max="5124" width="19.42578125" style="147" customWidth="1"/>
    <col min="5125" max="5125" width="7.42578125" style="147" customWidth="1"/>
    <col min="5126" max="5126" width="19.42578125" style="147" customWidth="1"/>
    <col min="5127" max="5127" width="7.42578125" style="147" customWidth="1"/>
    <col min="5128" max="5128" width="19.42578125" style="147" customWidth="1"/>
    <col min="5129" max="5129" width="7.42578125" style="147" customWidth="1"/>
    <col min="5130" max="5130" width="19.42578125" style="147" customWidth="1"/>
    <col min="5131" max="5131" width="7.42578125" style="147" customWidth="1"/>
    <col min="5132" max="5132" width="19.42578125" style="147" customWidth="1"/>
    <col min="5133" max="5133" width="7.42578125" style="147" customWidth="1"/>
    <col min="5134" max="5136" width="19.42578125" style="147" customWidth="1"/>
    <col min="5137" max="5140" width="9.140625" style="147"/>
    <col min="5141" max="5141" width="12" style="147" customWidth="1"/>
    <col min="5142" max="5142" width="12.42578125" style="147" customWidth="1"/>
    <col min="5143" max="5143" width="11.140625" style="147" customWidth="1"/>
    <col min="5144" max="5144" width="9.140625" style="147"/>
    <col min="5145" max="5145" width="13" style="147" customWidth="1"/>
    <col min="5146" max="5146" width="15.5703125" style="147" customWidth="1"/>
    <col min="5147" max="5147" width="11.7109375" style="147" customWidth="1"/>
    <col min="5148" max="5148" width="14.85546875" style="147" customWidth="1"/>
    <col min="5149" max="5149" width="11.7109375" style="147" customWidth="1"/>
    <col min="5150" max="5376" width="9.140625" style="147"/>
    <col min="5377" max="5377" width="3.42578125" style="147" customWidth="1"/>
    <col min="5378" max="5378" width="19.42578125" style="147" customWidth="1"/>
    <col min="5379" max="5379" width="7.42578125" style="147" customWidth="1"/>
    <col min="5380" max="5380" width="19.42578125" style="147" customWidth="1"/>
    <col min="5381" max="5381" width="7.42578125" style="147" customWidth="1"/>
    <col min="5382" max="5382" width="19.42578125" style="147" customWidth="1"/>
    <col min="5383" max="5383" width="7.42578125" style="147" customWidth="1"/>
    <col min="5384" max="5384" width="19.42578125" style="147" customWidth="1"/>
    <col min="5385" max="5385" width="7.42578125" style="147" customWidth="1"/>
    <col min="5386" max="5386" width="19.42578125" style="147" customWidth="1"/>
    <col min="5387" max="5387" width="7.42578125" style="147" customWidth="1"/>
    <col min="5388" max="5388" width="19.42578125" style="147" customWidth="1"/>
    <col min="5389" max="5389" width="7.42578125" style="147" customWidth="1"/>
    <col min="5390" max="5392" width="19.42578125" style="147" customWidth="1"/>
    <col min="5393" max="5396" width="9.140625" style="147"/>
    <col min="5397" max="5397" width="12" style="147" customWidth="1"/>
    <col min="5398" max="5398" width="12.42578125" style="147" customWidth="1"/>
    <col min="5399" max="5399" width="11.140625" style="147" customWidth="1"/>
    <col min="5400" max="5400" width="9.140625" style="147"/>
    <col min="5401" max="5401" width="13" style="147" customWidth="1"/>
    <col min="5402" max="5402" width="15.5703125" style="147" customWidth="1"/>
    <col min="5403" max="5403" width="11.7109375" style="147" customWidth="1"/>
    <col min="5404" max="5404" width="14.85546875" style="147" customWidth="1"/>
    <col min="5405" max="5405" width="11.7109375" style="147" customWidth="1"/>
    <col min="5406" max="5632" width="9.140625" style="147"/>
    <col min="5633" max="5633" width="3.42578125" style="147" customWidth="1"/>
    <col min="5634" max="5634" width="19.42578125" style="147" customWidth="1"/>
    <col min="5635" max="5635" width="7.42578125" style="147" customWidth="1"/>
    <col min="5636" max="5636" width="19.42578125" style="147" customWidth="1"/>
    <col min="5637" max="5637" width="7.42578125" style="147" customWidth="1"/>
    <col min="5638" max="5638" width="19.42578125" style="147" customWidth="1"/>
    <col min="5639" max="5639" width="7.42578125" style="147" customWidth="1"/>
    <col min="5640" max="5640" width="19.42578125" style="147" customWidth="1"/>
    <col min="5641" max="5641" width="7.42578125" style="147" customWidth="1"/>
    <col min="5642" max="5642" width="19.42578125" style="147" customWidth="1"/>
    <col min="5643" max="5643" width="7.42578125" style="147" customWidth="1"/>
    <col min="5644" max="5644" width="19.42578125" style="147" customWidth="1"/>
    <col min="5645" max="5645" width="7.42578125" style="147" customWidth="1"/>
    <col min="5646" max="5648" width="19.42578125" style="147" customWidth="1"/>
    <col min="5649" max="5652" width="9.140625" style="147"/>
    <col min="5653" max="5653" width="12" style="147" customWidth="1"/>
    <col min="5654" max="5654" width="12.42578125" style="147" customWidth="1"/>
    <col min="5655" max="5655" width="11.140625" style="147" customWidth="1"/>
    <col min="5656" max="5656" width="9.140625" style="147"/>
    <col min="5657" max="5657" width="13" style="147" customWidth="1"/>
    <col min="5658" max="5658" width="15.5703125" style="147" customWidth="1"/>
    <col min="5659" max="5659" width="11.7109375" style="147" customWidth="1"/>
    <col min="5660" max="5660" width="14.85546875" style="147" customWidth="1"/>
    <col min="5661" max="5661" width="11.7109375" style="147" customWidth="1"/>
    <col min="5662" max="5888" width="9.140625" style="147"/>
    <col min="5889" max="5889" width="3.42578125" style="147" customWidth="1"/>
    <col min="5890" max="5890" width="19.42578125" style="147" customWidth="1"/>
    <col min="5891" max="5891" width="7.42578125" style="147" customWidth="1"/>
    <col min="5892" max="5892" width="19.42578125" style="147" customWidth="1"/>
    <col min="5893" max="5893" width="7.42578125" style="147" customWidth="1"/>
    <col min="5894" max="5894" width="19.42578125" style="147" customWidth="1"/>
    <col min="5895" max="5895" width="7.42578125" style="147" customWidth="1"/>
    <col min="5896" max="5896" width="19.42578125" style="147" customWidth="1"/>
    <col min="5897" max="5897" width="7.42578125" style="147" customWidth="1"/>
    <col min="5898" max="5898" width="19.42578125" style="147" customWidth="1"/>
    <col min="5899" max="5899" width="7.42578125" style="147" customWidth="1"/>
    <col min="5900" max="5900" width="19.42578125" style="147" customWidth="1"/>
    <col min="5901" max="5901" width="7.42578125" style="147" customWidth="1"/>
    <col min="5902" max="5904" width="19.42578125" style="147" customWidth="1"/>
    <col min="5905" max="5908" width="9.140625" style="147"/>
    <col min="5909" max="5909" width="12" style="147" customWidth="1"/>
    <col min="5910" max="5910" width="12.42578125" style="147" customWidth="1"/>
    <col min="5911" max="5911" width="11.140625" style="147" customWidth="1"/>
    <col min="5912" max="5912" width="9.140625" style="147"/>
    <col min="5913" max="5913" width="13" style="147" customWidth="1"/>
    <col min="5914" max="5914" width="15.5703125" style="147" customWidth="1"/>
    <col min="5915" max="5915" width="11.7109375" style="147" customWidth="1"/>
    <col min="5916" max="5916" width="14.85546875" style="147" customWidth="1"/>
    <col min="5917" max="5917" width="11.7109375" style="147" customWidth="1"/>
    <col min="5918" max="6144" width="9.140625" style="147"/>
    <col min="6145" max="6145" width="3.42578125" style="147" customWidth="1"/>
    <col min="6146" max="6146" width="19.42578125" style="147" customWidth="1"/>
    <col min="6147" max="6147" width="7.42578125" style="147" customWidth="1"/>
    <col min="6148" max="6148" width="19.42578125" style="147" customWidth="1"/>
    <col min="6149" max="6149" width="7.42578125" style="147" customWidth="1"/>
    <col min="6150" max="6150" width="19.42578125" style="147" customWidth="1"/>
    <col min="6151" max="6151" width="7.42578125" style="147" customWidth="1"/>
    <col min="6152" max="6152" width="19.42578125" style="147" customWidth="1"/>
    <col min="6153" max="6153" width="7.42578125" style="147" customWidth="1"/>
    <col min="6154" max="6154" width="19.42578125" style="147" customWidth="1"/>
    <col min="6155" max="6155" width="7.42578125" style="147" customWidth="1"/>
    <col min="6156" max="6156" width="19.42578125" style="147" customWidth="1"/>
    <col min="6157" max="6157" width="7.42578125" style="147" customWidth="1"/>
    <col min="6158" max="6160" width="19.42578125" style="147" customWidth="1"/>
    <col min="6161" max="6164" width="9.140625" style="147"/>
    <col min="6165" max="6165" width="12" style="147" customWidth="1"/>
    <col min="6166" max="6166" width="12.42578125" style="147" customWidth="1"/>
    <col min="6167" max="6167" width="11.140625" style="147" customWidth="1"/>
    <col min="6168" max="6168" width="9.140625" style="147"/>
    <col min="6169" max="6169" width="13" style="147" customWidth="1"/>
    <col min="6170" max="6170" width="15.5703125" style="147" customWidth="1"/>
    <col min="6171" max="6171" width="11.7109375" style="147" customWidth="1"/>
    <col min="6172" max="6172" width="14.85546875" style="147" customWidth="1"/>
    <col min="6173" max="6173" width="11.7109375" style="147" customWidth="1"/>
    <col min="6174" max="6400" width="9.140625" style="147"/>
    <col min="6401" max="6401" width="3.42578125" style="147" customWidth="1"/>
    <col min="6402" max="6402" width="19.42578125" style="147" customWidth="1"/>
    <col min="6403" max="6403" width="7.42578125" style="147" customWidth="1"/>
    <col min="6404" max="6404" width="19.42578125" style="147" customWidth="1"/>
    <col min="6405" max="6405" width="7.42578125" style="147" customWidth="1"/>
    <col min="6406" max="6406" width="19.42578125" style="147" customWidth="1"/>
    <col min="6407" max="6407" width="7.42578125" style="147" customWidth="1"/>
    <col min="6408" max="6408" width="19.42578125" style="147" customWidth="1"/>
    <col min="6409" max="6409" width="7.42578125" style="147" customWidth="1"/>
    <col min="6410" max="6410" width="19.42578125" style="147" customWidth="1"/>
    <col min="6411" max="6411" width="7.42578125" style="147" customWidth="1"/>
    <col min="6412" max="6412" width="19.42578125" style="147" customWidth="1"/>
    <col min="6413" max="6413" width="7.42578125" style="147" customWidth="1"/>
    <col min="6414" max="6416" width="19.42578125" style="147" customWidth="1"/>
    <col min="6417" max="6420" width="9.140625" style="147"/>
    <col min="6421" max="6421" width="12" style="147" customWidth="1"/>
    <col min="6422" max="6422" width="12.42578125" style="147" customWidth="1"/>
    <col min="6423" max="6423" width="11.140625" style="147" customWidth="1"/>
    <col min="6424" max="6424" width="9.140625" style="147"/>
    <col min="6425" max="6425" width="13" style="147" customWidth="1"/>
    <col min="6426" max="6426" width="15.5703125" style="147" customWidth="1"/>
    <col min="6427" max="6427" width="11.7109375" style="147" customWidth="1"/>
    <col min="6428" max="6428" width="14.85546875" style="147" customWidth="1"/>
    <col min="6429" max="6429" width="11.7109375" style="147" customWidth="1"/>
    <col min="6430" max="6656" width="9.140625" style="147"/>
    <col min="6657" max="6657" width="3.42578125" style="147" customWidth="1"/>
    <col min="6658" max="6658" width="19.42578125" style="147" customWidth="1"/>
    <col min="6659" max="6659" width="7.42578125" style="147" customWidth="1"/>
    <col min="6660" max="6660" width="19.42578125" style="147" customWidth="1"/>
    <col min="6661" max="6661" width="7.42578125" style="147" customWidth="1"/>
    <col min="6662" max="6662" width="19.42578125" style="147" customWidth="1"/>
    <col min="6663" max="6663" width="7.42578125" style="147" customWidth="1"/>
    <col min="6664" max="6664" width="19.42578125" style="147" customWidth="1"/>
    <col min="6665" max="6665" width="7.42578125" style="147" customWidth="1"/>
    <col min="6666" max="6666" width="19.42578125" style="147" customWidth="1"/>
    <col min="6667" max="6667" width="7.42578125" style="147" customWidth="1"/>
    <col min="6668" max="6668" width="19.42578125" style="147" customWidth="1"/>
    <col min="6669" max="6669" width="7.42578125" style="147" customWidth="1"/>
    <col min="6670" max="6672" width="19.42578125" style="147" customWidth="1"/>
    <col min="6673" max="6676" width="9.140625" style="147"/>
    <col min="6677" max="6677" width="12" style="147" customWidth="1"/>
    <col min="6678" max="6678" width="12.42578125" style="147" customWidth="1"/>
    <col min="6679" max="6679" width="11.140625" style="147" customWidth="1"/>
    <col min="6680" max="6680" width="9.140625" style="147"/>
    <col min="6681" max="6681" width="13" style="147" customWidth="1"/>
    <col min="6682" max="6682" width="15.5703125" style="147" customWidth="1"/>
    <col min="6683" max="6683" width="11.7109375" style="147" customWidth="1"/>
    <col min="6684" max="6684" width="14.85546875" style="147" customWidth="1"/>
    <col min="6685" max="6685" width="11.7109375" style="147" customWidth="1"/>
    <col min="6686" max="6912" width="9.140625" style="147"/>
    <col min="6913" max="6913" width="3.42578125" style="147" customWidth="1"/>
    <col min="6914" max="6914" width="19.42578125" style="147" customWidth="1"/>
    <col min="6915" max="6915" width="7.42578125" style="147" customWidth="1"/>
    <col min="6916" max="6916" width="19.42578125" style="147" customWidth="1"/>
    <col min="6917" max="6917" width="7.42578125" style="147" customWidth="1"/>
    <col min="6918" max="6918" width="19.42578125" style="147" customWidth="1"/>
    <col min="6919" max="6919" width="7.42578125" style="147" customWidth="1"/>
    <col min="6920" max="6920" width="19.42578125" style="147" customWidth="1"/>
    <col min="6921" max="6921" width="7.42578125" style="147" customWidth="1"/>
    <col min="6922" max="6922" width="19.42578125" style="147" customWidth="1"/>
    <col min="6923" max="6923" width="7.42578125" style="147" customWidth="1"/>
    <col min="6924" max="6924" width="19.42578125" style="147" customWidth="1"/>
    <col min="6925" max="6925" width="7.42578125" style="147" customWidth="1"/>
    <col min="6926" max="6928" width="19.42578125" style="147" customWidth="1"/>
    <col min="6929" max="6932" width="9.140625" style="147"/>
    <col min="6933" max="6933" width="12" style="147" customWidth="1"/>
    <col min="6934" max="6934" width="12.42578125" style="147" customWidth="1"/>
    <col min="6935" max="6935" width="11.140625" style="147" customWidth="1"/>
    <col min="6936" max="6936" width="9.140625" style="147"/>
    <col min="6937" max="6937" width="13" style="147" customWidth="1"/>
    <col min="6938" max="6938" width="15.5703125" style="147" customWidth="1"/>
    <col min="6939" max="6939" width="11.7109375" style="147" customWidth="1"/>
    <col min="6940" max="6940" width="14.85546875" style="147" customWidth="1"/>
    <col min="6941" max="6941" width="11.7109375" style="147" customWidth="1"/>
    <col min="6942" max="7168" width="9.140625" style="147"/>
    <col min="7169" max="7169" width="3.42578125" style="147" customWidth="1"/>
    <col min="7170" max="7170" width="19.42578125" style="147" customWidth="1"/>
    <col min="7171" max="7171" width="7.42578125" style="147" customWidth="1"/>
    <col min="7172" max="7172" width="19.42578125" style="147" customWidth="1"/>
    <col min="7173" max="7173" width="7.42578125" style="147" customWidth="1"/>
    <col min="7174" max="7174" width="19.42578125" style="147" customWidth="1"/>
    <col min="7175" max="7175" width="7.42578125" style="147" customWidth="1"/>
    <col min="7176" max="7176" width="19.42578125" style="147" customWidth="1"/>
    <col min="7177" max="7177" width="7.42578125" style="147" customWidth="1"/>
    <col min="7178" max="7178" width="19.42578125" style="147" customWidth="1"/>
    <col min="7179" max="7179" width="7.42578125" style="147" customWidth="1"/>
    <col min="7180" max="7180" width="19.42578125" style="147" customWidth="1"/>
    <col min="7181" max="7181" width="7.42578125" style="147" customWidth="1"/>
    <col min="7182" max="7184" width="19.42578125" style="147" customWidth="1"/>
    <col min="7185" max="7188" width="9.140625" style="147"/>
    <col min="7189" max="7189" width="12" style="147" customWidth="1"/>
    <col min="7190" max="7190" width="12.42578125" style="147" customWidth="1"/>
    <col min="7191" max="7191" width="11.140625" style="147" customWidth="1"/>
    <col min="7192" max="7192" width="9.140625" style="147"/>
    <col min="7193" max="7193" width="13" style="147" customWidth="1"/>
    <col min="7194" max="7194" width="15.5703125" style="147" customWidth="1"/>
    <col min="7195" max="7195" width="11.7109375" style="147" customWidth="1"/>
    <col min="7196" max="7196" width="14.85546875" style="147" customWidth="1"/>
    <col min="7197" max="7197" width="11.7109375" style="147" customWidth="1"/>
    <col min="7198" max="7424" width="9.140625" style="147"/>
    <col min="7425" max="7425" width="3.42578125" style="147" customWidth="1"/>
    <col min="7426" max="7426" width="19.42578125" style="147" customWidth="1"/>
    <col min="7427" max="7427" width="7.42578125" style="147" customWidth="1"/>
    <col min="7428" max="7428" width="19.42578125" style="147" customWidth="1"/>
    <col min="7429" max="7429" width="7.42578125" style="147" customWidth="1"/>
    <col min="7430" max="7430" width="19.42578125" style="147" customWidth="1"/>
    <col min="7431" max="7431" width="7.42578125" style="147" customWidth="1"/>
    <col min="7432" max="7432" width="19.42578125" style="147" customWidth="1"/>
    <col min="7433" max="7433" width="7.42578125" style="147" customWidth="1"/>
    <col min="7434" max="7434" width="19.42578125" style="147" customWidth="1"/>
    <col min="7435" max="7435" width="7.42578125" style="147" customWidth="1"/>
    <col min="7436" max="7436" width="19.42578125" style="147" customWidth="1"/>
    <col min="7437" max="7437" width="7.42578125" style="147" customWidth="1"/>
    <col min="7438" max="7440" width="19.42578125" style="147" customWidth="1"/>
    <col min="7441" max="7444" width="9.140625" style="147"/>
    <col min="7445" max="7445" width="12" style="147" customWidth="1"/>
    <col min="7446" max="7446" width="12.42578125" style="147" customWidth="1"/>
    <col min="7447" max="7447" width="11.140625" style="147" customWidth="1"/>
    <col min="7448" max="7448" width="9.140625" style="147"/>
    <col min="7449" max="7449" width="13" style="147" customWidth="1"/>
    <col min="7450" max="7450" width="15.5703125" style="147" customWidth="1"/>
    <col min="7451" max="7451" width="11.7109375" style="147" customWidth="1"/>
    <col min="7452" max="7452" width="14.85546875" style="147" customWidth="1"/>
    <col min="7453" max="7453" width="11.7109375" style="147" customWidth="1"/>
    <col min="7454" max="7680" width="9.140625" style="147"/>
    <col min="7681" max="7681" width="3.42578125" style="147" customWidth="1"/>
    <col min="7682" max="7682" width="19.42578125" style="147" customWidth="1"/>
    <col min="7683" max="7683" width="7.42578125" style="147" customWidth="1"/>
    <col min="7684" max="7684" width="19.42578125" style="147" customWidth="1"/>
    <col min="7685" max="7685" width="7.42578125" style="147" customWidth="1"/>
    <col min="7686" max="7686" width="19.42578125" style="147" customWidth="1"/>
    <col min="7687" max="7687" width="7.42578125" style="147" customWidth="1"/>
    <col min="7688" max="7688" width="19.42578125" style="147" customWidth="1"/>
    <col min="7689" max="7689" width="7.42578125" style="147" customWidth="1"/>
    <col min="7690" max="7690" width="19.42578125" style="147" customWidth="1"/>
    <col min="7691" max="7691" width="7.42578125" style="147" customWidth="1"/>
    <col min="7692" max="7692" width="19.42578125" style="147" customWidth="1"/>
    <col min="7693" max="7693" width="7.42578125" style="147" customWidth="1"/>
    <col min="7694" max="7696" width="19.42578125" style="147" customWidth="1"/>
    <col min="7697" max="7700" width="9.140625" style="147"/>
    <col min="7701" max="7701" width="12" style="147" customWidth="1"/>
    <col min="7702" max="7702" width="12.42578125" style="147" customWidth="1"/>
    <col min="7703" max="7703" width="11.140625" style="147" customWidth="1"/>
    <col min="7704" max="7704" width="9.140625" style="147"/>
    <col min="7705" max="7705" width="13" style="147" customWidth="1"/>
    <col min="7706" max="7706" width="15.5703125" style="147" customWidth="1"/>
    <col min="7707" max="7707" width="11.7109375" style="147" customWidth="1"/>
    <col min="7708" max="7708" width="14.85546875" style="147" customWidth="1"/>
    <col min="7709" max="7709" width="11.7109375" style="147" customWidth="1"/>
    <col min="7710" max="7936" width="9.140625" style="147"/>
    <col min="7937" max="7937" width="3.42578125" style="147" customWidth="1"/>
    <col min="7938" max="7938" width="19.42578125" style="147" customWidth="1"/>
    <col min="7939" max="7939" width="7.42578125" style="147" customWidth="1"/>
    <col min="7940" max="7940" width="19.42578125" style="147" customWidth="1"/>
    <col min="7941" max="7941" width="7.42578125" style="147" customWidth="1"/>
    <col min="7942" max="7942" width="19.42578125" style="147" customWidth="1"/>
    <col min="7943" max="7943" width="7.42578125" style="147" customWidth="1"/>
    <col min="7944" max="7944" width="19.42578125" style="147" customWidth="1"/>
    <col min="7945" max="7945" width="7.42578125" style="147" customWidth="1"/>
    <col min="7946" max="7946" width="19.42578125" style="147" customWidth="1"/>
    <col min="7947" max="7947" width="7.42578125" style="147" customWidth="1"/>
    <col min="7948" max="7948" width="19.42578125" style="147" customWidth="1"/>
    <col min="7949" max="7949" width="7.42578125" style="147" customWidth="1"/>
    <col min="7950" max="7952" width="19.42578125" style="147" customWidth="1"/>
    <col min="7953" max="7956" width="9.140625" style="147"/>
    <col min="7957" max="7957" width="12" style="147" customWidth="1"/>
    <col min="7958" max="7958" width="12.42578125" style="147" customWidth="1"/>
    <col min="7959" max="7959" width="11.140625" style="147" customWidth="1"/>
    <col min="7960" max="7960" width="9.140625" style="147"/>
    <col min="7961" max="7961" width="13" style="147" customWidth="1"/>
    <col min="7962" max="7962" width="15.5703125" style="147" customWidth="1"/>
    <col min="7963" max="7963" width="11.7109375" style="147" customWidth="1"/>
    <col min="7964" max="7964" width="14.85546875" style="147" customWidth="1"/>
    <col min="7965" max="7965" width="11.7109375" style="147" customWidth="1"/>
    <col min="7966" max="8192" width="9.140625" style="147"/>
    <col min="8193" max="8193" width="3.42578125" style="147" customWidth="1"/>
    <col min="8194" max="8194" width="19.42578125" style="147" customWidth="1"/>
    <col min="8195" max="8195" width="7.42578125" style="147" customWidth="1"/>
    <col min="8196" max="8196" width="19.42578125" style="147" customWidth="1"/>
    <col min="8197" max="8197" width="7.42578125" style="147" customWidth="1"/>
    <col min="8198" max="8198" width="19.42578125" style="147" customWidth="1"/>
    <col min="8199" max="8199" width="7.42578125" style="147" customWidth="1"/>
    <col min="8200" max="8200" width="19.42578125" style="147" customWidth="1"/>
    <col min="8201" max="8201" width="7.42578125" style="147" customWidth="1"/>
    <col min="8202" max="8202" width="19.42578125" style="147" customWidth="1"/>
    <col min="8203" max="8203" width="7.42578125" style="147" customWidth="1"/>
    <col min="8204" max="8204" width="19.42578125" style="147" customWidth="1"/>
    <col min="8205" max="8205" width="7.42578125" style="147" customWidth="1"/>
    <col min="8206" max="8208" width="19.42578125" style="147" customWidth="1"/>
    <col min="8209" max="8212" width="9.140625" style="147"/>
    <col min="8213" max="8213" width="12" style="147" customWidth="1"/>
    <col min="8214" max="8214" width="12.42578125" style="147" customWidth="1"/>
    <col min="8215" max="8215" width="11.140625" style="147" customWidth="1"/>
    <col min="8216" max="8216" width="9.140625" style="147"/>
    <col min="8217" max="8217" width="13" style="147" customWidth="1"/>
    <col min="8218" max="8218" width="15.5703125" style="147" customWidth="1"/>
    <col min="8219" max="8219" width="11.7109375" style="147" customWidth="1"/>
    <col min="8220" max="8220" width="14.85546875" style="147" customWidth="1"/>
    <col min="8221" max="8221" width="11.7109375" style="147" customWidth="1"/>
    <col min="8222" max="8448" width="9.140625" style="147"/>
    <col min="8449" max="8449" width="3.42578125" style="147" customWidth="1"/>
    <col min="8450" max="8450" width="19.42578125" style="147" customWidth="1"/>
    <col min="8451" max="8451" width="7.42578125" style="147" customWidth="1"/>
    <col min="8452" max="8452" width="19.42578125" style="147" customWidth="1"/>
    <col min="8453" max="8453" width="7.42578125" style="147" customWidth="1"/>
    <col min="8454" max="8454" width="19.42578125" style="147" customWidth="1"/>
    <col min="8455" max="8455" width="7.42578125" style="147" customWidth="1"/>
    <col min="8456" max="8456" width="19.42578125" style="147" customWidth="1"/>
    <col min="8457" max="8457" width="7.42578125" style="147" customWidth="1"/>
    <col min="8458" max="8458" width="19.42578125" style="147" customWidth="1"/>
    <col min="8459" max="8459" width="7.42578125" style="147" customWidth="1"/>
    <col min="8460" max="8460" width="19.42578125" style="147" customWidth="1"/>
    <col min="8461" max="8461" width="7.42578125" style="147" customWidth="1"/>
    <col min="8462" max="8464" width="19.42578125" style="147" customWidth="1"/>
    <col min="8465" max="8468" width="9.140625" style="147"/>
    <col min="8469" max="8469" width="12" style="147" customWidth="1"/>
    <col min="8470" max="8470" width="12.42578125" style="147" customWidth="1"/>
    <col min="8471" max="8471" width="11.140625" style="147" customWidth="1"/>
    <col min="8472" max="8472" width="9.140625" style="147"/>
    <col min="8473" max="8473" width="13" style="147" customWidth="1"/>
    <col min="8474" max="8474" width="15.5703125" style="147" customWidth="1"/>
    <col min="8475" max="8475" width="11.7109375" style="147" customWidth="1"/>
    <col min="8476" max="8476" width="14.85546875" style="147" customWidth="1"/>
    <col min="8477" max="8477" width="11.7109375" style="147" customWidth="1"/>
    <col min="8478" max="8704" width="9.140625" style="147"/>
    <col min="8705" max="8705" width="3.42578125" style="147" customWidth="1"/>
    <col min="8706" max="8706" width="19.42578125" style="147" customWidth="1"/>
    <col min="8707" max="8707" width="7.42578125" style="147" customWidth="1"/>
    <col min="8708" max="8708" width="19.42578125" style="147" customWidth="1"/>
    <col min="8709" max="8709" width="7.42578125" style="147" customWidth="1"/>
    <col min="8710" max="8710" width="19.42578125" style="147" customWidth="1"/>
    <col min="8711" max="8711" width="7.42578125" style="147" customWidth="1"/>
    <col min="8712" max="8712" width="19.42578125" style="147" customWidth="1"/>
    <col min="8713" max="8713" width="7.42578125" style="147" customWidth="1"/>
    <col min="8714" max="8714" width="19.42578125" style="147" customWidth="1"/>
    <col min="8715" max="8715" width="7.42578125" style="147" customWidth="1"/>
    <col min="8716" max="8716" width="19.42578125" style="147" customWidth="1"/>
    <col min="8717" max="8717" width="7.42578125" style="147" customWidth="1"/>
    <col min="8718" max="8720" width="19.42578125" style="147" customWidth="1"/>
    <col min="8721" max="8724" width="9.140625" style="147"/>
    <col min="8725" max="8725" width="12" style="147" customWidth="1"/>
    <col min="8726" max="8726" width="12.42578125" style="147" customWidth="1"/>
    <col min="8727" max="8727" width="11.140625" style="147" customWidth="1"/>
    <col min="8728" max="8728" width="9.140625" style="147"/>
    <col min="8729" max="8729" width="13" style="147" customWidth="1"/>
    <col min="8730" max="8730" width="15.5703125" style="147" customWidth="1"/>
    <col min="8731" max="8731" width="11.7109375" style="147" customWidth="1"/>
    <col min="8732" max="8732" width="14.85546875" style="147" customWidth="1"/>
    <col min="8733" max="8733" width="11.7109375" style="147" customWidth="1"/>
    <col min="8734" max="8960" width="9.140625" style="147"/>
    <col min="8961" max="8961" width="3.42578125" style="147" customWidth="1"/>
    <col min="8962" max="8962" width="19.42578125" style="147" customWidth="1"/>
    <col min="8963" max="8963" width="7.42578125" style="147" customWidth="1"/>
    <col min="8964" max="8964" width="19.42578125" style="147" customWidth="1"/>
    <col min="8965" max="8965" width="7.42578125" style="147" customWidth="1"/>
    <col min="8966" max="8966" width="19.42578125" style="147" customWidth="1"/>
    <col min="8967" max="8967" width="7.42578125" style="147" customWidth="1"/>
    <col min="8968" max="8968" width="19.42578125" style="147" customWidth="1"/>
    <col min="8969" max="8969" width="7.42578125" style="147" customWidth="1"/>
    <col min="8970" max="8970" width="19.42578125" style="147" customWidth="1"/>
    <col min="8971" max="8971" width="7.42578125" style="147" customWidth="1"/>
    <col min="8972" max="8972" width="19.42578125" style="147" customWidth="1"/>
    <col min="8973" max="8973" width="7.42578125" style="147" customWidth="1"/>
    <col min="8974" max="8976" width="19.42578125" style="147" customWidth="1"/>
    <col min="8977" max="8980" width="9.140625" style="147"/>
    <col min="8981" max="8981" width="12" style="147" customWidth="1"/>
    <col min="8982" max="8982" width="12.42578125" style="147" customWidth="1"/>
    <col min="8983" max="8983" width="11.140625" style="147" customWidth="1"/>
    <col min="8984" max="8984" width="9.140625" style="147"/>
    <col min="8985" max="8985" width="13" style="147" customWidth="1"/>
    <col min="8986" max="8986" width="15.5703125" style="147" customWidth="1"/>
    <col min="8987" max="8987" width="11.7109375" style="147" customWidth="1"/>
    <col min="8988" max="8988" width="14.85546875" style="147" customWidth="1"/>
    <col min="8989" max="8989" width="11.7109375" style="147" customWidth="1"/>
    <col min="8990" max="9216" width="9.140625" style="147"/>
    <col min="9217" max="9217" width="3.42578125" style="147" customWidth="1"/>
    <col min="9218" max="9218" width="19.42578125" style="147" customWidth="1"/>
    <col min="9219" max="9219" width="7.42578125" style="147" customWidth="1"/>
    <col min="9220" max="9220" width="19.42578125" style="147" customWidth="1"/>
    <col min="9221" max="9221" width="7.42578125" style="147" customWidth="1"/>
    <col min="9222" max="9222" width="19.42578125" style="147" customWidth="1"/>
    <col min="9223" max="9223" width="7.42578125" style="147" customWidth="1"/>
    <col min="9224" max="9224" width="19.42578125" style="147" customWidth="1"/>
    <col min="9225" max="9225" width="7.42578125" style="147" customWidth="1"/>
    <col min="9226" max="9226" width="19.42578125" style="147" customWidth="1"/>
    <col min="9227" max="9227" width="7.42578125" style="147" customWidth="1"/>
    <col min="9228" max="9228" width="19.42578125" style="147" customWidth="1"/>
    <col min="9229" max="9229" width="7.42578125" style="147" customWidth="1"/>
    <col min="9230" max="9232" width="19.42578125" style="147" customWidth="1"/>
    <col min="9233" max="9236" width="9.140625" style="147"/>
    <col min="9237" max="9237" width="12" style="147" customWidth="1"/>
    <col min="9238" max="9238" width="12.42578125" style="147" customWidth="1"/>
    <col min="9239" max="9239" width="11.140625" style="147" customWidth="1"/>
    <col min="9240" max="9240" width="9.140625" style="147"/>
    <col min="9241" max="9241" width="13" style="147" customWidth="1"/>
    <col min="9242" max="9242" width="15.5703125" style="147" customWidth="1"/>
    <col min="9243" max="9243" width="11.7109375" style="147" customWidth="1"/>
    <col min="9244" max="9244" width="14.85546875" style="147" customWidth="1"/>
    <col min="9245" max="9245" width="11.7109375" style="147" customWidth="1"/>
    <col min="9246" max="9472" width="9.140625" style="147"/>
    <col min="9473" max="9473" width="3.42578125" style="147" customWidth="1"/>
    <col min="9474" max="9474" width="19.42578125" style="147" customWidth="1"/>
    <col min="9475" max="9475" width="7.42578125" style="147" customWidth="1"/>
    <col min="9476" max="9476" width="19.42578125" style="147" customWidth="1"/>
    <col min="9477" max="9477" width="7.42578125" style="147" customWidth="1"/>
    <col min="9478" max="9478" width="19.42578125" style="147" customWidth="1"/>
    <col min="9479" max="9479" width="7.42578125" style="147" customWidth="1"/>
    <col min="9480" max="9480" width="19.42578125" style="147" customWidth="1"/>
    <col min="9481" max="9481" width="7.42578125" style="147" customWidth="1"/>
    <col min="9482" max="9482" width="19.42578125" style="147" customWidth="1"/>
    <col min="9483" max="9483" width="7.42578125" style="147" customWidth="1"/>
    <col min="9484" max="9484" width="19.42578125" style="147" customWidth="1"/>
    <col min="9485" max="9485" width="7.42578125" style="147" customWidth="1"/>
    <col min="9486" max="9488" width="19.42578125" style="147" customWidth="1"/>
    <col min="9489" max="9492" width="9.140625" style="147"/>
    <col min="9493" max="9493" width="12" style="147" customWidth="1"/>
    <col min="9494" max="9494" width="12.42578125" style="147" customWidth="1"/>
    <col min="9495" max="9495" width="11.140625" style="147" customWidth="1"/>
    <col min="9496" max="9496" width="9.140625" style="147"/>
    <col min="9497" max="9497" width="13" style="147" customWidth="1"/>
    <col min="9498" max="9498" width="15.5703125" style="147" customWidth="1"/>
    <col min="9499" max="9499" width="11.7109375" style="147" customWidth="1"/>
    <col min="9500" max="9500" width="14.85546875" style="147" customWidth="1"/>
    <col min="9501" max="9501" width="11.7109375" style="147" customWidth="1"/>
    <col min="9502" max="9728" width="9.140625" style="147"/>
    <col min="9729" max="9729" width="3.42578125" style="147" customWidth="1"/>
    <col min="9730" max="9730" width="19.42578125" style="147" customWidth="1"/>
    <col min="9731" max="9731" width="7.42578125" style="147" customWidth="1"/>
    <col min="9732" max="9732" width="19.42578125" style="147" customWidth="1"/>
    <col min="9733" max="9733" width="7.42578125" style="147" customWidth="1"/>
    <col min="9734" max="9734" width="19.42578125" style="147" customWidth="1"/>
    <col min="9735" max="9735" width="7.42578125" style="147" customWidth="1"/>
    <col min="9736" max="9736" width="19.42578125" style="147" customWidth="1"/>
    <col min="9737" max="9737" width="7.42578125" style="147" customWidth="1"/>
    <col min="9738" max="9738" width="19.42578125" style="147" customWidth="1"/>
    <col min="9739" max="9739" width="7.42578125" style="147" customWidth="1"/>
    <col min="9740" max="9740" width="19.42578125" style="147" customWidth="1"/>
    <col min="9741" max="9741" width="7.42578125" style="147" customWidth="1"/>
    <col min="9742" max="9744" width="19.42578125" style="147" customWidth="1"/>
    <col min="9745" max="9748" width="9.140625" style="147"/>
    <col min="9749" max="9749" width="12" style="147" customWidth="1"/>
    <col min="9750" max="9750" width="12.42578125" style="147" customWidth="1"/>
    <col min="9751" max="9751" width="11.140625" style="147" customWidth="1"/>
    <col min="9752" max="9752" width="9.140625" style="147"/>
    <col min="9753" max="9753" width="13" style="147" customWidth="1"/>
    <col min="9754" max="9754" width="15.5703125" style="147" customWidth="1"/>
    <col min="9755" max="9755" width="11.7109375" style="147" customWidth="1"/>
    <col min="9756" max="9756" width="14.85546875" style="147" customWidth="1"/>
    <col min="9757" max="9757" width="11.7109375" style="147" customWidth="1"/>
    <col min="9758" max="9984" width="9.140625" style="147"/>
    <col min="9985" max="9985" width="3.42578125" style="147" customWidth="1"/>
    <col min="9986" max="9986" width="19.42578125" style="147" customWidth="1"/>
    <col min="9987" max="9987" width="7.42578125" style="147" customWidth="1"/>
    <col min="9988" max="9988" width="19.42578125" style="147" customWidth="1"/>
    <col min="9989" max="9989" width="7.42578125" style="147" customWidth="1"/>
    <col min="9990" max="9990" width="19.42578125" style="147" customWidth="1"/>
    <col min="9991" max="9991" width="7.42578125" style="147" customWidth="1"/>
    <col min="9992" max="9992" width="19.42578125" style="147" customWidth="1"/>
    <col min="9993" max="9993" width="7.42578125" style="147" customWidth="1"/>
    <col min="9994" max="9994" width="19.42578125" style="147" customWidth="1"/>
    <col min="9995" max="9995" width="7.42578125" style="147" customWidth="1"/>
    <col min="9996" max="9996" width="19.42578125" style="147" customWidth="1"/>
    <col min="9997" max="9997" width="7.42578125" style="147" customWidth="1"/>
    <col min="9998" max="10000" width="19.42578125" style="147" customWidth="1"/>
    <col min="10001" max="10004" width="9.140625" style="147"/>
    <col min="10005" max="10005" width="12" style="147" customWidth="1"/>
    <col min="10006" max="10006" width="12.42578125" style="147" customWidth="1"/>
    <col min="10007" max="10007" width="11.140625" style="147" customWidth="1"/>
    <col min="10008" max="10008" width="9.140625" style="147"/>
    <col min="10009" max="10009" width="13" style="147" customWidth="1"/>
    <col min="10010" max="10010" width="15.5703125" style="147" customWidth="1"/>
    <col min="10011" max="10011" width="11.7109375" style="147" customWidth="1"/>
    <col min="10012" max="10012" width="14.85546875" style="147" customWidth="1"/>
    <col min="10013" max="10013" width="11.7109375" style="147" customWidth="1"/>
    <col min="10014" max="10240" width="9.140625" style="147"/>
    <col min="10241" max="10241" width="3.42578125" style="147" customWidth="1"/>
    <col min="10242" max="10242" width="19.42578125" style="147" customWidth="1"/>
    <col min="10243" max="10243" width="7.42578125" style="147" customWidth="1"/>
    <col min="10244" max="10244" width="19.42578125" style="147" customWidth="1"/>
    <col min="10245" max="10245" width="7.42578125" style="147" customWidth="1"/>
    <col min="10246" max="10246" width="19.42578125" style="147" customWidth="1"/>
    <col min="10247" max="10247" width="7.42578125" style="147" customWidth="1"/>
    <col min="10248" max="10248" width="19.42578125" style="147" customWidth="1"/>
    <col min="10249" max="10249" width="7.42578125" style="147" customWidth="1"/>
    <col min="10250" max="10250" width="19.42578125" style="147" customWidth="1"/>
    <col min="10251" max="10251" width="7.42578125" style="147" customWidth="1"/>
    <col min="10252" max="10252" width="19.42578125" style="147" customWidth="1"/>
    <col min="10253" max="10253" width="7.42578125" style="147" customWidth="1"/>
    <col min="10254" max="10256" width="19.42578125" style="147" customWidth="1"/>
    <col min="10257" max="10260" width="9.140625" style="147"/>
    <col min="10261" max="10261" width="12" style="147" customWidth="1"/>
    <col min="10262" max="10262" width="12.42578125" style="147" customWidth="1"/>
    <col min="10263" max="10263" width="11.140625" style="147" customWidth="1"/>
    <col min="10264" max="10264" width="9.140625" style="147"/>
    <col min="10265" max="10265" width="13" style="147" customWidth="1"/>
    <col min="10266" max="10266" width="15.5703125" style="147" customWidth="1"/>
    <col min="10267" max="10267" width="11.7109375" style="147" customWidth="1"/>
    <col min="10268" max="10268" width="14.85546875" style="147" customWidth="1"/>
    <col min="10269" max="10269" width="11.7109375" style="147" customWidth="1"/>
    <col min="10270" max="10496" width="9.140625" style="147"/>
    <col min="10497" max="10497" width="3.42578125" style="147" customWidth="1"/>
    <col min="10498" max="10498" width="19.42578125" style="147" customWidth="1"/>
    <col min="10499" max="10499" width="7.42578125" style="147" customWidth="1"/>
    <col min="10500" max="10500" width="19.42578125" style="147" customWidth="1"/>
    <col min="10501" max="10501" width="7.42578125" style="147" customWidth="1"/>
    <col min="10502" max="10502" width="19.42578125" style="147" customWidth="1"/>
    <col min="10503" max="10503" width="7.42578125" style="147" customWidth="1"/>
    <col min="10504" max="10504" width="19.42578125" style="147" customWidth="1"/>
    <col min="10505" max="10505" width="7.42578125" style="147" customWidth="1"/>
    <col min="10506" max="10506" width="19.42578125" style="147" customWidth="1"/>
    <col min="10507" max="10507" width="7.42578125" style="147" customWidth="1"/>
    <col min="10508" max="10508" width="19.42578125" style="147" customWidth="1"/>
    <col min="10509" max="10509" width="7.42578125" style="147" customWidth="1"/>
    <col min="10510" max="10512" width="19.42578125" style="147" customWidth="1"/>
    <col min="10513" max="10516" width="9.140625" style="147"/>
    <col min="10517" max="10517" width="12" style="147" customWidth="1"/>
    <col min="10518" max="10518" width="12.42578125" style="147" customWidth="1"/>
    <col min="10519" max="10519" width="11.140625" style="147" customWidth="1"/>
    <col min="10520" max="10520" width="9.140625" style="147"/>
    <col min="10521" max="10521" width="13" style="147" customWidth="1"/>
    <col min="10522" max="10522" width="15.5703125" style="147" customWidth="1"/>
    <col min="10523" max="10523" width="11.7109375" style="147" customWidth="1"/>
    <col min="10524" max="10524" width="14.85546875" style="147" customWidth="1"/>
    <col min="10525" max="10525" width="11.7109375" style="147" customWidth="1"/>
    <col min="10526" max="10752" width="9.140625" style="147"/>
    <col min="10753" max="10753" width="3.42578125" style="147" customWidth="1"/>
    <col min="10754" max="10754" width="19.42578125" style="147" customWidth="1"/>
    <col min="10755" max="10755" width="7.42578125" style="147" customWidth="1"/>
    <col min="10756" max="10756" width="19.42578125" style="147" customWidth="1"/>
    <col min="10757" max="10757" width="7.42578125" style="147" customWidth="1"/>
    <col min="10758" max="10758" width="19.42578125" style="147" customWidth="1"/>
    <col min="10759" max="10759" width="7.42578125" style="147" customWidth="1"/>
    <col min="10760" max="10760" width="19.42578125" style="147" customWidth="1"/>
    <col min="10761" max="10761" width="7.42578125" style="147" customWidth="1"/>
    <col min="10762" max="10762" width="19.42578125" style="147" customWidth="1"/>
    <col min="10763" max="10763" width="7.42578125" style="147" customWidth="1"/>
    <col min="10764" max="10764" width="19.42578125" style="147" customWidth="1"/>
    <col min="10765" max="10765" width="7.42578125" style="147" customWidth="1"/>
    <col min="10766" max="10768" width="19.42578125" style="147" customWidth="1"/>
    <col min="10769" max="10772" width="9.140625" style="147"/>
    <col min="10773" max="10773" width="12" style="147" customWidth="1"/>
    <col min="10774" max="10774" width="12.42578125" style="147" customWidth="1"/>
    <col min="10775" max="10775" width="11.140625" style="147" customWidth="1"/>
    <col min="10776" max="10776" width="9.140625" style="147"/>
    <col min="10777" max="10777" width="13" style="147" customWidth="1"/>
    <col min="10778" max="10778" width="15.5703125" style="147" customWidth="1"/>
    <col min="10779" max="10779" width="11.7109375" style="147" customWidth="1"/>
    <col min="10780" max="10780" width="14.85546875" style="147" customWidth="1"/>
    <col min="10781" max="10781" width="11.7109375" style="147" customWidth="1"/>
    <col min="10782" max="11008" width="9.140625" style="147"/>
    <col min="11009" max="11009" width="3.42578125" style="147" customWidth="1"/>
    <col min="11010" max="11010" width="19.42578125" style="147" customWidth="1"/>
    <col min="11011" max="11011" width="7.42578125" style="147" customWidth="1"/>
    <col min="11012" max="11012" width="19.42578125" style="147" customWidth="1"/>
    <col min="11013" max="11013" width="7.42578125" style="147" customWidth="1"/>
    <col min="11014" max="11014" width="19.42578125" style="147" customWidth="1"/>
    <col min="11015" max="11015" width="7.42578125" style="147" customWidth="1"/>
    <col min="11016" max="11016" width="19.42578125" style="147" customWidth="1"/>
    <col min="11017" max="11017" width="7.42578125" style="147" customWidth="1"/>
    <col min="11018" max="11018" width="19.42578125" style="147" customWidth="1"/>
    <col min="11019" max="11019" width="7.42578125" style="147" customWidth="1"/>
    <col min="11020" max="11020" width="19.42578125" style="147" customWidth="1"/>
    <col min="11021" max="11021" width="7.42578125" style="147" customWidth="1"/>
    <col min="11022" max="11024" width="19.42578125" style="147" customWidth="1"/>
    <col min="11025" max="11028" width="9.140625" style="147"/>
    <col min="11029" max="11029" width="12" style="147" customWidth="1"/>
    <col min="11030" max="11030" width="12.42578125" style="147" customWidth="1"/>
    <col min="11031" max="11031" width="11.140625" style="147" customWidth="1"/>
    <col min="11032" max="11032" width="9.140625" style="147"/>
    <col min="11033" max="11033" width="13" style="147" customWidth="1"/>
    <col min="11034" max="11034" width="15.5703125" style="147" customWidth="1"/>
    <col min="11035" max="11035" width="11.7109375" style="147" customWidth="1"/>
    <col min="11036" max="11036" width="14.85546875" style="147" customWidth="1"/>
    <col min="11037" max="11037" width="11.7109375" style="147" customWidth="1"/>
    <col min="11038" max="11264" width="9.140625" style="147"/>
    <col min="11265" max="11265" width="3.42578125" style="147" customWidth="1"/>
    <col min="11266" max="11266" width="19.42578125" style="147" customWidth="1"/>
    <col min="11267" max="11267" width="7.42578125" style="147" customWidth="1"/>
    <col min="11268" max="11268" width="19.42578125" style="147" customWidth="1"/>
    <col min="11269" max="11269" width="7.42578125" style="147" customWidth="1"/>
    <col min="11270" max="11270" width="19.42578125" style="147" customWidth="1"/>
    <col min="11271" max="11271" width="7.42578125" style="147" customWidth="1"/>
    <col min="11272" max="11272" width="19.42578125" style="147" customWidth="1"/>
    <col min="11273" max="11273" width="7.42578125" style="147" customWidth="1"/>
    <col min="11274" max="11274" width="19.42578125" style="147" customWidth="1"/>
    <col min="11275" max="11275" width="7.42578125" style="147" customWidth="1"/>
    <col min="11276" max="11276" width="19.42578125" style="147" customWidth="1"/>
    <col min="11277" max="11277" width="7.42578125" style="147" customWidth="1"/>
    <col min="11278" max="11280" width="19.42578125" style="147" customWidth="1"/>
    <col min="11281" max="11284" width="9.140625" style="147"/>
    <col min="11285" max="11285" width="12" style="147" customWidth="1"/>
    <col min="11286" max="11286" width="12.42578125" style="147" customWidth="1"/>
    <col min="11287" max="11287" width="11.140625" style="147" customWidth="1"/>
    <col min="11288" max="11288" width="9.140625" style="147"/>
    <col min="11289" max="11289" width="13" style="147" customWidth="1"/>
    <col min="11290" max="11290" width="15.5703125" style="147" customWidth="1"/>
    <col min="11291" max="11291" width="11.7109375" style="147" customWidth="1"/>
    <col min="11292" max="11292" width="14.85546875" style="147" customWidth="1"/>
    <col min="11293" max="11293" width="11.7109375" style="147" customWidth="1"/>
    <col min="11294" max="11520" width="9.140625" style="147"/>
    <col min="11521" max="11521" width="3.42578125" style="147" customWidth="1"/>
    <col min="11522" max="11522" width="19.42578125" style="147" customWidth="1"/>
    <col min="11523" max="11523" width="7.42578125" style="147" customWidth="1"/>
    <col min="11524" max="11524" width="19.42578125" style="147" customWidth="1"/>
    <col min="11525" max="11525" width="7.42578125" style="147" customWidth="1"/>
    <col min="11526" max="11526" width="19.42578125" style="147" customWidth="1"/>
    <col min="11527" max="11527" width="7.42578125" style="147" customWidth="1"/>
    <col min="11528" max="11528" width="19.42578125" style="147" customWidth="1"/>
    <col min="11529" max="11529" width="7.42578125" style="147" customWidth="1"/>
    <col min="11530" max="11530" width="19.42578125" style="147" customWidth="1"/>
    <col min="11531" max="11531" width="7.42578125" style="147" customWidth="1"/>
    <col min="11532" max="11532" width="19.42578125" style="147" customWidth="1"/>
    <col min="11533" max="11533" width="7.42578125" style="147" customWidth="1"/>
    <col min="11534" max="11536" width="19.42578125" style="147" customWidth="1"/>
    <col min="11537" max="11540" width="9.140625" style="147"/>
    <col min="11541" max="11541" width="12" style="147" customWidth="1"/>
    <col min="11542" max="11542" width="12.42578125" style="147" customWidth="1"/>
    <col min="11543" max="11543" width="11.140625" style="147" customWidth="1"/>
    <col min="11544" max="11544" width="9.140625" style="147"/>
    <col min="11545" max="11545" width="13" style="147" customWidth="1"/>
    <col min="11546" max="11546" width="15.5703125" style="147" customWidth="1"/>
    <col min="11547" max="11547" width="11.7109375" style="147" customWidth="1"/>
    <col min="11548" max="11548" width="14.85546875" style="147" customWidth="1"/>
    <col min="11549" max="11549" width="11.7109375" style="147" customWidth="1"/>
    <col min="11550" max="11776" width="9.140625" style="147"/>
    <col min="11777" max="11777" width="3.42578125" style="147" customWidth="1"/>
    <col min="11778" max="11778" width="19.42578125" style="147" customWidth="1"/>
    <col min="11779" max="11779" width="7.42578125" style="147" customWidth="1"/>
    <col min="11780" max="11780" width="19.42578125" style="147" customWidth="1"/>
    <col min="11781" max="11781" width="7.42578125" style="147" customWidth="1"/>
    <col min="11782" max="11782" width="19.42578125" style="147" customWidth="1"/>
    <col min="11783" max="11783" width="7.42578125" style="147" customWidth="1"/>
    <col min="11784" max="11784" width="19.42578125" style="147" customWidth="1"/>
    <col min="11785" max="11785" width="7.42578125" style="147" customWidth="1"/>
    <col min="11786" max="11786" width="19.42578125" style="147" customWidth="1"/>
    <col min="11787" max="11787" width="7.42578125" style="147" customWidth="1"/>
    <col min="11788" max="11788" width="19.42578125" style="147" customWidth="1"/>
    <col min="11789" max="11789" width="7.42578125" style="147" customWidth="1"/>
    <col min="11790" max="11792" width="19.42578125" style="147" customWidth="1"/>
    <col min="11793" max="11796" width="9.140625" style="147"/>
    <col min="11797" max="11797" width="12" style="147" customWidth="1"/>
    <col min="11798" max="11798" width="12.42578125" style="147" customWidth="1"/>
    <col min="11799" max="11799" width="11.140625" style="147" customWidth="1"/>
    <col min="11800" max="11800" width="9.140625" style="147"/>
    <col min="11801" max="11801" width="13" style="147" customWidth="1"/>
    <col min="11802" max="11802" width="15.5703125" style="147" customWidth="1"/>
    <col min="11803" max="11803" width="11.7109375" style="147" customWidth="1"/>
    <col min="11804" max="11804" width="14.85546875" style="147" customWidth="1"/>
    <col min="11805" max="11805" width="11.7109375" style="147" customWidth="1"/>
    <col min="11806" max="12032" width="9.140625" style="147"/>
    <col min="12033" max="12033" width="3.42578125" style="147" customWidth="1"/>
    <col min="12034" max="12034" width="19.42578125" style="147" customWidth="1"/>
    <col min="12035" max="12035" width="7.42578125" style="147" customWidth="1"/>
    <col min="12036" max="12036" width="19.42578125" style="147" customWidth="1"/>
    <col min="12037" max="12037" width="7.42578125" style="147" customWidth="1"/>
    <col min="12038" max="12038" width="19.42578125" style="147" customWidth="1"/>
    <col min="12039" max="12039" width="7.42578125" style="147" customWidth="1"/>
    <col min="12040" max="12040" width="19.42578125" style="147" customWidth="1"/>
    <col min="12041" max="12041" width="7.42578125" style="147" customWidth="1"/>
    <col min="12042" max="12042" width="19.42578125" style="147" customWidth="1"/>
    <col min="12043" max="12043" width="7.42578125" style="147" customWidth="1"/>
    <col min="12044" max="12044" width="19.42578125" style="147" customWidth="1"/>
    <col min="12045" max="12045" width="7.42578125" style="147" customWidth="1"/>
    <col min="12046" max="12048" width="19.42578125" style="147" customWidth="1"/>
    <col min="12049" max="12052" width="9.140625" style="147"/>
    <col min="12053" max="12053" width="12" style="147" customWidth="1"/>
    <col min="12054" max="12054" width="12.42578125" style="147" customWidth="1"/>
    <col min="12055" max="12055" width="11.140625" style="147" customWidth="1"/>
    <col min="12056" max="12056" width="9.140625" style="147"/>
    <col min="12057" max="12057" width="13" style="147" customWidth="1"/>
    <col min="12058" max="12058" width="15.5703125" style="147" customWidth="1"/>
    <col min="12059" max="12059" width="11.7109375" style="147" customWidth="1"/>
    <col min="12060" max="12060" width="14.85546875" style="147" customWidth="1"/>
    <col min="12061" max="12061" width="11.7109375" style="147" customWidth="1"/>
    <col min="12062" max="12288" width="9.140625" style="147"/>
    <col min="12289" max="12289" width="3.42578125" style="147" customWidth="1"/>
    <col min="12290" max="12290" width="19.42578125" style="147" customWidth="1"/>
    <col min="12291" max="12291" width="7.42578125" style="147" customWidth="1"/>
    <col min="12292" max="12292" width="19.42578125" style="147" customWidth="1"/>
    <col min="12293" max="12293" width="7.42578125" style="147" customWidth="1"/>
    <col min="12294" max="12294" width="19.42578125" style="147" customWidth="1"/>
    <col min="12295" max="12295" width="7.42578125" style="147" customWidth="1"/>
    <col min="12296" max="12296" width="19.42578125" style="147" customWidth="1"/>
    <col min="12297" max="12297" width="7.42578125" style="147" customWidth="1"/>
    <col min="12298" max="12298" width="19.42578125" style="147" customWidth="1"/>
    <col min="12299" max="12299" width="7.42578125" style="147" customWidth="1"/>
    <col min="12300" max="12300" width="19.42578125" style="147" customWidth="1"/>
    <col min="12301" max="12301" width="7.42578125" style="147" customWidth="1"/>
    <col min="12302" max="12304" width="19.42578125" style="147" customWidth="1"/>
    <col min="12305" max="12308" width="9.140625" style="147"/>
    <col min="12309" max="12309" width="12" style="147" customWidth="1"/>
    <col min="12310" max="12310" width="12.42578125" style="147" customWidth="1"/>
    <col min="12311" max="12311" width="11.140625" style="147" customWidth="1"/>
    <col min="12312" max="12312" width="9.140625" style="147"/>
    <col min="12313" max="12313" width="13" style="147" customWidth="1"/>
    <col min="12314" max="12314" width="15.5703125" style="147" customWidth="1"/>
    <col min="12315" max="12315" width="11.7109375" style="147" customWidth="1"/>
    <col min="12316" max="12316" width="14.85546875" style="147" customWidth="1"/>
    <col min="12317" max="12317" width="11.7109375" style="147" customWidth="1"/>
    <col min="12318" max="12544" width="9.140625" style="147"/>
    <col min="12545" max="12545" width="3.42578125" style="147" customWidth="1"/>
    <col min="12546" max="12546" width="19.42578125" style="147" customWidth="1"/>
    <col min="12547" max="12547" width="7.42578125" style="147" customWidth="1"/>
    <col min="12548" max="12548" width="19.42578125" style="147" customWidth="1"/>
    <col min="12549" max="12549" width="7.42578125" style="147" customWidth="1"/>
    <col min="12550" max="12550" width="19.42578125" style="147" customWidth="1"/>
    <col min="12551" max="12551" width="7.42578125" style="147" customWidth="1"/>
    <col min="12552" max="12552" width="19.42578125" style="147" customWidth="1"/>
    <col min="12553" max="12553" width="7.42578125" style="147" customWidth="1"/>
    <col min="12554" max="12554" width="19.42578125" style="147" customWidth="1"/>
    <col min="12555" max="12555" width="7.42578125" style="147" customWidth="1"/>
    <col min="12556" max="12556" width="19.42578125" style="147" customWidth="1"/>
    <col min="12557" max="12557" width="7.42578125" style="147" customWidth="1"/>
    <col min="12558" max="12560" width="19.42578125" style="147" customWidth="1"/>
    <col min="12561" max="12564" width="9.140625" style="147"/>
    <col min="12565" max="12565" width="12" style="147" customWidth="1"/>
    <col min="12566" max="12566" width="12.42578125" style="147" customWidth="1"/>
    <col min="12567" max="12567" width="11.140625" style="147" customWidth="1"/>
    <col min="12568" max="12568" width="9.140625" style="147"/>
    <col min="12569" max="12569" width="13" style="147" customWidth="1"/>
    <col min="12570" max="12570" width="15.5703125" style="147" customWidth="1"/>
    <col min="12571" max="12571" width="11.7109375" style="147" customWidth="1"/>
    <col min="12572" max="12572" width="14.85546875" style="147" customWidth="1"/>
    <col min="12573" max="12573" width="11.7109375" style="147" customWidth="1"/>
    <col min="12574" max="12800" width="9.140625" style="147"/>
    <col min="12801" max="12801" width="3.42578125" style="147" customWidth="1"/>
    <col min="12802" max="12802" width="19.42578125" style="147" customWidth="1"/>
    <col min="12803" max="12803" width="7.42578125" style="147" customWidth="1"/>
    <col min="12804" max="12804" width="19.42578125" style="147" customWidth="1"/>
    <col min="12805" max="12805" width="7.42578125" style="147" customWidth="1"/>
    <col min="12806" max="12806" width="19.42578125" style="147" customWidth="1"/>
    <col min="12807" max="12807" width="7.42578125" style="147" customWidth="1"/>
    <col min="12808" max="12808" width="19.42578125" style="147" customWidth="1"/>
    <col min="12809" max="12809" width="7.42578125" style="147" customWidth="1"/>
    <col min="12810" max="12810" width="19.42578125" style="147" customWidth="1"/>
    <col min="12811" max="12811" width="7.42578125" style="147" customWidth="1"/>
    <col min="12812" max="12812" width="19.42578125" style="147" customWidth="1"/>
    <col min="12813" max="12813" width="7.42578125" style="147" customWidth="1"/>
    <col min="12814" max="12816" width="19.42578125" style="147" customWidth="1"/>
    <col min="12817" max="12820" width="9.140625" style="147"/>
    <col min="12821" max="12821" width="12" style="147" customWidth="1"/>
    <col min="12822" max="12822" width="12.42578125" style="147" customWidth="1"/>
    <col min="12823" max="12823" width="11.140625" style="147" customWidth="1"/>
    <col min="12824" max="12824" width="9.140625" style="147"/>
    <col min="12825" max="12825" width="13" style="147" customWidth="1"/>
    <col min="12826" max="12826" width="15.5703125" style="147" customWidth="1"/>
    <col min="12827" max="12827" width="11.7109375" style="147" customWidth="1"/>
    <col min="12828" max="12828" width="14.85546875" style="147" customWidth="1"/>
    <col min="12829" max="12829" width="11.7109375" style="147" customWidth="1"/>
    <col min="12830" max="13056" width="9.140625" style="147"/>
    <col min="13057" max="13057" width="3.42578125" style="147" customWidth="1"/>
    <col min="13058" max="13058" width="19.42578125" style="147" customWidth="1"/>
    <col min="13059" max="13059" width="7.42578125" style="147" customWidth="1"/>
    <col min="13060" max="13060" width="19.42578125" style="147" customWidth="1"/>
    <col min="13061" max="13061" width="7.42578125" style="147" customWidth="1"/>
    <col min="13062" max="13062" width="19.42578125" style="147" customWidth="1"/>
    <col min="13063" max="13063" width="7.42578125" style="147" customWidth="1"/>
    <col min="13064" max="13064" width="19.42578125" style="147" customWidth="1"/>
    <col min="13065" max="13065" width="7.42578125" style="147" customWidth="1"/>
    <col min="13066" max="13066" width="19.42578125" style="147" customWidth="1"/>
    <col min="13067" max="13067" width="7.42578125" style="147" customWidth="1"/>
    <col min="13068" max="13068" width="19.42578125" style="147" customWidth="1"/>
    <col min="13069" max="13069" width="7.42578125" style="147" customWidth="1"/>
    <col min="13070" max="13072" width="19.42578125" style="147" customWidth="1"/>
    <col min="13073" max="13076" width="9.140625" style="147"/>
    <col min="13077" max="13077" width="12" style="147" customWidth="1"/>
    <col min="13078" max="13078" width="12.42578125" style="147" customWidth="1"/>
    <col min="13079" max="13079" width="11.140625" style="147" customWidth="1"/>
    <col min="13080" max="13080" width="9.140625" style="147"/>
    <col min="13081" max="13081" width="13" style="147" customWidth="1"/>
    <col min="13082" max="13082" width="15.5703125" style="147" customWidth="1"/>
    <col min="13083" max="13083" width="11.7109375" style="147" customWidth="1"/>
    <col min="13084" max="13084" width="14.85546875" style="147" customWidth="1"/>
    <col min="13085" max="13085" width="11.7109375" style="147" customWidth="1"/>
    <col min="13086" max="13312" width="9.140625" style="147"/>
    <col min="13313" max="13313" width="3.42578125" style="147" customWidth="1"/>
    <col min="13314" max="13314" width="19.42578125" style="147" customWidth="1"/>
    <col min="13315" max="13315" width="7.42578125" style="147" customWidth="1"/>
    <col min="13316" max="13316" width="19.42578125" style="147" customWidth="1"/>
    <col min="13317" max="13317" width="7.42578125" style="147" customWidth="1"/>
    <col min="13318" max="13318" width="19.42578125" style="147" customWidth="1"/>
    <col min="13319" max="13319" width="7.42578125" style="147" customWidth="1"/>
    <col min="13320" max="13320" width="19.42578125" style="147" customWidth="1"/>
    <col min="13321" max="13321" width="7.42578125" style="147" customWidth="1"/>
    <col min="13322" max="13322" width="19.42578125" style="147" customWidth="1"/>
    <col min="13323" max="13323" width="7.42578125" style="147" customWidth="1"/>
    <col min="13324" max="13324" width="19.42578125" style="147" customWidth="1"/>
    <col min="13325" max="13325" width="7.42578125" style="147" customWidth="1"/>
    <col min="13326" max="13328" width="19.42578125" style="147" customWidth="1"/>
    <col min="13329" max="13332" width="9.140625" style="147"/>
    <col min="13333" max="13333" width="12" style="147" customWidth="1"/>
    <col min="13334" max="13334" width="12.42578125" style="147" customWidth="1"/>
    <col min="13335" max="13335" width="11.140625" style="147" customWidth="1"/>
    <col min="13336" max="13336" width="9.140625" style="147"/>
    <col min="13337" max="13337" width="13" style="147" customWidth="1"/>
    <col min="13338" max="13338" width="15.5703125" style="147" customWidth="1"/>
    <col min="13339" max="13339" width="11.7109375" style="147" customWidth="1"/>
    <col min="13340" max="13340" width="14.85546875" style="147" customWidth="1"/>
    <col min="13341" max="13341" width="11.7109375" style="147" customWidth="1"/>
    <col min="13342" max="13568" width="9.140625" style="147"/>
    <col min="13569" max="13569" width="3.42578125" style="147" customWidth="1"/>
    <col min="13570" max="13570" width="19.42578125" style="147" customWidth="1"/>
    <col min="13571" max="13571" width="7.42578125" style="147" customWidth="1"/>
    <col min="13572" max="13572" width="19.42578125" style="147" customWidth="1"/>
    <col min="13573" max="13573" width="7.42578125" style="147" customWidth="1"/>
    <col min="13574" max="13574" width="19.42578125" style="147" customWidth="1"/>
    <col min="13575" max="13575" width="7.42578125" style="147" customWidth="1"/>
    <col min="13576" max="13576" width="19.42578125" style="147" customWidth="1"/>
    <col min="13577" max="13577" width="7.42578125" style="147" customWidth="1"/>
    <col min="13578" max="13578" width="19.42578125" style="147" customWidth="1"/>
    <col min="13579" max="13579" width="7.42578125" style="147" customWidth="1"/>
    <col min="13580" max="13580" width="19.42578125" style="147" customWidth="1"/>
    <col min="13581" max="13581" width="7.42578125" style="147" customWidth="1"/>
    <col min="13582" max="13584" width="19.42578125" style="147" customWidth="1"/>
    <col min="13585" max="13588" width="9.140625" style="147"/>
    <col min="13589" max="13589" width="12" style="147" customWidth="1"/>
    <col min="13590" max="13590" width="12.42578125" style="147" customWidth="1"/>
    <col min="13591" max="13591" width="11.140625" style="147" customWidth="1"/>
    <col min="13592" max="13592" width="9.140625" style="147"/>
    <col min="13593" max="13593" width="13" style="147" customWidth="1"/>
    <col min="13594" max="13594" width="15.5703125" style="147" customWidth="1"/>
    <col min="13595" max="13595" width="11.7109375" style="147" customWidth="1"/>
    <col min="13596" max="13596" width="14.85546875" style="147" customWidth="1"/>
    <col min="13597" max="13597" width="11.7109375" style="147" customWidth="1"/>
    <col min="13598" max="13824" width="9.140625" style="147"/>
    <col min="13825" max="13825" width="3.42578125" style="147" customWidth="1"/>
    <col min="13826" max="13826" width="19.42578125" style="147" customWidth="1"/>
    <col min="13827" max="13827" width="7.42578125" style="147" customWidth="1"/>
    <col min="13828" max="13828" width="19.42578125" style="147" customWidth="1"/>
    <col min="13829" max="13829" width="7.42578125" style="147" customWidth="1"/>
    <col min="13830" max="13830" width="19.42578125" style="147" customWidth="1"/>
    <col min="13831" max="13831" width="7.42578125" style="147" customWidth="1"/>
    <col min="13832" max="13832" width="19.42578125" style="147" customWidth="1"/>
    <col min="13833" max="13833" width="7.42578125" style="147" customWidth="1"/>
    <col min="13834" max="13834" width="19.42578125" style="147" customWidth="1"/>
    <col min="13835" max="13835" width="7.42578125" style="147" customWidth="1"/>
    <col min="13836" max="13836" width="19.42578125" style="147" customWidth="1"/>
    <col min="13837" max="13837" width="7.42578125" style="147" customWidth="1"/>
    <col min="13838" max="13840" width="19.42578125" style="147" customWidth="1"/>
    <col min="13841" max="13844" width="9.140625" style="147"/>
    <col min="13845" max="13845" width="12" style="147" customWidth="1"/>
    <col min="13846" max="13846" width="12.42578125" style="147" customWidth="1"/>
    <col min="13847" max="13847" width="11.140625" style="147" customWidth="1"/>
    <col min="13848" max="13848" width="9.140625" style="147"/>
    <col min="13849" max="13849" width="13" style="147" customWidth="1"/>
    <col min="13850" max="13850" width="15.5703125" style="147" customWidth="1"/>
    <col min="13851" max="13851" width="11.7109375" style="147" customWidth="1"/>
    <col min="13852" max="13852" width="14.85546875" style="147" customWidth="1"/>
    <col min="13853" max="13853" width="11.7109375" style="147" customWidth="1"/>
    <col min="13854" max="14080" width="9.140625" style="147"/>
    <col min="14081" max="14081" width="3.42578125" style="147" customWidth="1"/>
    <col min="14082" max="14082" width="19.42578125" style="147" customWidth="1"/>
    <col min="14083" max="14083" width="7.42578125" style="147" customWidth="1"/>
    <col min="14084" max="14084" width="19.42578125" style="147" customWidth="1"/>
    <col min="14085" max="14085" width="7.42578125" style="147" customWidth="1"/>
    <col min="14086" max="14086" width="19.42578125" style="147" customWidth="1"/>
    <col min="14087" max="14087" width="7.42578125" style="147" customWidth="1"/>
    <col min="14088" max="14088" width="19.42578125" style="147" customWidth="1"/>
    <col min="14089" max="14089" width="7.42578125" style="147" customWidth="1"/>
    <col min="14090" max="14090" width="19.42578125" style="147" customWidth="1"/>
    <col min="14091" max="14091" width="7.42578125" style="147" customWidth="1"/>
    <col min="14092" max="14092" width="19.42578125" style="147" customWidth="1"/>
    <col min="14093" max="14093" width="7.42578125" style="147" customWidth="1"/>
    <col min="14094" max="14096" width="19.42578125" style="147" customWidth="1"/>
    <col min="14097" max="14100" width="9.140625" style="147"/>
    <col min="14101" max="14101" width="12" style="147" customWidth="1"/>
    <col min="14102" max="14102" width="12.42578125" style="147" customWidth="1"/>
    <col min="14103" max="14103" width="11.140625" style="147" customWidth="1"/>
    <col min="14104" max="14104" width="9.140625" style="147"/>
    <col min="14105" max="14105" width="13" style="147" customWidth="1"/>
    <col min="14106" max="14106" width="15.5703125" style="147" customWidth="1"/>
    <col min="14107" max="14107" width="11.7109375" style="147" customWidth="1"/>
    <col min="14108" max="14108" width="14.85546875" style="147" customWidth="1"/>
    <col min="14109" max="14109" width="11.7109375" style="147" customWidth="1"/>
    <col min="14110" max="14336" width="9.140625" style="147"/>
    <col min="14337" max="14337" width="3.42578125" style="147" customWidth="1"/>
    <col min="14338" max="14338" width="19.42578125" style="147" customWidth="1"/>
    <col min="14339" max="14339" width="7.42578125" style="147" customWidth="1"/>
    <col min="14340" max="14340" width="19.42578125" style="147" customWidth="1"/>
    <col min="14341" max="14341" width="7.42578125" style="147" customWidth="1"/>
    <col min="14342" max="14342" width="19.42578125" style="147" customWidth="1"/>
    <col min="14343" max="14343" width="7.42578125" style="147" customWidth="1"/>
    <col min="14344" max="14344" width="19.42578125" style="147" customWidth="1"/>
    <col min="14345" max="14345" width="7.42578125" style="147" customWidth="1"/>
    <col min="14346" max="14346" width="19.42578125" style="147" customWidth="1"/>
    <col min="14347" max="14347" width="7.42578125" style="147" customWidth="1"/>
    <col min="14348" max="14348" width="19.42578125" style="147" customWidth="1"/>
    <col min="14349" max="14349" width="7.42578125" style="147" customWidth="1"/>
    <col min="14350" max="14352" width="19.42578125" style="147" customWidth="1"/>
    <col min="14353" max="14356" width="9.140625" style="147"/>
    <col min="14357" max="14357" width="12" style="147" customWidth="1"/>
    <col min="14358" max="14358" width="12.42578125" style="147" customWidth="1"/>
    <col min="14359" max="14359" width="11.140625" style="147" customWidth="1"/>
    <col min="14360" max="14360" width="9.140625" style="147"/>
    <col min="14361" max="14361" width="13" style="147" customWidth="1"/>
    <col min="14362" max="14362" width="15.5703125" style="147" customWidth="1"/>
    <col min="14363" max="14363" width="11.7109375" style="147" customWidth="1"/>
    <col min="14364" max="14364" width="14.85546875" style="147" customWidth="1"/>
    <col min="14365" max="14365" width="11.7109375" style="147" customWidth="1"/>
    <col min="14366" max="14592" width="9.140625" style="147"/>
    <col min="14593" max="14593" width="3.42578125" style="147" customWidth="1"/>
    <col min="14594" max="14594" width="19.42578125" style="147" customWidth="1"/>
    <col min="14595" max="14595" width="7.42578125" style="147" customWidth="1"/>
    <col min="14596" max="14596" width="19.42578125" style="147" customWidth="1"/>
    <col min="14597" max="14597" width="7.42578125" style="147" customWidth="1"/>
    <col min="14598" max="14598" width="19.42578125" style="147" customWidth="1"/>
    <col min="14599" max="14599" width="7.42578125" style="147" customWidth="1"/>
    <col min="14600" max="14600" width="19.42578125" style="147" customWidth="1"/>
    <col min="14601" max="14601" width="7.42578125" style="147" customWidth="1"/>
    <col min="14602" max="14602" width="19.42578125" style="147" customWidth="1"/>
    <col min="14603" max="14603" width="7.42578125" style="147" customWidth="1"/>
    <col min="14604" max="14604" width="19.42578125" style="147" customWidth="1"/>
    <col min="14605" max="14605" width="7.42578125" style="147" customWidth="1"/>
    <col min="14606" max="14608" width="19.42578125" style="147" customWidth="1"/>
    <col min="14609" max="14612" width="9.140625" style="147"/>
    <col min="14613" max="14613" width="12" style="147" customWidth="1"/>
    <col min="14614" max="14614" width="12.42578125" style="147" customWidth="1"/>
    <col min="14615" max="14615" width="11.140625" style="147" customWidth="1"/>
    <col min="14616" max="14616" width="9.140625" style="147"/>
    <col min="14617" max="14617" width="13" style="147" customWidth="1"/>
    <col min="14618" max="14618" width="15.5703125" style="147" customWidth="1"/>
    <col min="14619" max="14619" width="11.7109375" style="147" customWidth="1"/>
    <col min="14620" max="14620" width="14.85546875" style="147" customWidth="1"/>
    <col min="14621" max="14621" width="11.7109375" style="147" customWidth="1"/>
    <col min="14622" max="14848" width="9.140625" style="147"/>
    <col min="14849" max="14849" width="3.42578125" style="147" customWidth="1"/>
    <col min="14850" max="14850" width="19.42578125" style="147" customWidth="1"/>
    <col min="14851" max="14851" width="7.42578125" style="147" customWidth="1"/>
    <col min="14852" max="14852" width="19.42578125" style="147" customWidth="1"/>
    <col min="14853" max="14853" width="7.42578125" style="147" customWidth="1"/>
    <col min="14854" max="14854" width="19.42578125" style="147" customWidth="1"/>
    <col min="14855" max="14855" width="7.42578125" style="147" customWidth="1"/>
    <col min="14856" max="14856" width="19.42578125" style="147" customWidth="1"/>
    <col min="14857" max="14857" width="7.42578125" style="147" customWidth="1"/>
    <col min="14858" max="14858" width="19.42578125" style="147" customWidth="1"/>
    <col min="14859" max="14859" width="7.42578125" style="147" customWidth="1"/>
    <col min="14860" max="14860" width="19.42578125" style="147" customWidth="1"/>
    <col min="14861" max="14861" width="7.42578125" style="147" customWidth="1"/>
    <col min="14862" max="14864" width="19.42578125" style="147" customWidth="1"/>
    <col min="14865" max="14868" width="9.140625" style="147"/>
    <col min="14869" max="14869" width="12" style="147" customWidth="1"/>
    <col min="14870" max="14870" width="12.42578125" style="147" customWidth="1"/>
    <col min="14871" max="14871" width="11.140625" style="147" customWidth="1"/>
    <col min="14872" max="14872" width="9.140625" style="147"/>
    <col min="14873" max="14873" width="13" style="147" customWidth="1"/>
    <col min="14874" max="14874" width="15.5703125" style="147" customWidth="1"/>
    <col min="14875" max="14875" width="11.7109375" style="147" customWidth="1"/>
    <col min="14876" max="14876" width="14.85546875" style="147" customWidth="1"/>
    <col min="14877" max="14877" width="11.7109375" style="147" customWidth="1"/>
    <col min="14878" max="15104" width="9.140625" style="147"/>
    <col min="15105" max="15105" width="3.42578125" style="147" customWidth="1"/>
    <col min="15106" max="15106" width="19.42578125" style="147" customWidth="1"/>
    <col min="15107" max="15107" width="7.42578125" style="147" customWidth="1"/>
    <col min="15108" max="15108" width="19.42578125" style="147" customWidth="1"/>
    <col min="15109" max="15109" width="7.42578125" style="147" customWidth="1"/>
    <col min="15110" max="15110" width="19.42578125" style="147" customWidth="1"/>
    <col min="15111" max="15111" width="7.42578125" style="147" customWidth="1"/>
    <col min="15112" max="15112" width="19.42578125" style="147" customWidth="1"/>
    <col min="15113" max="15113" width="7.42578125" style="147" customWidth="1"/>
    <col min="15114" max="15114" width="19.42578125" style="147" customWidth="1"/>
    <col min="15115" max="15115" width="7.42578125" style="147" customWidth="1"/>
    <col min="15116" max="15116" width="19.42578125" style="147" customWidth="1"/>
    <col min="15117" max="15117" width="7.42578125" style="147" customWidth="1"/>
    <col min="15118" max="15120" width="19.42578125" style="147" customWidth="1"/>
    <col min="15121" max="15124" width="9.140625" style="147"/>
    <col min="15125" max="15125" width="12" style="147" customWidth="1"/>
    <col min="15126" max="15126" width="12.42578125" style="147" customWidth="1"/>
    <col min="15127" max="15127" width="11.140625" style="147" customWidth="1"/>
    <col min="15128" max="15128" width="9.140625" style="147"/>
    <col min="15129" max="15129" width="13" style="147" customWidth="1"/>
    <col min="15130" max="15130" width="15.5703125" style="147" customWidth="1"/>
    <col min="15131" max="15131" width="11.7109375" style="147" customWidth="1"/>
    <col min="15132" max="15132" width="14.85546875" style="147" customWidth="1"/>
    <col min="15133" max="15133" width="11.7109375" style="147" customWidth="1"/>
    <col min="15134" max="15360" width="9.140625" style="147"/>
    <col min="15361" max="15361" width="3.42578125" style="147" customWidth="1"/>
    <col min="15362" max="15362" width="19.42578125" style="147" customWidth="1"/>
    <col min="15363" max="15363" width="7.42578125" style="147" customWidth="1"/>
    <col min="15364" max="15364" width="19.42578125" style="147" customWidth="1"/>
    <col min="15365" max="15365" width="7.42578125" style="147" customWidth="1"/>
    <col min="15366" max="15366" width="19.42578125" style="147" customWidth="1"/>
    <col min="15367" max="15367" width="7.42578125" style="147" customWidth="1"/>
    <col min="15368" max="15368" width="19.42578125" style="147" customWidth="1"/>
    <col min="15369" max="15369" width="7.42578125" style="147" customWidth="1"/>
    <col min="15370" max="15370" width="19.42578125" style="147" customWidth="1"/>
    <col min="15371" max="15371" width="7.42578125" style="147" customWidth="1"/>
    <col min="15372" max="15372" width="19.42578125" style="147" customWidth="1"/>
    <col min="15373" max="15373" width="7.42578125" style="147" customWidth="1"/>
    <col min="15374" max="15376" width="19.42578125" style="147" customWidth="1"/>
    <col min="15377" max="15380" width="9.140625" style="147"/>
    <col min="15381" max="15381" width="12" style="147" customWidth="1"/>
    <col min="15382" max="15382" width="12.42578125" style="147" customWidth="1"/>
    <col min="15383" max="15383" width="11.140625" style="147" customWidth="1"/>
    <col min="15384" max="15384" width="9.140625" style="147"/>
    <col min="15385" max="15385" width="13" style="147" customWidth="1"/>
    <col min="15386" max="15386" width="15.5703125" style="147" customWidth="1"/>
    <col min="15387" max="15387" width="11.7109375" style="147" customWidth="1"/>
    <col min="15388" max="15388" width="14.85546875" style="147" customWidth="1"/>
    <col min="15389" max="15389" width="11.7109375" style="147" customWidth="1"/>
    <col min="15390" max="15616" width="9.140625" style="147"/>
    <col min="15617" max="15617" width="3.42578125" style="147" customWidth="1"/>
    <col min="15618" max="15618" width="19.42578125" style="147" customWidth="1"/>
    <col min="15619" max="15619" width="7.42578125" style="147" customWidth="1"/>
    <col min="15620" max="15620" width="19.42578125" style="147" customWidth="1"/>
    <col min="15621" max="15621" width="7.42578125" style="147" customWidth="1"/>
    <col min="15622" max="15622" width="19.42578125" style="147" customWidth="1"/>
    <col min="15623" max="15623" width="7.42578125" style="147" customWidth="1"/>
    <col min="15624" max="15624" width="19.42578125" style="147" customWidth="1"/>
    <col min="15625" max="15625" width="7.42578125" style="147" customWidth="1"/>
    <col min="15626" max="15626" width="19.42578125" style="147" customWidth="1"/>
    <col min="15627" max="15627" width="7.42578125" style="147" customWidth="1"/>
    <col min="15628" max="15628" width="19.42578125" style="147" customWidth="1"/>
    <col min="15629" max="15629" width="7.42578125" style="147" customWidth="1"/>
    <col min="15630" max="15632" width="19.42578125" style="147" customWidth="1"/>
    <col min="15633" max="15636" width="9.140625" style="147"/>
    <col min="15637" max="15637" width="12" style="147" customWidth="1"/>
    <col min="15638" max="15638" width="12.42578125" style="147" customWidth="1"/>
    <col min="15639" max="15639" width="11.140625" style="147" customWidth="1"/>
    <col min="15640" max="15640" width="9.140625" style="147"/>
    <col min="15641" max="15641" width="13" style="147" customWidth="1"/>
    <col min="15642" max="15642" width="15.5703125" style="147" customWidth="1"/>
    <col min="15643" max="15643" width="11.7109375" style="147" customWidth="1"/>
    <col min="15644" max="15644" width="14.85546875" style="147" customWidth="1"/>
    <col min="15645" max="15645" width="11.7109375" style="147" customWidth="1"/>
    <col min="15646" max="15872" width="9.140625" style="147"/>
    <col min="15873" max="15873" width="3.42578125" style="147" customWidth="1"/>
    <col min="15874" max="15874" width="19.42578125" style="147" customWidth="1"/>
    <col min="15875" max="15875" width="7.42578125" style="147" customWidth="1"/>
    <col min="15876" max="15876" width="19.42578125" style="147" customWidth="1"/>
    <col min="15877" max="15877" width="7.42578125" style="147" customWidth="1"/>
    <col min="15878" max="15878" width="19.42578125" style="147" customWidth="1"/>
    <col min="15879" max="15879" width="7.42578125" style="147" customWidth="1"/>
    <col min="15880" max="15880" width="19.42578125" style="147" customWidth="1"/>
    <col min="15881" max="15881" width="7.42578125" style="147" customWidth="1"/>
    <col min="15882" max="15882" width="19.42578125" style="147" customWidth="1"/>
    <col min="15883" max="15883" width="7.42578125" style="147" customWidth="1"/>
    <col min="15884" max="15884" width="19.42578125" style="147" customWidth="1"/>
    <col min="15885" max="15885" width="7.42578125" style="147" customWidth="1"/>
    <col min="15886" max="15888" width="19.42578125" style="147" customWidth="1"/>
    <col min="15889" max="15892" width="9.140625" style="147"/>
    <col min="15893" max="15893" width="12" style="147" customWidth="1"/>
    <col min="15894" max="15894" width="12.42578125" style="147" customWidth="1"/>
    <col min="15895" max="15895" width="11.140625" style="147" customWidth="1"/>
    <col min="15896" max="15896" width="9.140625" style="147"/>
    <col min="15897" max="15897" width="13" style="147" customWidth="1"/>
    <col min="15898" max="15898" width="15.5703125" style="147" customWidth="1"/>
    <col min="15899" max="15899" width="11.7109375" style="147" customWidth="1"/>
    <col min="15900" max="15900" width="14.85546875" style="147" customWidth="1"/>
    <col min="15901" max="15901" width="11.7109375" style="147" customWidth="1"/>
    <col min="15902" max="16128" width="9.140625" style="147"/>
    <col min="16129" max="16129" width="3.42578125" style="147" customWidth="1"/>
    <col min="16130" max="16130" width="19.42578125" style="147" customWidth="1"/>
    <col min="16131" max="16131" width="7.42578125" style="147" customWidth="1"/>
    <col min="16132" max="16132" width="19.42578125" style="147" customWidth="1"/>
    <col min="16133" max="16133" width="7.42578125" style="147" customWidth="1"/>
    <col min="16134" max="16134" width="19.42578125" style="147" customWidth="1"/>
    <col min="16135" max="16135" width="7.42578125" style="147" customWidth="1"/>
    <col min="16136" max="16136" width="19.42578125" style="147" customWidth="1"/>
    <col min="16137" max="16137" width="7.42578125" style="147" customWidth="1"/>
    <col min="16138" max="16138" width="19.42578125" style="147" customWidth="1"/>
    <col min="16139" max="16139" width="7.42578125" style="147" customWidth="1"/>
    <col min="16140" max="16140" width="19.42578125" style="147" customWidth="1"/>
    <col min="16141" max="16141" width="7.42578125" style="147" customWidth="1"/>
    <col min="16142" max="16144" width="19.42578125" style="147" customWidth="1"/>
    <col min="16145" max="16148" width="9.140625" style="147"/>
    <col min="16149" max="16149" width="12" style="147" customWidth="1"/>
    <col min="16150" max="16150" width="12.42578125" style="147" customWidth="1"/>
    <col min="16151" max="16151" width="11.140625" style="147" customWidth="1"/>
    <col min="16152" max="16152" width="9.140625" style="147"/>
    <col min="16153" max="16153" width="13" style="147" customWidth="1"/>
    <col min="16154" max="16154" width="15.5703125" style="147" customWidth="1"/>
    <col min="16155" max="16155" width="11.7109375" style="147" customWidth="1"/>
    <col min="16156" max="16156" width="14.85546875" style="147" customWidth="1"/>
    <col min="16157" max="16157" width="11.7109375" style="147" customWidth="1"/>
    <col min="16158" max="16384" width="9.140625" style="147"/>
  </cols>
  <sheetData>
    <row r="1" spans="2:16" s="14" customFormat="1" ht="15" x14ac:dyDescent="0.25"/>
    <row r="2" spans="2:16" s="14" customFormat="1" ht="15" x14ac:dyDescent="0.25"/>
    <row r="3" spans="2:16" s="14" customFormat="1" ht="15" x14ac:dyDescent="0.25"/>
    <row r="4" spans="2:16" ht="27.75" customHeight="1" x14ac:dyDescent="0.2"/>
    <row r="5" spans="2:16" ht="12.75" customHeight="1" x14ac:dyDescent="0.2">
      <c r="F5" s="584" t="s">
        <v>576</v>
      </c>
      <c r="G5" s="584"/>
      <c r="H5" s="584"/>
      <c r="I5" s="584"/>
      <c r="J5" s="584"/>
    </row>
    <row r="6" spans="2:16" ht="20.25" x14ac:dyDescent="0.3">
      <c r="F6" s="584"/>
      <c r="G6" s="584"/>
      <c r="H6" s="584"/>
      <c r="I6" s="584"/>
      <c r="J6" s="584"/>
      <c r="K6" s="371"/>
    </row>
    <row r="7" spans="2:16" x14ac:dyDescent="0.2">
      <c r="F7" s="584"/>
      <c r="G7" s="584"/>
      <c r="H7" s="584"/>
      <c r="I7" s="584"/>
      <c r="J7" s="584"/>
    </row>
    <row r="8" spans="2:16" ht="20.25" customHeight="1" x14ac:dyDescent="0.25">
      <c r="G8" s="148"/>
    </row>
    <row r="11" spans="2:16" s="144" customFormat="1" ht="18" x14ac:dyDescent="0.25">
      <c r="B11" s="149">
        <f>'Ratio Data'!U22</f>
        <v>4085339.58</v>
      </c>
      <c r="C11" s="143"/>
      <c r="D11" s="142"/>
      <c r="F11" s="539" t="s">
        <v>661</v>
      </c>
      <c r="G11" s="540">
        <f>D14/B11</f>
        <v>0.43302969688507514</v>
      </c>
      <c r="L11" s="146"/>
      <c r="N11" s="146"/>
      <c r="O11" s="146"/>
      <c r="P11" s="146"/>
    </row>
    <row r="14" spans="2:16" s="144" customFormat="1" ht="18" x14ac:dyDescent="0.25">
      <c r="B14" s="142"/>
      <c r="C14" s="143"/>
      <c r="D14" s="149">
        <f>(B11-B16)</f>
        <v>1769073.3600000003</v>
      </c>
      <c r="F14" s="145"/>
      <c r="L14" s="146"/>
      <c r="N14" s="146"/>
      <c r="O14" s="146"/>
      <c r="P14" s="146"/>
    </row>
    <row r="16" spans="2:16" s="144" customFormat="1" ht="18" x14ac:dyDescent="0.25">
      <c r="B16" s="149">
        <f>'Ratio Data'!AB22</f>
        <v>2316266.2199999997</v>
      </c>
      <c r="C16" s="143"/>
      <c r="D16" s="142"/>
      <c r="F16" s="145"/>
      <c r="L16" s="146"/>
      <c r="N16" s="146"/>
      <c r="O16" s="146"/>
      <c r="P16" s="146"/>
    </row>
    <row r="19" spans="2:25" s="144" customFormat="1" ht="19.5" customHeight="1" x14ac:dyDescent="0.25">
      <c r="B19" s="142"/>
      <c r="C19" s="143"/>
      <c r="D19" s="142"/>
      <c r="F19" s="150">
        <f>(D14-D25)*1.05</f>
        <v>1857527.0280000004</v>
      </c>
      <c r="L19" s="146"/>
      <c r="N19" s="146"/>
      <c r="O19" s="146"/>
      <c r="P19" s="146"/>
    </row>
    <row r="21" spans="2:25" ht="18" x14ac:dyDescent="0.25">
      <c r="H21" s="151">
        <f>F19-F24</f>
        <v>1844346.6780000003</v>
      </c>
      <c r="R21" s="372"/>
    </row>
    <row r="22" spans="2:25" s="144" customFormat="1" ht="18" x14ac:dyDescent="0.25">
      <c r="B22" s="150">
        <f>'Ratio Data'!AE22</f>
        <v>0</v>
      </c>
      <c r="C22" s="143"/>
      <c r="D22" s="142"/>
      <c r="F22" s="145"/>
      <c r="L22" s="146"/>
      <c r="N22" s="146"/>
      <c r="O22" s="146"/>
      <c r="P22" s="146"/>
    </row>
    <row r="24" spans="2:25" s="144" customFormat="1" ht="16.5" customHeight="1" x14ac:dyDescent="0.25">
      <c r="B24" s="142"/>
      <c r="C24" s="143"/>
      <c r="D24" s="142"/>
      <c r="F24" s="150">
        <f>'Ratio Data'!AJ12</f>
        <v>13180.35</v>
      </c>
      <c r="L24" s="146"/>
      <c r="N24" s="146"/>
      <c r="O24" s="382"/>
      <c r="P24" s="146"/>
    </row>
    <row r="25" spans="2:25" s="144" customFormat="1" ht="18" x14ac:dyDescent="0.25">
      <c r="B25" s="142"/>
      <c r="C25" s="143"/>
      <c r="D25" s="149">
        <f>B22+B27</f>
        <v>0</v>
      </c>
      <c r="F25" s="145"/>
      <c r="J25" s="439">
        <f>H21/H27</f>
        <v>0.45145492605537585</v>
      </c>
      <c r="L25" s="146"/>
      <c r="N25" s="146"/>
      <c r="O25" s="146"/>
      <c r="P25" s="440" t="s">
        <v>578</v>
      </c>
      <c r="Q25" s="441"/>
      <c r="R25" s="441"/>
      <c r="S25" s="441"/>
      <c r="T25" s="441"/>
    </row>
    <row r="26" spans="2:25" ht="18" x14ac:dyDescent="0.25">
      <c r="J26" s="143"/>
      <c r="P26" s="440" t="s">
        <v>575</v>
      </c>
      <c r="Q26" s="441"/>
      <c r="R26" s="442"/>
      <c r="S26" s="442"/>
      <c r="T26" s="442"/>
    </row>
    <row r="27" spans="2:25" s="144" customFormat="1" ht="18" x14ac:dyDescent="0.25">
      <c r="B27" s="149">
        <f>'Ratio Data'!AF22</f>
        <v>0</v>
      </c>
      <c r="C27" s="143"/>
      <c r="D27" s="142"/>
      <c r="F27" s="145"/>
      <c r="H27" s="151">
        <f>B11</f>
        <v>4085339.58</v>
      </c>
      <c r="J27" s="143"/>
      <c r="L27" s="146"/>
      <c r="N27" s="146"/>
      <c r="O27" s="146"/>
      <c r="P27" s="440"/>
      <c r="Q27" s="441"/>
      <c r="R27" s="441"/>
      <c r="S27" s="441"/>
      <c r="T27" s="441"/>
    </row>
    <row r="28" spans="2:25" x14ac:dyDescent="0.2">
      <c r="J28" s="143"/>
    </row>
    <row r="29" spans="2:25" x14ac:dyDescent="0.2">
      <c r="J29" s="143"/>
      <c r="S29" s="144"/>
      <c r="T29" s="144"/>
      <c r="U29" s="144"/>
      <c r="V29" s="144"/>
      <c r="W29" s="144"/>
    </row>
    <row r="30" spans="2:25" ht="18" x14ac:dyDescent="0.25">
      <c r="J30" s="143"/>
      <c r="L30" s="439">
        <f>J25*J33</f>
        <v>-0.61597056051180998</v>
      </c>
      <c r="S30" s="153"/>
      <c r="T30" s="154"/>
      <c r="U30" s="155"/>
      <c r="V30" s="156"/>
      <c r="W30" s="157"/>
      <c r="X30" s="14"/>
      <c r="Y30" s="14"/>
    </row>
    <row r="31" spans="2:25" ht="15" x14ac:dyDescent="0.25">
      <c r="J31" s="143"/>
      <c r="L31" s="158"/>
      <c r="S31" s="157"/>
      <c r="T31" s="155"/>
      <c r="U31" s="155"/>
      <c r="V31" s="156"/>
      <c r="W31" s="157"/>
      <c r="X31" s="14"/>
      <c r="Y31" s="14"/>
    </row>
    <row r="32" spans="2:25" s="144" customFormat="1" ht="18" x14ac:dyDescent="0.25">
      <c r="B32" s="149">
        <f>'Ratio Data'!D22+'Ratio Data'!E22+'Ratio Data'!F22</f>
        <v>-3640501.2699999996</v>
      </c>
      <c r="C32" s="143"/>
      <c r="D32" s="142"/>
      <c r="F32" s="145"/>
      <c r="J32" s="143"/>
      <c r="L32" s="158"/>
      <c r="N32" s="146"/>
      <c r="O32" s="146"/>
      <c r="P32" s="146"/>
      <c r="S32" s="157"/>
      <c r="T32" s="155"/>
      <c r="U32" s="155"/>
      <c r="V32" s="156"/>
      <c r="W32" s="157"/>
      <c r="X32" s="14"/>
      <c r="Y32" s="14"/>
    </row>
    <row r="33" spans="2:27" s="144" customFormat="1" ht="18" x14ac:dyDescent="0.25">
      <c r="B33" s="142"/>
      <c r="C33" s="143"/>
      <c r="D33" s="142"/>
      <c r="F33" s="150">
        <f>B11</f>
        <v>4085339.58</v>
      </c>
      <c r="J33" s="152">
        <f>F33/F37</f>
        <v>-1.3644120929057146</v>
      </c>
      <c r="L33" s="158"/>
      <c r="N33" s="439">
        <f>L30*L37</f>
        <v>-0.63643122323298718</v>
      </c>
      <c r="O33" s="159"/>
      <c r="P33" s="159"/>
      <c r="S33" s="157"/>
      <c r="T33" s="155"/>
      <c r="U33" s="155"/>
      <c r="V33" s="156"/>
      <c r="W33" s="157"/>
      <c r="X33" s="157"/>
      <c r="Y33" s="157"/>
    </row>
    <row r="34" spans="2:27" s="144" customFormat="1" ht="18" x14ac:dyDescent="0.25">
      <c r="B34" s="142"/>
      <c r="C34" s="143"/>
      <c r="D34" s="149">
        <f>B32+B36+B41</f>
        <v>-2993310.8199999994</v>
      </c>
      <c r="F34" s="145"/>
      <c r="J34" s="143"/>
      <c r="L34" s="158"/>
      <c r="N34" s="146"/>
      <c r="O34" s="146"/>
      <c r="P34" s="146"/>
      <c r="S34" s="157"/>
      <c r="T34" s="160"/>
      <c r="U34" s="160"/>
      <c r="V34" s="156"/>
      <c r="W34" s="157"/>
      <c r="X34" s="157"/>
      <c r="Y34" s="157"/>
      <c r="AA34" s="161"/>
    </row>
    <row r="35" spans="2:27" ht="15" x14ac:dyDescent="0.25">
      <c r="J35" s="143"/>
      <c r="L35" s="158"/>
      <c r="S35" s="157"/>
      <c r="T35" s="160"/>
      <c r="U35" s="162"/>
      <c r="V35" s="162"/>
      <c r="W35" s="157"/>
      <c r="X35" s="157"/>
      <c r="Y35" s="157"/>
    </row>
    <row r="36" spans="2:27" s="144" customFormat="1" ht="18" x14ac:dyDescent="0.25">
      <c r="B36" s="149">
        <f>'Ratio Data'!C22</f>
        <v>215387.65</v>
      </c>
      <c r="C36" s="143"/>
      <c r="D36" s="142"/>
      <c r="F36" s="145"/>
      <c r="L36" s="158"/>
      <c r="N36" s="146"/>
      <c r="O36" s="146"/>
      <c r="P36" s="146"/>
      <c r="S36" s="157"/>
      <c r="T36" s="157"/>
      <c r="U36" s="157"/>
      <c r="V36" s="157"/>
      <c r="W36" s="157"/>
      <c r="X36" s="157"/>
      <c r="Y36" s="157"/>
    </row>
    <row r="37" spans="2:27" s="144" customFormat="1" ht="18" x14ac:dyDescent="0.25">
      <c r="B37" s="142"/>
      <c r="C37" s="143"/>
      <c r="D37" s="142"/>
      <c r="F37" s="150">
        <f>D34+D39</f>
        <v>-2994212.3799999994</v>
      </c>
      <c r="L37" s="163">
        <f>F44/F48</f>
        <v>1.0332169490440848</v>
      </c>
      <c r="N37" s="146"/>
      <c r="O37" s="146"/>
      <c r="P37" s="146"/>
      <c r="S37" s="157"/>
      <c r="T37" s="157"/>
      <c r="U37" s="157"/>
      <c r="V37" s="157"/>
      <c r="W37" s="157"/>
      <c r="X37" s="157"/>
      <c r="Y37" s="157"/>
    </row>
    <row r="38" spans="2:27" ht="15" x14ac:dyDescent="0.25">
      <c r="L38" s="158"/>
      <c r="S38" s="164"/>
      <c r="T38" s="164"/>
      <c r="U38" s="165"/>
      <c r="V38" s="165"/>
      <c r="W38" s="164"/>
      <c r="X38" s="157"/>
      <c r="Y38" s="157"/>
    </row>
    <row r="39" spans="2:27" s="144" customFormat="1" ht="18" x14ac:dyDescent="0.25">
      <c r="B39" s="142"/>
      <c r="C39" s="143"/>
      <c r="D39" s="149">
        <f>'Ratio Data'!I22</f>
        <v>-901.56</v>
      </c>
      <c r="F39" s="145"/>
      <c r="L39" s="158"/>
      <c r="N39" s="146"/>
      <c r="O39" s="146"/>
      <c r="P39" s="146"/>
      <c r="S39" s="153"/>
      <c r="T39" s="155"/>
      <c r="U39" s="155"/>
      <c r="V39" s="156"/>
      <c r="W39" s="156"/>
      <c r="X39" s="157"/>
      <c r="Y39" s="157"/>
    </row>
    <row r="40" spans="2:27" ht="15" x14ac:dyDescent="0.25">
      <c r="L40" s="158"/>
      <c r="S40" s="157"/>
      <c r="T40" s="155"/>
      <c r="U40" s="155"/>
      <c r="V40" s="156"/>
      <c r="W40" s="156"/>
      <c r="X40" s="157"/>
      <c r="Y40" s="157"/>
    </row>
    <row r="41" spans="2:27" s="144" customFormat="1" ht="18" x14ac:dyDescent="0.25">
      <c r="B41" s="149">
        <f>'Ratio Data'!G22+'Ratio Data'!B22</f>
        <v>431802.80000000005</v>
      </c>
      <c r="C41" s="143"/>
      <c r="D41" s="142"/>
      <c r="F41" s="145"/>
      <c r="L41" s="146"/>
      <c r="N41" s="146"/>
      <c r="O41" s="146"/>
      <c r="P41" s="146"/>
      <c r="S41" s="157"/>
      <c r="T41" s="155"/>
      <c r="U41" s="155"/>
      <c r="V41" s="156"/>
      <c r="W41" s="156"/>
      <c r="X41" s="157"/>
      <c r="Y41" s="157"/>
    </row>
    <row r="42" spans="2:27" ht="15" x14ac:dyDescent="0.25">
      <c r="S42" s="157"/>
      <c r="T42" s="155"/>
      <c r="U42" s="155"/>
      <c r="V42" s="156"/>
      <c r="W42" s="156"/>
      <c r="X42" s="157"/>
      <c r="Y42" s="157"/>
    </row>
    <row r="43" spans="2:27" ht="15" x14ac:dyDescent="0.25">
      <c r="S43" s="157"/>
      <c r="T43" s="160"/>
      <c r="U43" s="160"/>
      <c r="V43" s="156"/>
      <c r="W43" s="156"/>
      <c r="X43" s="157"/>
      <c r="Y43" s="157"/>
    </row>
    <row r="44" spans="2:27" s="144" customFormat="1" ht="18" x14ac:dyDescent="0.25">
      <c r="B44" s="142"/>
      <c r="C44" s="143"/>
      <c r="D44" s="142"/>
      <c r="F44" s="150">
        <f>D46</f>
        <v>-2994212.3799999994</v>
      </c>
      <c r="L44" s="146"/>
      <c r="N44" s="146"/>
      <c r="O44" s="146"/>
      <c r="P44" s="146"/>
      <c r="S44" s="157"/>
      <c r="T44" s="160"/>
      <c r="U44" s="160"/>
      <c r="V44" s="156"/>
      <c r="W44" s="156"/>
      <c r="X44" s="157"/>
      <c r="Y44" s="157"/>
    </row>
    <row r="45" spans="2:27" ht="15" x14ac:dyDescent="0.25">
      <c r="S45" s="157"/>
      <c r="T45" s="160"/>
      <c r="U45" s="160"/>
      <c r="V45" s="156"/>
      <c r="W45" s="156"/>
      <c r="X45" s="157"/>
      <c r="Y45" s="157"/>
    </row>
    <row r="46" spans="2:27" s="144" customFormat="1" ht="18" x14ac:dyDescent="0.25">
      <c r="B46" s="142"/>
      <c r="C46" s="143"/>
      <c r="D46" s="149">
        <f>F37</f>
        <v>-2994212.3799999994</v>
      </c>
      <c r="F46" s="145"/>
      <c r="L46" s="146"/>
      <c r="N46" s="146"/>
      <c r="O46" s="146"/>
      <c r="P46" s="146"/>
      <c r="S46" s="157"/>
      <c r="T46" s="157"/>
      <c r="U46" s="157"/>
      <c r="V46" s="166"/>
      <c r="W46" s="157"/>
      <c r="X46" s="157"/>
      <c r="Y46" s="157"/>
    </row>
    <row r="47" spans="2:27" ht="22.5" customHeight="1" x14ac:dyDescent="0.25">
      <c r="B47" s="149">
        <f>'Ratio Data'!N22+'Ratio Data'!M22</f>
        <v>-96261.099999999948</v>
      </c>
      <c r="S47" s="157"/>
      <c r="T47" s="157"/>
      <c r="U47" s="157"/>
      <c r="V47" s="157"/>
      <c r="W47" s="157"/>
      <c r="X47" s="157"/>
      <c r="Y47" s="157"/>
    </row>
    <row r="48" spans="2:27" s="144" customFormat="1" ht="18" x14ac:dyDescent="0.25">
      <c r="B48" s="142"/>
      <c r="C48" s="143"/>
      <c r="D48" s="142"/>
      <c r="F48" s="150">
        <f>D46-D50</f>
        <v>-2897951.2799999993</v>
      </c>
      <c r="L48" s="146"/>
      <c r="N48" s="146"/>
      <c r="O48" s="146"/>
      <c r="P48" s="146"/>
      <c r="S48" s="164"/>
      <c r="T48" s="164"/>
      <c r="U48" s="165"/>
      <c r="V48" s="165"/>
      <c r="W48" s="165"/>
      <c r="X48" s="165"/>
      <c r="Y48" s="164"/>
    </row>
    <row r="49" spans="2:25" ht="15" x14ac:dyDescent="0.25">
      <c r="S49" s="153"/>
      <c r="T49" s="155"/>
      <c r="U49" s="156"/>
      <c r="V49" s="156"/>
      <c r="W49" s="167"/>
      <c r="X49" s="156"/>
      <c r="Y49" s="156"/>
    </row>
    <row r="50" spans="2:25" s="144" customFormat="1" ht="18" x14ac:dyDescent="0.25">
      <c r="B50" s="142"/>
      <c r="C50" s="143"/>
      <c r="D50" s="149">
        <f>B47+B52</f>
        <v>-96261.099999999948</v>
      </c>
      <c r="F50" s="145"/>
      <c r="L50" s="146"/>
      <c r="N50" s="146"/>
      <c r="O50" s="146"/>
      <c r="P50" s="146"/>
      <c r="S50" s="157"/>
      <c r="T50" s="160"/>
      <c r="U50" s="156"/>
      <c r="V50" s="156"/>
      <c r="W50" s="167"/>
      <c r="X50" s="156"/>
      <c r="Y50" s="156"/>
    </row>
    <row r="51" spans="2:25" ht="15" customHeight="1" x14ac:dyDescent="0.25">
      <c r="S51" s="157"/>
      <c r="T51" s="160"/>
      <c r="U51" s="156"/>
      <c r="V51" s="156"/>
      <c r="W51" s="167"/>
      <c r="X51" s="156"/>
      <c r="Y51" s="156"/>
    </row>
    <row r="52" spans="2:25" s="144" customFormat="1" ht="17.25" customHeight="1" x14ac:dyDescent="0.25">
      <c r="B52" s="149">
        <f>'Ratio Data'!O22</f>
        <v>0</v>
      </c>
      <c r="C52" s="143"/>
      <c r="D52" s="142"/>
      <c r="F52" s="145"/>
      <c r="L52" s="146"/>
      <c r="N52" s="146"/>
      <c r="O52" s="146"/>
      <c r="P52" s="146"/>
      <c r="S52" s="157"/>
      <c r="T52" s="160"/>
      <c r="U52" s="156"/>
      <c r="V52" s="156"/>
      <c r="W52" s="167"/>
      <c r="X52" s="156"/>
      <c r="Y52" s="156"/>
    </row>
    <row r="56" spans="2:25" ht="21" customHeight="1" x14ac:dyDescent="0.25">
      <c r="D56" s="149"/>
    </row>
  </sheetData>
  <mergeCells count="1">
    <mergeCell ref="F5:J7"/>
  </mergeCells>
  <pageMargins left="0.7" right="0.7" top="0.75" bottom="0.75" header="0.3" footer="0.3"/>
  <pageSetup scale="62" fitToWidth="2" orientation="landscape" r:id="rId1"/>
  <headerFooter>
    <oddFooter>Page &amp;P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pageSetUpPr fitToPage="1"/>
  </sheetPr>
  <dimension ref="B1:AA52"/>
  <sheetViews>
    <sheetView showGridLines="0" topLeftCell="A7" zoomScale="57" zoomScaleNormal="57" workbookViewId="0">
      <selection activeCell="P38" sqref="P38"/>
    </sheetView>
  </sheetViews>
  <sheetFormatPr defaultRowHeight="12.75" x14ac:dyDescent="0.2"/>
  <cols>
    <col min="1" max="1" width="3.42578125" style="147" customWidth="1"/>
    <col min="2" max="2" width="19.42578125" style="142" customWidth="1"/>
    <col min="3" max="3" width="7.42578125" style="143" customWidth="1"/>
    <col min="4" max="4" width="19.42578125" style="142" customWidth="1"/>
    <col min="5" max="5" width="7.42578125" style="144" customWidth="1"/>
    <col min="6" max="6" width="19.42578125" style="145" customWidth="1"/>
    <col min="7" max="7" width="7.42578125" style="144" customWidth="1"/>
    <col min="8" max="8" width="19.42578125" style="144" customWidth="1"/>
    <col min="9" max="9" width="7.42578125" style="144" customWidth="1"/>
    <col min="10" max="10" width="19.42578125" style="144" customWidth="1"/>
    <col min="11" max="11" width="7.42578125" style="144" customWidth="1"/>
    <col min="12" max="12" width="19.42578125" style="146" customWidth="1"/>
    <col min="13" max="13" width="7.42578125" style="144" customWidth="1"/>
    <col min="14" max="16" width="19.42578125" style="146" customWidth="1"/>
    <col min="17" max="17" width="9.140625" style="144"/>
    <col min="18" max="20" width="9.140625" style="147"/>
    <col min="21" max="21" width="12" style="147" customWidth="1"/>
    <col min="22" max="22" width="12.42578125" style="147" customWidth="1"/>
    <col min="23" max="23" width="11.140625" style="147" customWidth="1"/>
    <col min="24" max="24" width="9.140625" style="147"/>
    <col min="25" max="25" width="13" style="147" customWidth="1"/>
    <col min="26" max="26" width="15.5703125" style="147" customWidth="1"/>
    <col min="27" max="27" width="11.7109375" style="147" customWidth="1"/>
    <col min="28" max="28" width="14.85546875" style="147" customWidth="1"/>
    <col min="29" max="29" width="11.7109375" style="147" customWidth="1"/>
    <col min="30" max="256" width="9.140625" style="147"/>
    <col min="257" max="257" width="3.42578125" style="147" customWidth="1"/>
    <col min="258" max="258" width="19.42578125" style="147" customWidth="1"/>
    <col min="259" max="259" width="7.42578125" style="147" customWidth="1"/>
    <col min="260" max="260" width="19.42578125" style="147" customWidth="1"/>
    <col min="261" max="261" width="7.42578125" style="147" customWidth="1"/>
    <col min="262" max="262" width="19.42578125" style="147" customWidth="1"/>
    <col min="263" max="263" width="7.42578125" style="147" customWidth="1"/>
    <col min="264" max="264" width="19.42578125" style="147" customWidth="1"/>
    <col min="265" max="265" width="7.42578125" style="147" customWidth="1"/>
    <col min="266" max="266" width="19.42578125" style="147" customWidth="1"/>
    <col min="267" max="267" width="7.42578125" style="147" customWidth="1"/>
    <col min="268" max="268" width="19.42578125" style="147" customWidth="1"/>
    <col min="269" max="269" width="7.42578125" style="147" customWidth="1"/>
    <col min="270" max="272" width="19.42578125" style="147" customWidth="1"/>
    <col min="273" max="276" width="9.140625" style="147"/>
    <col min="277" max="277" width="12" style="147" customWidth="1"/>
    <col min="278" max="278" width="12.42578125" style="147" customWidth="1"/>
    <col min="279" max="279" width="11.140625" style="147" customWidth="1"/>
    <col min="280" max="280" width="9.140625" style="147"/>
    <col min="281" max="281" width="13" style="147" customWidth="1"/>
    <col min="282" max="282" width="15.5703125" style="147" customWidth="1"/>
    <col min="283" max="283" width="11.7109375" style="147" customWidth="1"/>
    <col min="284" max="284" width="14.85546875" style="147" customWidth="1"/>
    <col min="285" max="285" width="11.7109375" style="147" customWidth="1"/>
    <col min="286" max="512" width="9.140625" style="147"/>
    <col min="513" max="513" width="3.42578125" style="147" customWidth="1"/>
    <col min="514" max="514" width="19.42578125" style="147" customWidth="1"/>
    <col min="515" max="515" width="7.42578125" style="147" customWidth="1"/>
    <col min="516" max="516" width="19.42578125" style="147" customWidth="1"/>
    <col min="517" max="517" width="7.42578125" style="147" customWidth="1"/>
    <col min="518" max="518" width="19.42578125" style="147" customWidth="1"/>
    <col min="519" max="519" width="7.42578125" style="147" customWidth="1"/>
    <col min="520" max="520" width="19.42578125" style="147" customWidth="1"/>
    <col min="521" max="521" width="7.42578125" style="147" customWidth="1"/>
    <col min="522" max="522" width="19.42578125" style="147" customWidth="1"/>
    <col min="523" max="523" width="7.42578125" style="147" customWidth="1"/>
    <col min="524" max="524" width="19.42578125" style="147" customWidth="1"/>
    <col min="525" max="525" width="7.42578125" style="147" customWidth="1"/>
    <col min="526" max="528" width="19.42578125" style="147" customWidth="1"/>
    <col min="529" max="532" width="9.140625" style="147"/>
    <col min="533" max="533" width="12" style="147" customWidth="1"/>
    <col min="534" max="534" width="12.42578125" style="147" customWidth="1"/>
    <col min="535" max="535" width="11.140625" style="147" customWidth="1"/>
    <col min="536" max="536" width="9.140625" style="147"/>
    <col min="537" max="537" width="13" style="147" customWidth="1"/>
    <col min="538" max="538" width="15.5703125" style="147" customWidth="1"/>
    <col min="539" max="539" width="11.7109375" style="147" customWidth="1"/>
    <col min="540" max="540" width="14.85546875" style="147" customWidth="1"/>
    <col min="541" max="541" width="11.7109375" style="147" customWidth="1"/>
    <col min="542" max="768" width="9.140625" style="147"/>
    <col min="769" max="769" width="3.42578125" style="147" customWidth="1"/>
    <col min="770" max="770" width="19.42578125" style="147" customWidth="1"/>
    <col min="771" max="771" width="7.42578125" style="147" customWidth="1"/>
    <col min="772" max="772" width="19.42578125" style="147" customWidth="1"/>
    <col min="773" max="773" width="7.42578125" style="147" customWidth="1"/>
    <col min="774" max="774" width="19.42578125" style="147" customWidth="1"/>
    <col min="775" max="775" width="7.42578125" style="147" customWidth="1"/>
    <col min="776" max="776" width="19.42578125" style="147" customWidth="1"/>
    <col min="777" max="777" width="7.42578125" style="147" customWidth="1"/>
    <col min="778" max="778" width="19.42578125" style="147" customWidth="1"/>
    <col min="779" max="779" width="7.42578125" style="147" customWidth="1"/>
    <col min="780" max="780" width="19.42578125" style="147" customWidth="1"/>
    <col min="781" max="781" width="7.42578125" style="147" customWidth="1"/>
    <col min="782" max="784" width="19.42578125" style="147" customWidth="1"/>
    <col min="785" max="788" width="9.140625" style="147"/>
    <col min="789" max="789" width="12" style="147" customWidth="1"/>
    <col min="790" max="790" width="12.42578125" style="147" customWidth="1"/>
    <col min="791" max="791" width="11.140625" style="147" customWidth="1"/>
    <col min="792" max="792" width="9.140625" style="147"/>
    <col min="793" max="793" width="13" style="147" customWidth="1"/>
    <col min="794" max="794" width="15.5703125" style="147" customWidth="1"/>
    <col min="795" max="795" width="11.7109375" style="147" customWidth="1"/>
    <col min="796" max="796" width="14.85546875" style="147" customWidth="1"/>
    <col min="797" max="797" width="11.7109375" style="147" customWidth="1"/>
    <col min="798" max="1024" width="9.140625" style="147"/>
    <col min="1025" max="1025" width="3.42578125" style="147" customWidth="1"/>
    <col min="1026" max="1026" width="19.42578125" style="147" customWidth="1"/>
    <col min="1027" max="1027" width="7.42578125" style="147" customWidth="1"/>
    <col min="1028" max="1028" width="19.42578125" style="147" customWidth="1"/>
    <col min="1029" max="1029" width="7.42578125" style="147" customWidth="1"/>
    <col min="1030" max="1030" width="19.42578125" style="147" customWidth="1"/>
    <col min="1031" max="1031" width="7.42578125" style="147" customWidth="1"/>
    <col min="1032" max="1032" width="19.42578125" style="147" customWidth="1"/>
    <col min="1033" max="1033" width="7.42578125" style="147" customWidth="1"/>
    <col min="1034" max="1034" width="19.42578125" style="147" customWidth="1"/>
    <col min="1035" max="1035" width="7.42578125" style="147" customWidth="1"/>
    <col min="1036" max="1036" width="19.42578125" style="147" customWidth="1"/>
    <col min="1037" max="1037" width="7.42578125" style="147" customWidth="1"/>
    <col min="1038" max="1040" width="19.42578125" style="147" customWidth="1"/>
    <col min="1041" max="1044" width="9.140625" style="147"/>
    <col min="1045" max="1045" width="12" style="147" customWidth="1"/>
    <col min="1046" max="1046" width="12.42578125" style="147" customWidth="1"/>
    <col min="1047" max="1047" width="11.140625" style="147" customWidth="1"/>
    <col min="1048" max="1048" width="9.140625" style="147"/>
    <col min="1049" max="1049" width="13" style="147" customWidth="1"/>
    <col min="1050" max="1050" width="15.5703125" style="147" customWidth="1"/>
    <col min="1051" max="1051" width="11.7109375" style="147" customWidth="1"/>
    <col min="1052" max="1052" width="14.85546875" style="147" customWidth="1"/>
    <col min="1053" max="1053" width="11.7109375" style="147" customWidth="1"/>
    <col min="1054" max="1280" width="9.140625" style="147"/>
    <col min="1281" max="1281" width="3.42578125" style="147" customWidth="1"/>
    <col min="1282" max="1282" width="19.42578125" style="147" customWidth="1"/>
    <col min="1283" max="1283" width="7.42578125" style="147" customWidth="1"/>
    <col min="1284" max="1284" width="19.42578125" style="147" customWidth="1"/>
    <col min="1285" max="1285" width="7.42578125" style="147" customWidth="1"/>
    <col min="1286" max="1286" width="19.42578125" style="147" customWidth="1"/>
    <col min="1287" max="1287" width="7.42578125" style="147" customWidth="1"/>
    <col min="1288" max="1288" width="19.42578125" style="147" customWidth="1"/>
    <col min="1289" max="1289" width="7.42578125" style="147" customWidth="1"/>
    <col min="1290" max="1290" width="19.42578125" style="147" customWidth="1"/>
    <col min="1291" max="1291" width="7.42578125" style="147" customWidth="1"/>
    <col min="1292" max="1292" width="19.42578125" style="147" customWidth="1"/>
    <col min="1293" max="1293" width="7.42578125" style="147" customWidth="1"/>
    <col min="1294" max="1296" width="19.42578125" style="147" customWidth="1"/>
    <col min="1297" max="1300" width="9.140625" style="147"/>
    <col min="1301" max="1301" width="12" style="147" customWidth="1"/>
    <col min="1302" max="1302" width="12.42578125" style="147" customWidth="1"/>
    <col min="1303" max="1303" width="11.140625" style="147" customWidth="1"/>
    <col min="1304" max="1304" width="9.140625" style="147"/>
    <col min="1305" max="1305" width="13" style="147" customWidth="1"/>
    <col min="1306" max="1306" width="15.5703125" style="147" customWidth="1"/>
    <col min="1307" max="1307" width="11.7109375" style="147" customWidth="1"/>
    <col min="1308" max="1308" width="14.85546875" style="147" customWidth="1"/>
    <col min="1309" max="1309" width="11.7109375" style="147" customWidth="1"/>
    <col min="1310" max="1536" width="9.140625" style="147"/>
    <col min="1537" max="1537" width="3.42578125" style="147" customWidth="1"/>
    <col min="1538" max="1538" width="19.42578125" style="147" customWidth="1"/>
    <col min="1539" max="1539" width="7.42578125" style="147" customWidth="1"/>
    <col min="1540" max="1540" width="19.42578125" style="147" customWidth="1"/>
    <col min="1541" max="1541" width="7.42578125" style="147" customWidth="1"/>
    <col min="1542" max="1542" width="19.42578125" style="147" customWidth="1"/>
    <col min="1543" max="1543" width="7.42578125" style="147" customWidth="1"/>
    <col min="1544" max="1544" width="19.42578125" style="147" customWidth="1"/>
    <col min="1545" max="1545" width="7.42578125" style="147" customWidth="1"/>
    <col min="1546" max="1546" width="19.42578125" style="147" customWidth="1"/>
    <col min="1547" max="1547" width="7.42578125" style="147" customWidth="1"/>
    <col min="1548" max="1548" width="19.42578125" style="147" customWidth="1"/>
    <col min="1549" max="1549" width="7.42578125" style="147" customWidth="1"/>
    <col min="1550" max="1552" width="19.42578125" style="147" customWidth="1"/>
    <col min="1553" max="1556" width="9.140625" style="147"/>
    <col min="1557" max="1557" width="12" style="147" customWidth="1"/>
    <col min="1558" max="1558" width="12.42578125" style="147" customWidth="1"/>
    <col min="1559" max="1559" width="11.140625" style="147" customWidth="1"/>
    <col min="1560" max="1560" width="9.140625" style="147"/>
    <col min="1561" max="1561" width="13" style="147" customWidth="1"/>
    <col min="1562" max="1562" width="15.5703125" style="147" customWidth="1"/>
    <col min="1563" max="1563" width="11.7109375" style="147" customWidth="1"/>
    <col min="1564" max="1564" width="14.85546875" style="147" customWidth="1"/>
    <col min="1565" max="1565" width="11.7109375" style="147" customWidth="1"/>
    <col min="1566" max="1792" width="9.140625" style="147"/>
    <col min="1793" max="1793" width="3.42578125" style="147" customWidth="1"/>
    <col min="1794" max="1794" width="19.42578125" style="147" customWidth="1"/>
    <col min="1795" max="1795" width="7.42578125" style="147" customWidth="1"/>
    <col min="1796" max="1796" width="19.42578125" style="147" customWidth="1"/>
    <col min="1797" max="1797" width="7.42578125" style="147" customWidth="1"/>
    <col min="1798" max="1798" width="19.42578125" style="147" customWidth="1"/>
    <col min="1799" max="1799" width="7.42578125" style="147" customWidth="1"/>
    <col min="1800" max="1800" width="19.42578125" style="147" customWidth="1"/>
    <col min="1801" max="1801" width="7.42578125" style="147" customWidth="1"/>
    <col min="1802" max="1802" width="19.42578125" style="147" customWidth="1"/>
    <col min="1803" max="1803" width="7.42578125" style="147" customWidth="1"/>
    <col min="1804" max="1804" width="19.42578125" style="147" customWidth="1"/>
    <col min="1805" max="1805" width="7.42578125" style="147" customWidth="1"/>
    <col min="1806" max="1808" width="19.42578125" style="147" customWidth="1"/>
    <col min="1809" max="1812" width="9.140625" style="147"/>
    <col min="1813" max="1813" width="12" style="147" customWidth="1"/>
    <col min="1814" max="1814" width="12.42578125" style="147" customWidth="1"/>
    <col min="1815" max="1815" width="11.140625" style="147" customWidth="1"/>
    <col min="1816" max="1816" width="9.140625" style="147"/>
    <col min="1817" max="1817" width="13" style="147" customWidth="1"/>
    <col min="1818" max="1818" width="15.5703125" style="147" customWidth="1"/>
    <col min="1819" max="1819" width="11.7109375" style="147" customWidth="1"/>
    <col min="1820" max="1820" width="14.85546875" style="147" customWidth="1"/>
    <col min="1821" max="1821" width="11.7109375" style="147" customWidth="1"/>
    <col min="1822" max="2048" width="9.140625" style="147"/>
    <col min="2049" max="2049" width="3.42578125" style="147" customWidth="1"/>
    <col min="2050" max="2050" width="19.42578125" style="147" customWidth="1"/>
    <col min="2051" max="2051" width="7.42578125" style="147" customWidth="1"/>
    <col min="2052" max="2052" width="19.42578125" style="147" customWidth="1"/>
    <col min="2053" max="2053" width="7.42578125" style="147" customWidth="1"/>
    <col min="2054" max="2054" width="19.42578125" style="147" customWidth="1"/>
    <col min="2055" max="2055" width="7.42578125" style="147" customWidth="1"/>
    <col min="2056" max="2056" width="19.42578125" style="147" customWidth="1"/>
    <col min="2057" max="2057" width="7.42578125" style="147" customWidth="1"/>
    <col min="2058" max="2058" width="19.42578125" style="147" customWidth="1"/>
    <col min="2059" max="2059" width="7.42578125" style="147" customWidth="1"/>
    <col min="2060" max="2060" width="19.42578125" style="147" customWidth="1"/>
    <col min="2061" max="2061" width="7.42578125" style="147" customWidth="1"/>
    <col min="2062" max="2064" width="19.42578125" style="147" customWidth="1"/>
    <col min="2065" max="2068" width="9.140625" style="147"/>
    <col min="2069" max="2069" width="12" style="147" customWidth="1"/>
    <col min="2070" max="2070" width="12.42578125" style="147" customWidth="1"/>
    <col min="2071" max="2071" width="11.140625" style="147" customWidth="1"/>
    <col min="2072" max="2072" width="9.140625" style="147"/>
    <col min="2073" max="2073" width="13" style="147" customWidth="1"/>
    <col min="2074" max="2074" width="15.5703125" style="147" customWidth="1"/>
    <col min="2075" max="2075" width="11.7109375" style="147" customWidth="1"/>
    <col min="2076" max="2076" width="14.85546875" style="147" customWidth="1"/>
    <col min="2077" max="2077" width="11.7109375" style="147" customWidth="1"/>
    <col min="2078" max="2304" width="9.140625" style="147"/>
    <col min="2305" max="2305" width="3.42578125" style="147" customWidth="1"/>
    <col min="2306" max="2306" width="19.42578125" style="147" customWidth="1"/>
    <col min="2307" max="2307" width="7.42578125" style="147" customWidth="1"/>
    <col min="2308" max="2308" width="19.42578125" style="147" customWidth="1"/>
    <col min="2309" max="2309" width="7.42578125" style="147" customWidth="1"/>
    <col min="2310" max="2310" width="19.42578125" style="147" customWidth="1"/>
    <col min="2311" max="2311" width="7.42578125" style="147" customWidth="1"/>
    <col min="2312" max="2312" width="19.42578125" style="147" customWidth="1"/>
    <col min="2313" max="2313" width="7.42578125" style="147" customWidth="1"/>
    <col min="2314" max="2314" width="19.42578125" style="147" customWidth="1"/>
    <col min="2315" max="2315" width="7.42578125" style="147" customWidth="1"/>
    <col min="2316" max="2316" width="19.42578125" style="147" customWidth="1"/>
    <col min="2317" max="2317" width="7.42578125" style="147" customWidth="1"/>
    <col min="2318" max="2320" width="19.42578125" style="147" customWidth="1"/>
    <col min="2321" max="2324" width="9.140625" style="147"/>
    <col min="2325" max="2325" width="12" style="147" customWidth="1"/>
    <col min="2326" max="2326" width="12.42578125" style="147" customWidth="1"/>
    <col min="2327" max="2327" width="11.140625" style="147" customWidth="1"/>
    <col min="2328" max="2328" width="9.140625" style="147"/>
    <col min="2329" max="2329" width="13" style="147" customWidth="1"/>
    <col min="2330" max="2330" width="15.5703125" style="147" customWidth="1"/>
    <col min="2331" max="2331" width="11.7109375" style="147" customWidth="1"/>
    <col min="2332" max="2332" width="14.85546875" style="147" customWidth="1"/>
    <col min="2333" max="2333" width="11.7109375" style="147" customWidth="1"/>
    <col min="2334" max="2560" width="9.140625" style="147"/>
    <col min="2561" max="2561" width="3.42578125" style="147" customWidth="1"/>
    <col min="2562" max="2562" width="19.42578125" style="147" customWidth="1"/>
    <col min="2563" max="2563" width="7.42578125" style="147" customWidth="1"/>
    <col min="2564" max="2564" width="19.42578125" style="147" customWidth="1"/>
    <col min="2565" max="2565" width="7.42578125" style="147" customWidth="1"/>
    <col min="2566" max="2566" width="19.42578125" style="147" customWidth="1"/>
    <col min="2567" max="2567" width="7.42578125" style="147" customWidth="1"/>
    <col min="2568" max="2568" width="19.42578125" style="147" customWidth="1"/>
    <col min="2569" max="2569" width="7.42578125" style="147" customWidth="1"/>
    <col min="2570" max="2570" width="19.42578125" style="147" customWidth="1"/>
    <col min="2571" max="2571" width="7.42578125" style="147" customWidth="1"/>
    <col min="2572" max="2572" width="19.42578125" style="147" customWidth="1"/>
    <col min="2573" max="2573" width="7.42578125" style="147" customWidth="1"/>
    <col min="2574" max="2576" width="19.42578125" style="147" customWidth="1"/>
    <col min="2577" max="2580" width="9.140625" style="147"/>
    <col min="2581" max="2581" width="12" style="147" customWidth="1"/>
    <col min="2582" max="2582" width="12.42578125" style="147" customWidth="1"/>
    <col min="2583" max="2583" width="11.140625" style="147" customWidth="1"/>
    <col min="2584" max="2584" width="9.140625" style="147"/>
    <col min="2585" max="2585" width="13" style="147" customWidth="1"/>
    <col min="2586" max="2586" width="15.5703125" style="147" customWidth="1"/>
    <col min="2587" max="2587" width="11.7109375" style="147" customWidth="1"/>
    <col min="2588" max="2588" width="14.85546875" style="147" customWidth="1"/>
    <col min="2589" max="2589" width="11.7109375" style="147" customWidth="1"/>
    <col min="2590" max="2816" width="9.140625" style="147"/>
    <col min="2817" max="2817" width="3.42578125" style="147" customWidth="1"/>
    <col min="2818" max="2818" width="19.42578125" style="147" customWidth="1"/>
    <col min="2819" max="2819" width="7.42578125" style="147" customWidth="1"/>
    <col min="2820" max="2820" width="19.42578125" style="147" customWidth="1"/>
    <col min="2821" max="2821" width="7.42578125" style="147" customWidth="1"/>
    <col min="2822" max="2822" width="19.42578125" style="147" customWidth="1"/>
    <col min="2823" max="2823" width="7.42578125" style="147" customWidth="1"/>
    <col min="2824" max="2824" width="19.42578125" style="147" customWidth="1"/>
    <col min="2825" max="2825" width="7.42578125" style="147" customWidth="1"/>
    <col min="2826" max="2826" width="19.42578125" style="147" customWidth="1"/>
    <col min="2827" max="2827" width="7.42578125" style="147" customWidth="1"/>
    <col min="2828" max="2828" width="19.42578125" style="147" customWidth="1"/>
    <col min="2829" max="2829" width="7.42578125" style="147" customWidth="1"/>
    <col min="2830" max="2832" width="19.42578125" style="147" customWidth="1"/>
    <col min="2833" max="2836" width="9.140625" style="147"/>
    <col min="2837" max="2837" width="12" style="147" customWidth="1"/>
    <col min="2838" max="2838" width="12.42578125" style="147" customWidth="1"/>
    <col min="2839" max="2839" width="11.140625" style="147" customWidth="1"/>
    <col min="2840" max="2840" width="9.140625" style="147"/>
    <col min="2841" max="2841" width="13" style="147" customWidth="1"/>
    <col min="2842" max="2842" width="15.5703125" style="147" customWidth="1"/>
    <col min="2843" max="2843" width="11.7109375" style="147" customWidth="1"/>
    <col min="2844" max="2844" width="14.85546875" style="147" customWidth="1"/>
    <col min="2845" max="2845" width="11.7109375" style="147" customWidth="1"/>
    <col min="2846" max="3072" width="9.140625" style="147"/>
    <col min="3073" max="3073" width="3.42578125" style="147" customWidth="1"/>
    <col min="3074" max="3074" width="19.42578125" style="147" customWidth="1"/>
    <col min="3075" max="3075" width="7.42578125" style="147" customWidth="1"/>
    <col min="3076" max="3076" width="19.42578125" style="147" customWidth="1"/>
    <col min="3077" max="3077" width="7.42578125" style="147" customWidth="1"/>
    <col min="3078" max="3078" width="19.42578125" style="147" customWidth="1"/>
    <col min="3079" max="3079" width="7.42578125" style="147" customWidth="1"/>
    <col min="3080" max="3080" width="19.42578125" style="147" customWidth="1"/>
    <col min="3081" max="3081" width="7.42578125" style="147" customWidth="1"/>
    <col min="3082" max="3082" width="19.42578125" style="147" customWidth="1"/>
    <col min="3083" max="3083" width="7.42578125" style="147" customWidth="1"/>
    <col min="3084" max="3084" width="19.42578125" style="147" customWidth="1"/>
    <col min="3085" max="3085" width="7.42578125" style="147" customWidth="1"/>
    <col min="3086" max="3088" width="19.42578125" style="147" customWidth="1"/>
    <col min="3089" max="3092" width="9.140625" style="147"/>
    <col min="3093" max="3093" width="12" style="147" customWidth="1"/>
    <col min="3094" max="3094" width="12.42578125" style="147" customWidth="1"/>
    <col min="3095" max="3095" width="11.140625" style="147" customWidth="1"/>
    <col min="3096" max="3096" width="9.140625" style="147"/>
    <col min="3097" max="3097" width="13" style="147" customWidth="1"/>
    <col min="3098" max="3098" width="15.5703125" style="147" customWidth="1"/>
    <col min="3099" max="3099" width="11.7109375" style="147" customWidth="1"/>
    <col min="3100" max="3100" width="14.85546875" style="147" customWidth="1"/>
    <col min="3101" max="3101" width="11.7109375" style="147" customWidth="1"/>
    <col min="3102" max="3328" width="9.140625" style="147"/>
    <col min="3329" max="3329" width="3.42578125" style="147" customWidth="1"/>
    <col min="3330" max="3330" width="19.42578125" style="147" customWidth="1"/>
    <col min="3331" max="3331" width="7.42578125" style="147" customWidth="1"/>
    <col min="3332" max="3332" width="19.42578125" style="147" customWidth="1"/>
    <col min="3333" max="3333" width="7.42578125" style="147" customWidth="1"/>
    <col min="3334" max="3334" width="19.42578125" style="147" customWidth="1"/>
    <col min="3335" max="3335" width="7.42578125" style="147" customWidth="1"/>
    <col min="3336" max="3336" width="19.42578125" style="147" customWidth="1"/>
    <col min="3337" max="3337" width="7.42578125" style="147" customWidth="1"/>
    <col min="3338" max="3338" width="19.42578125" style="147" customWidth="1"/>
    <col min="3339" max="3339" width="7.42578125" style="147" customWidth="1"/>
    <col min="3340" max="3340" width="19.42578125" style="147" customWidth="1"/>
    <col min="3341" max="3341" width="7.42578125" style="147" customWidth="1"/>
    <col min="3342" max="3344" width="19.42578125" style="147" customWidth="1"/>
    <col min="3345" max="3348" width="9.140625" style="147"/>
    <col min="3349" max="3349" width="12" style="147" customWidth="1"/>
    <col min="3350" max="3350" width="12.42578125" style="147" customWidth="1"/>
    <col min="3351" max="3351" width="11.140625" style="147" customWidth="1"/>
    <col min="3352" max="3352" width="9.140625" style="147"/>
    <col min="3353" max="3353" width="13" style="147" customWidth="1"/>
    <col min="3354" max="3354" width="15.5703125" style="147" customWidth="1"/>
    <col min="3355" max="3355" width="11.7109375" style="147" customWidth="1"/>
    <col min="3356" max="3356" width="14.85546875" style="147" customWidth="1"/>
    <col min="3357" max="3357" width="11.7109375" style="147" customWidth="1"/>
    <col min="3358" max="3584" width="9.140625" style="147"/>
    <col min="3585" max="3585" width="3.42578125" style="147" customWidth="1"/>
    <col min="3586" max="3586" width="19.42578125" style="147" customWidth="1"/>
    <col min="3587" max="3587" width="7.42578125" style="147" customWidth="1"/>
    <col min="3588" max="3588" width="19.42578125" style="147" customWidth="1"/>
    <col min="3589" max="3589" width="7.42578125" style="147" customWidth="1"/>
    <col min="3590" max="3590" width="19.42578125" style="147" customWidth="1"/>
    <col min="3591" max="3591" width="7.42578125" style="147" customWidth="1"/>
    <col min="3592" max="3592" width="19.42578125" style="147" customWidth="1"/>
    <col min="3593" max="3593" width="7.42578125" style="147" customWidth="1"/>
    <col min="3594" max="3594" width="19.42578125" style="147" customWidth="1"/>
    <col min="3595" max="3595" width="7.42578125" style="147" customWidth="1"/>
    <col min="3596" max="3596" width="19.42578125" style="147" customWidth="1"/>
    <col min="3597" max="3597" width="7.42578125" style="147" customWidth="1"/>
    <col min="3598" max="3600" width="19.42578125" style="147" customWidth="1"/>
    <col min="3601" max="3604" width="9.140625" style="147"/>
    <col min="3605" max="3605" width="12" style="147" customWidth="1"/>
    <col min="3606" max="3606" width="12.42578125" style="147" customWidth="1"/>
    <col min="3607" max="3607" width="11.140625" style="147" customWidth="1"/>
    <col min="3608" max="3608" width="9.140625" style="147"/>
    <col min="3609" max="3609" width="13" style="147" customWidth="1"/>
    <col min="3610" max="3610" width="15.5703125" style="147" customWidth="1"/>
    <col min="3611" max="3611" width="11.7109375" style="147" customWidth="1"/>
    <col min="3612" max="3612" width="14.85546875" style="147" customWidth="1"/>
    <col min="3613" max="3613" width="11.7109375" style="147" customWidth="1"/>
    <col min="3614" max="3840" width="9.140625" style="147"/>
    <col min="3841" max="3841" width="3.42578125" style="147" customWidth="1"/>
    <col min="3842" max="3842" width="19.42578125" style="147" customWidth="1"/>
    <col min="3843" max="3843" width="7.42578125" style="147" customWidth="1"/>
    <col min="3844" max="3844" width="19.42578125" style="147" customWidth="1"/>
    <col min="3845" max="3845" width="7.42578125" style="147" customWidth="1"/>
    <col min="3846" max="3846" width="19.42578125" style="147" customWidth="1"/>
    <col min="3847" max="3847" width="7.42578125" style="147" customWidth="1"/>
    <col min="3848" max="3848" width="19.42578125" style="147" customWidth="1"/>
    <col min="3849" max="3849" width="7.42578125" style="147" customWidth="1"/>
    <col min="3850" max="3850" width="19.42578125" style="147" customWidth="1"/>
    <col min="3851" max="3851" width="7.42578125" style="147" customWidth="1"/>
    <col min="3852" max="3852" width="19.42578125" style="147" customWidth="1"/>
    <col min="3853" max="3853" width="7.42578125" style="147" customWidth="1"/>
    <col min="3854" max="3856" width="19.42578125" style="147" customWidth="1"/>
    <col min="3857" max="3860" width="9.140625" style="147"/>
    <col min="3861" max="3861" width="12" style="147" customWidth="1"/>
    <col min="3862" max="3862" width="12.42578125" style="147" customWidth="1"/>
    <col min="3863" max="3863" width="11.140625" style="147" customWidth="1"/>
    <col min="3864" max="3864" width="9.140625" style="147"/>
    <col min="3865" max="3865" width="13" style="147" customWidth="1"/>
    <col min="3866" max="3866" width="15.5703125" style="147" customWidth="1"/>
    <col min="3867" max="3867" width="11.7109375" style="147" customWidth="1"/>
    <col min="3868" max="3868" width="14.85546875" style="147" customWidth="1"/>
    <col min="3869" max="3869" width="11.7109375" style="147" customWidth="1"/>
    <col min="3870" max="4096" width="9.140625" style="147"/>
    <col min="4097" max="4097" width="3.42578125" style="147" customWidth="1"/>
    <col min="4098" max="4098" width="19.42578125" style="147" customWidth="1"/>
    <col min="4099" max="4099" width="7.42578125" style="147" customWidth="1"/>
    <col min="4100" max="4100" width="19.42578125" style="147" customWidth="1"/>
    <col min="4101" max="4101" width="7.42578125" style="147" customWidth="1"/>
    <col min="4102" max="4102" width="19.42578125" style="147" customWidth="1"/>
    <col min="4103" max="4103" width="7.42578125" style="147" customWidth="1"/>
    <col min="4104" max="4104" width="19.42578125" style="147" customWidth="1"/>
    <col min="4105" max="4105" width="7.42578125" style="147" customWidth="1"/>
    <col min="4106" max="4106" width="19.42578125" style="147" customWidth="1"/>
    <col min="4107" max="4107" width="7.42578125" style="147" customWidth="1"/>
    <col min="4108" max="4108" width="19.42578125" style="147" customWidth="1"/>
    <col min="4109" max="4109" width="7.42578125" style="147" customWidth="1"/>
    <col min="4110" max="4112" width="19.42578125" style="147" customWidth="1"/>
    <col min="4113" max="4116" width="9.140625" style="147"/>
    <col min="4117" max="4117" width="12" style="147" customWidth="1"/>
    <col min="4118" max="4118" width="12.42578125" style="147" customWidth="1"/>
    <col min="4119" max="4119" width="11.140625" style="147" customWidth="1"/>
    <col min="4120" max="4120" width="9.140625" style="147"/>
    <col min="4121" max="4121" width="13" style="147" customWidth="1"/>
    <col min="4122" max="4122" width="15.5703125" style="147" customWidth="1"/>
    <col min="4123" max="4123" width="11.7109375" style="147" customWidth="1"/>
    <col min="4124" max="4124" width="14.85546875" style="147" customWidth="1"/>
    <col min="4125" max="4125" width="11.7109375" style="147" customWidth="1"/>
    <col min="4126" max="4352" width="9.140625" style="147"/>
    <col min="4353" max="4353" width="3.42578125" style="147" customWidth="1"/>
    <col min="4354" max="4354" width="19.42578125" style="147" customWidth="1"/>
    <col min="4355" max="4355" width="7.42578125" style="147" customWidth="1"/>
    <col min="4356" max="4356" width="19.42578125" style="147" customWidth="1"/>
    <col min="4357" max="4357" width="7.42578125" style="147" customWidth="1"/>
    <col min="4358" max="4358" width="19.42578125" style="147" customWidth="1"/>
    <col min="4359" max="4359" width="7.42578125" style="147" customWidth="1"/>
    <col min="4360" max="4360" width="19.42578125" style="147" customWidth="1"/>
    <col min="4361" max="4361" width="7.42578125" style="147" customWidth="1"/>
    <col min="4362" max="4362" width="19.42578125" style="147" customWidth="1"/>
    <col min="4363" max="4363" width="7.42578125" style="147" customWidth="1"/>
    <col min="4364" max="4364" width="19.42578125" style="147" customWidth="1"/>
    <col min="4365" max="4365" width="7.42578125" style="147" customWidth="1"/>
    <col min="4366" max="4368" width="19.42578125" style="147" customWidth="1"/>
    <col min="4369" max="4372" width="9.140625" style="147"/>
    <col min="4373" max="4373" width="12" style="147" customWidth="1"/>
    <col min="4374" max="4374" width="12.42578125" style="147" customWidth="1"/>
    <col min="4375" max="4375" width="11.140625" style="147" customWidth="1"/>
    <col min="4376" max="4376" width="9.140625" style="147"/>
    <col min="4377" max="4377" width="13" style="147" customWidth="1"/>
    <col min="4378" max="4378" width="15.5703125" style="147" customWidth="1"/>
    <col min="4379" max="4379" width="11.7109375" style="147" customWidth="1"/>
    <col min="4380" max="4380" width="14.85546875" style="147" customWidth="1"/>
    <col min="4381" max="4381" width="11.7109375" style="147" customWidth="1"/>
    <col min="4382" max="4608" width="9.140625" style="147"/>
    <col min="4609" max="4609" width="3.42578125" style="147" customWidth="1"/>
    <col min="4610" max="4610" width="19.42578125" style="147" customWidth="1"/>
    <col min="4611" max="4611" width="7.42578125" style="147" customWidth="1"/>
    <col min="4612" max="4612" width="19.42578125" style="147" customWidth="1"/>
    <col min="4613" max="4613" width="7.42578125" style="147" customWidth="1"/>
    <col min="4614" max="4614" width="19.42578125" style="147" customWidth="1"/>
    <col min="4615" max="4615" width="7.42578125" style="147" customWidth="1"/>
    <col min="4616" max="4616" width="19.42578125" style="147" customWidth="1"/>
    <col min="4617" max="4617" width="7.42578125" style="147" customWidth="1"/>
    <col min="4618" max="4618" width="19.42578125" style="147" customWidth="1"/>
    <col min="4619" max="4619" width="7.42578125" style="147" customWidth="1"/>
    <col min="4620" max="4620" width="19.42578125" style="147" customWidth="1"/>
    <col min="4621" max="4621" width="7.42578125" style="147" customWidth="1"/>
    <col min="4622" max="4624" width="19.42578125" style="147" customWidth="1"/>
    <col min="4625" max="4628" width="9.140625" style="147"/>
    <col min="4629" max="4629" width="12" style="147" customWidth="1"/>
    <col min="4630" max="4630" width="12.42578125" style="147" customWidth="1"/>
    <col min="4631" max="4631" width="11.140625" style="147" customWidth="1"/>
    <col min="4632" max="4632" width="9.140625" style="147"/>
    <col min="4633" max="4633" width="13" style="147" customWidth="1"/>
    <col min="4634" max="4634" width="15.5703125" style="147" customWidth="1"/>
    <col min="4635" max="4635" width="11.7109375" style="147" customWidth="1"/>
    <col min="4636" max="4636" width="14.85546875" style="147" customWidth="1"/>
    <col min="4637" max="4637" width="11.7109375" style="147" customWidth="1"/>
    <col min="4638" max="4864" width="9.140625" style="147"/>
    <col min="4865" max="4865" width="3.42578125" style="147" customWidth="1"/>
    <col min="4866" max="4866" width="19.42578125" style="147" customWidth="1"/>
    <col min="4867" max="4867" width="7.42578125" style="147" customWidth="1"/>
    <col min="4868" max="4868" width="19.42578125" style="147" customWidth="1"/>
    <col min="4869" max="4869" width="7.42578125" style="147" customWidth="1"/>
    <col min="4870" max="4870" width="19.42578125" style="147" customWidth="1"/>
    <col min="4871" max="4871" width="7.42578125" style="147" customWidth="1"/>
    <col min="4872" max="4872" width="19.42578125" style="147" customWidth="1"/>
    <col min="4873" max="4873" width="7.42578125" style="147" customWidth="1"/>
    <col min="4874" max="4874" width="19.42578125" style="147" customWidth="1"/>
    <col min="4875" max="4875" width="7.42578125" style="147" customWidth="1"/>
    <col min="4876" max="4876" width="19.42578125" style="147" customWidth="1"/>
    <col min="4877" max="4877" width="7.42578125" style="147" customWidth="1"/>
    <col min="4878" max="4880" width="19.42578125" style="147" customWidth="1"/>
    <col min="4881" max="4884" width="9.140625" style="147"/>
    <col min="4885" max="4885" width="12" style="147" customWidth="1"/>
    <col min="4886" max="4886" width="12.42578125" style="147" customWidth="1"/>
    <col min="4887" max="4887" width="11.140625" style="147" customWidth="1"/>
    <col min="4888" max="4888" width="9.140625" style="147"/>
    <col min="4889" max="4889" width="13" style="147" customWidth="1"/>
    <col min="4890" max="4890" width="15.5703125" style="147" customWidth="1"/>
    <col min="4891" max="4891" width="11.7109375" style="147" customWidth="1"/>
    <col min="4892" max="4892" width="14.85546875" style="147" customWidth="1"/>
    <col min="4893" max="4893" width="11.7109375" style="147" customWidth="1"/>
    <col min="4894" max="5120" width="9.140625" style="147"/>
    <col min="5121" max="5121" width="3.42578125" style="147" customWidth="1"/>
    <col min="5122" max="5122" width="19.42578125" style="147" customWidth="1"/>
    <col min="5123" max="5123" width="7.42578125" style="147" customWidth="1"/>
    <col min="5124" max="5124" width="19.42578125" style="147" customWidth="1"/>
    <col min="5125" max="5125" width="7.42578125" style="147" customWidth="1"/>
    <col min="5126" max="5126" width="19.42578125" style="147" customWidth="1"/>
    <col min="5127" max="5127" width="7.42578125" style="147" customWidth="1"/>
    <col min="5128" max="5128" width="19.42578125" style="147" customWidth="1"/>
    <col min="5129" max="5129" width="7.42578125" style="147" customWidth="1"/>
    <col min="5130" max="5130" width="19.42578125" style="147" customWidth="1"/>
    <col min="5131" max="5131" width="7.42578125" style="147" customWidth="1"/>
    <col min="5132" max="5132" width="19.42578125" style="147" customWidth="1"/>
    <col min="5133" max="5133" width="7.42578125" style="147" customWidth="1"/>
    <col min="5134" max="5136" width="19.42578125" style="147" customWidth="1"/>
    <col min="5137" max="5140" width="9.140625" style="147"/>
    <col min="5141" max="5141" width="12" style="147" customWidth="1"/>
    <col min="5142" max="5142" width="12.42578125" style="147" customWidth="1"/>
    <col min="5143" max="5143" width="11.140625" style="147" customWidth="1"/>
    <col min="5144" max="5144" width="9.140625" style="147"/>
    <col min="5145" max="5145" width="13" style="147" customWidth="1"/>
    <col min="5146" max="5146" width="15.5703125" style="147" customWidth="1"/>
    <col min="5147" max="5147" width="11.7109375" style="147" customWidth="1"/>
    <col min="5148" max="5148" width="14.85546875" style="147" customWidth="1"/>
    <col min="5149" max="5149" width="11.7109375" style="147" customWidth="1"/>
    <col min="5150" max="5376" width="9.140625" style="147"/>
    <col min="5377" max="5377" width="3.42578125" style="147" customWidth="1"/>
    <col min="5378" max="5378" width="19.42578125" style="147" customWidth="1"/>
    <col min="5379" max="5379" width="7.42578125" style="147" customWidth="1"/>
    <col min="5380" max="5380" width="19.42578125" style="147" customWidth="1"/>
    <col min="5381" max="5381" width="7.42578125" style="147" customWidth="1"/>
    <col min="5382" max="5382" width="19.42578125" style="147" customWidth="1"/>
    <col min="5383" max="5383" width="7.42578125" style="147" customWidth="1"/>
    <col min="5384" max="5384" width="19.42578125" style="147" customWidth="1"/>
    <col min="5385" max="5385" width="7.42578125" style="147" customWidth="1"/>
    <col min="5386" max="5386" width="19.42578125" style="147" customWidth="1"/>
    <col min="5387" max="5387" width="7.42578125" style="147" customWidth="1"/>
    <col min="5388" max="5388" width="19.42578125" style="147" customWidth="1"/>
    <col min="5389" max="5389" width="7.42578125" style="147" customWidth="1"/>
    <col min="5390" max="5392" width="19.42578125" style="147" customWidth="1"/>
    <col min="5393" max="5396" width="9.140625" style="147"/>
    <col min="5397" max="5397" width="12" style="147" customWidth="1"/>
    <col min="5398" max="5398" width="12.42578125" style="147" customWidth="1"/>
    <col min="5399" max="5399" width="11.140625" style="147" customWidth="1"/>
    <col min="5400" max="5400" width="9.140625" style="147"/>
    <col min="5401" max="5401" width="13" style="147" customWidth="1"/>
    <col min="5402" max="5402" width="15.5703125" style="147" customWidth="1"/>
    <col min="5403" max="5403" width="11.7109375" style="147" customWidth="1"/>
    <col min="5404" max="5404" width="14.85546875" style="147" customWidth="1"/>
    <col min="5405" max="5405" width="11.7109375" style="147" customWidth="1"/>
    <col min="5406" max="5632" width="9.140625" style="147"/>
    <col min="5633" max="5633" width="3.42578125" style="147" customWidth="1"/>
    <col min="5634" max="5634" width="19.42578125" style="147" customWidth="1"/>
    <col min="5635" max="5635" width="7.42578125" style="147" customWidth="1"/>
    <col min="5636" max="5636" width="19.42578125" style="147" customWidth="1"/>
    <col min="5637" max="5637" width="7.42578125" style="147" customWidth="1"/>
    <col min="5638" max="5638" width="19.42578125" style="147" customWidth="1"/>
    <col min="5639" max="5639" width="7.42578125" style="147" customWidth="1"/>
    <col min="5640" max="5640" width="19.42578125" style="147" customWidth="1"/>
    <col min="5641" max="5641" width="7.42578125" style="147" customWidth="1"/>
    <col min="5642" max="5642" width="19.42578125" style="147" customWidth="1"/>
    <col min="5643" max="5643" width="7.42578125" style="147" customWidth="1"/>
    <col min="5644" max="5644" width="19.42578125" style="147" customWidth="1"/>
    <col min="5645" max="5645" width="7.42578125" style="147" customWidth="1"/>
    <col min="5646" max="5648" width="19.42578125" style="147" customWidth="1"/>
    <col min="5649" max="5652" width="9.140625" style="147"/>
    <col min="5653" max="5653" width="12" style="147" customWidth="1"/>
    <col min="5654" max="5654" width="12.42578125" style="147" customWidth="1"/>
    <col min="5655" max="5655" width="11.140625" style="147" customWidth="1"/>
    <col min="5656" max="5656" width="9.140625" style="147"/>
    <col min="5657" max="5657" width="13" style="147" customWidth="1"/>
    <col min="5658" max="5658" width="15.5703125" style="147" customWidth="1"/>
    <col min="5659" max="5659" width="11.7109375" style="147" customWidth="1"/>
    <col min="5660" max="5660" width="14.85546875" style="147" customWidth="1"/>
    <col min="5661" max="5661" width="11.7109375" style="147" customWidth="1"/>
    <col min="5662" max="5888" width="9.140625" style="147"/>
    <col min="5889" max="5889" width="3.42578125" style="147" customWidth="1"/>
    <col min="5890" max="5890" width="19.42578125" style="147" customWidth="1"/>
    <col min="5891" max="5891" width="7.42578125" style="147" customWidth="1"/>
    <col min="5892" max="5892" width="19.42578125" style="147" customWidth="1"/>
    <col min="5893" max="5893" width="7.42578125" style="147" customWidth="1"/>
    <col min="5894" max="5894" width="19.42578125" style="147" customWidth="1"/>
    <col min="5895" max="5895" width="7.42578125" style="147" customWidth="1"/>
    <col min="5896" max="5896" width="19.42578125" style="147" customWidth="1"/>
    <col min="5897" max="5897" width="7.42578125" style="147" customWidth="1"/>
    <col min="5898" max="5898" width="19.42578125" style="147" customWidth="1"/>
    <col min="5899" max="5899" width="7.42578125" style="147" customWidth="1"/>
    <col min="5900" max="5900" width="19.42578125" style="147" customWidth="1"/>
    <col min="5901" max="5901" width="7.42578125" style="147" customWidth="1"/>
    <col min="5902" max="5904" width="19.42578125" style="147" customWidth="1"/>
    <col min="5905" max="5908" width="9.140625" style="147"/>
    <col min="5909" max="5909" width="12" style="147" customWidth="1"/>
    <col min="5910" max="5910" width="12.42578125" style="147" customWidth="1"/>
    <col min="5911" max="5911" width="11.140625" style="147" customWidth="1"/>
    <col min="5912" max="5912" width="9.140625" style="147"/>
    <col min="5913" max="5913" width="13" style="147" customWidth="1"/>
    <col min="5914" max="5914" width="15.5703125" style="147" customWidth="1"/>
    <col min="5915" max="5915" width="11.7109375" style="147" customWidth="1"/>
    <col min="5916" max="5916" width="14.85546875" style="147" customWidth="1"/>
    <col min="5917" max="5917" width="11.7109375" style="147" customWidth="1"/>
    <col min="5918" max="6144" width="9.140625" style="147"/>
    <col min="6145" max="6145" width="3.42578125" style="147" customWidth="1"/>
    <col min="6146" max="6146" width="19.42578125" style="147" customWidth="1"/>
    <col min="6147" max="6147" width="7.42578125" style="147" customWidth="1"/>
    <col min="6148" max="6148" width="19.42578125" style="147" customWidth="1"/>
    <col min="6149" max="6149" width="7.42578125" style="147" customWidth="1"/>
    <col min="6150" max="6150" width="19.42578125" style="147" customWidth="1"/>
    <col min="6151" max="6151" width="7.42578125" style="147" customWidth="1"/>
    <col min="6152" max="6152" width="19.42578125" style="147" customWidth="1"/>
    <col min="6153" max="6153" width="7.42578125" style="147" customWidth="1"/>
    <col min="6154" max="6154" width="19.42578125" style="147" customWidth="1"/>
    <col min="6155" max="6155" width="7.42578125" style="147" customWidth="1"/>
    <col min="6156" max="6156" width="19.42578125" style="147" customWidth="1"/>
    <col min="6157" max="6157" width="7.42578125" style="147" customWidth="1"/>
    <col min="6158" max="6160" width="19.42578125" style="147" customWidth="1"/>
    <col min="6161" max="6164" width="9.140625" style="147"/>
    <col min="6165" max="6165" width="12" style="147" customWidth="1"/>
    <col min="6166" max="6166" width="12.42578125" style="147" customWidth="1"/>
    <col min="6167" max="6167" width="11.140625" style="147" customWidth="1"/>
    <col min="6168" max="6168" width="9.140625" style="147"/>
    <col min="6169" max="6169" width="13" style="147" customWidth="1"/>
    <col min="6170" max="6170" width="15.5703125" style="147" customWidth="1"/>
    <col min="6171" max="6171" width="11.7109375" style="147" customWidth="1"/>
    <col min="6172" max="6172" width="14.85546875" style="147" customWidth="1"/>
    <col min="6173" max="6173" width="11.7109375" style="147" customWidth="1"/>
    <col min="6174" max="6400" width="9.140625" style="147"/>
    <col min="6401" max="6401" width="3.42578125" style="147" customWidth="1"/>
    <col min="6402" max="6402" width="19.42578125" style="147" customWidth="1"/>
    <col min="6403" max="6403" width="7.42578125" style="147" customWidth="1"/>
    <col min="6404" max="6404" width="19.42578125" style="147" customWidth="1"/>
    <col min="6405" max="6405" width="7.42578125" style="147" customWidth="1"/>
    <col min="6406" max="6406" width="19.42578125" style="147" customWidth="1"/>
    <col min="6407" max="6407" width="7.42578125" style="147" customWidth="1"/>
    <col min="6408" max="6408" width="19.42578125" style="147" customWidth="1"/>
    <col min="6409" max="6409" width="7.42578125" style="147" customWidth="1"/>
    <col min="6410" max="6410" width="19.42578125" style="147" customWidth="1"/>
    <col min="6411" max="6411" width="7.42578125" style="147" customWidth="1"/>
    <col min="6412" max="6412" width="19.42578125" style="147" customWidth="1"/>
    <col min="6413" max="6413" width="7.42578125" style="147" customWidth="1"/>
    <col min="6414" max="6416" width="19.42578125" style="147" customWidth="1"/>
    <col min="6417" max="6420" width="9.140625" style="147"/>
    <col min="6421" max="6421" width="12" style="147" customWidth="1"/>
    <col min="6422" max="6422" width="12.42578125" style="147" customWidth="1"/>
    <col min="6423" max="6423" width="11.140625" style="147" customWidth="1"/>
    <col min="6424" max="6424" width="9.140625" style="147"/>
    <col min="6425" max="6425" width="13" style="147" customWidth="1"/>
    <col min="6426" max="6426" width="15.5703125" style="147" customWidth="1"/>
    <col min="6427" max="6427" width="11.7109375" style="147" customWidth="1"/>
    <col min="6428" max="6428" width="14.85546875" style="147" customWidth="1"/>
    <col min="6429" max="6429" width="11.7109375" style="147" customWidth="1"/>
    <col min="6430" max="6656" width="9.140625" style="147"/>
    <col min="6657" max="6657" width="3.42578125" style="147" customWidth="1"/>
    <col min="6658" max="6658" width="19.42578125" style="147" customWidth="1"/>
    <col min="6659" max="6659" width="7.42578125" style="147" customWidth="1"/>
    <col min="6660" max="6660" width="19.42578125" style="147" customWidth="1"/>
    <col min="6661" max="6661" width="7.42578125" style="147" customWidth="1"/>
    <col min="6662" max="6662" width="19.42578125" style="147" customWidth="1"/>
    <col min="6663" max="6663" width="7.42578125" style="147" customWidth="1"/>
    <col min="6664" max="6664" width="19.42578125" style="147" customWidth="1"/>
    <col min="6665" max="6665" width="7.42578125" style="147" customWidth="1"/>
    <col min="6666" max="6666" width="19.42578125" style="147" customWidth="1"/>
    <col min="6667" max="6667" width="7.42578125" style="147" customWidth="1"/>
    <col min="6668" max="6668" width="19.42578125" style="147" customWidth="1"/>
    <col min="6669" max="6669" width="7.42578125" style="147" customWidth="1"/>
    <col min="6670" max="6672" width="19.42578125" style="147" customWidth="1"/>
    <col min="6673" max="6676" width="9.140625" style="147"/>
    <col min="6677" max="6677" width="12" style="147" customWidth="1"/>
    <col min="6678" max="6678" width="12.42578125" style="147" customWidth="1"/>
    <col min="6679" max="6679" width="11.140625" style="147" customWidth="1"/>
    <col min="6680" max="6680" width="9.140625" style="147"/>
    <col min="6681" max="6681" width="13" style="147" customWidth="1"/>
    <col min="6682" max="6682" width="15.5703125" style="147" customWidth="1"/>
    <col min="6683" max="6683" width="11.7109375" style="147" customWidth="1"/>
    <col min="6684" max="6684" width="14.85546875" style="147" customWidth="1"/>
    <col min="6685" max="6685" width="11.7109375" style="147" customWidth="1"/>
    <col min="6686" max="6912" width="9.140625" style="147"/>
    <col min="6913" max="6913" width="3.42578125" style="147" customWidth="1"/>
    <col min="6914" max="6914" width="19.42578125" style="147" customWidth="1"/>
    <col min="6915" max="6915" width="7.42578125" style="147" customWidth="1"/>
    <col min="6916" max="6916" width="19.42578125" style="147" customWidth="1"/>
    <col min="6917" max="6917" width="7.42578125" style="147" customWidth="1"/>
    <col min="6918" max="6918" width="19.42578125" style="147" customWidth="1"/>
    <col min="6919" max="6919" width="7.42578125" style="147" customWidth="1"/>
    <col min="6920" max="6920" width="19.42578125" style="147" customWidth="1"/>
    <col min="6921" max="6921" width="7.42578125" style="147" customWidth="1"/>
    <col min="6922" max="6922" width="19.42578125" style="147" customWidth="1"/>
    <col min="6923" max="6923" width="7.42578125" style="147" customWidth="1"/>
    <col min="6924" max="6924" width="19.42578125" style="147" customWidth="1"/>
    <col min="6925" max="6925" width="7.42578125" style="147" customWidth="1"/>
    <col min="6926" max="6928" width="19.42578125" style="147" customWidth="1"/>
    <col min="6929" max="6932" width="9.140625" style="147"/>
    <col min="6933" max="6933" width="12" style="147" customWidth="1"/>
    <col min="6934" max="6934" width="12.42578125" style="147" customWidth="1"/>
    <col min="6935" max="6935" width="11.140625" style="147" customWidth="1"/>
    <col min="6936" max="6936" width="9.140625" style="147"/>
    <col min="6937" max="6937" width="13" style="147" customWidth="1"/>
    <col min="6938" max="6938" width="15.5703125" style="147" customWidth="1"/>
    <col min="6939" max="6939" width="11.7109375" style="147" customWidth="1"/>
    <col min="6940" max="6940" width="14.85546875" style="147" customWidth="1"/>
    <col min="6941" max="6941" width="11.7109375" style="147" customWidth="1"/>
    <col min="6942" max="7168" width="9.140625" style="147"/>
    <col min="7169" max="7169" width="3.42578125" style="147" customWidth="1"/>
    <col min="7170" max="7170" width="19.42578125" style="147" customWidth="1"/>
    <col min="7171" max="7171" width="7.42578125" style="147" customWidth="1"/>
    <col min="7172" max="7172" width="19.42578125" style="147" customWidth="1"/>
    <col min="7173" max="7173" width="7.42578125" style="147" customWidth="1"/>
    <col min="7174" max="7174" width="19.42578125" style="147" customWidth="1"/>
    <col min="7175" max="7175" width="7.42578125" style="147" customWidth="1"/>
    <col min="7176" max="7176" width="19.42578125" style="147" customWidth="1"/>
    <col min="7177" max="7177" width="7.42578125" style="147" customWidth="1"/>
    <col min="7178" max="7178" width="19.42578125" style="147" customWidth="1"/>
    <col min="7179" max="7179" width="7.42578125" style="147" customWidth="1"/>
    <col min="7180" max="7180" width="19.42578125" style="147" customWidth="1"/>
    <col min="7181" max="7181" width="7.42578125" style="147" customWidth="1"/>
    <col min="7182" max="7184" width="19.42578125" style="147" customWidth="1"/>
    <col min="7185" max="7188" width="9.140625" style="147"/>
    <col min="7189" max="7189" width="12" style="147" customWidth="1"/>
    <col min="7190" max="7190" width="12.42578125" style="147" customWidth="1"/>
    <col min="7191" max="7191" width="11.140625" style="147" customWidth="1"/>
    <col min="7192" max="7192" width="9.140625" style="147"/>
    <col min="7193" max="7193" width="13" style="147" customWidth="1"/>
    <col min="7194" max="7194" width="15.5703125" style="147" customWidth="1"/>
    <col min="7195" max="7195" width="11.7109375" style="147" customWidth="1"/>
    <col min="7196" max="7196" width="14.85546875" style="147" customWidth="1"/>
    <col min="7197" max="7197" width="11.7109375" style="147" customWidth="1"/>
    <col min="7198" max="7424" width="9.140625" style="147"/>
    <col min="7425" max="7425" width="3.42578125" style="147" customWidth="1"/>
    <col min="7426" max="7426" width="19.42578125" style="147" customWidth="1"/>
    <col min="7427" max="7427" width="7.42578125" style="147" customWidth="1"/>
    <col min="7428" max="7428" width="19.42578125" style="147" customWidth="1"/>
    <col min="7429" max="7429" width="7.42578125" style="147" customWidth="1"/>
    <col min="7430" max="7430" width="19.42578125" style="147" customWidth="1"/>
    <col min="7431" max="7431" width="7.42578125" style="147" customWidth="1"/>
    <col min="7432" max="7432" width="19.42578125" style="147" customWidth="1"/>
    <col min="7433" max="7433" width="7.42578125" style="147" customWidth="1"/>
    <col min="7434" max="7434" width="19.42578125" style="147" customWidth="1"/>
    <col min="7435" max="7435" width="7.42578125" style="147" customWidth="1"/>
    <col min="7436" max="7436" width="19.42578125" style="147" customWidth="1"/>
    <col min="7437" max="7437" width="7.42578125" style="147" customWidth="1"/>
    <col min="7438" max="7440" width="19.42578125" style="147" customWidth="1"/>
    <col min="7441" max="7444" width="9.140625" style="147"/>
    <col min="7445" max="7445" width="12" style="147" customWidth="1"/>
    <col min="7446" max="7446" width="12.42578125" style="147" customWidth="1"/>
    <col min="7447" max="7447" width="11.140625" style="147" customWidth="1"/>
    <col min="7448" max="7448" width="9.140625" style="147"/>
    <col min="7449" max="7449" width="13" style="147" customWidth="1"/>
    <col min="7450" max="7450" width="15.5703125" style="147" customWidth="1"/>
    <col min="7451" max="7451" width="11.7109375" style="147" customWidth="1"/>
    <col min="7452" max="7452" width="14.85546875" style="147" customWidth="1"/>
    <col min="7453" max="7453" width="11.7109375" style="147" customWidth="1"/>
    <col min="7454" max="7680" width="9.140625" style="147"/>
    <col min="7681" max="7681" width="3.42578125" style="147" customWidth="1"/>
    <col min="7682" max="7682" width="19.42578125" style="147" customWidth="1"/>
    <col min="7683" max="7683" width="7.42578125" style="147" customWidth="1"/>
    <col min="7684" max="7684" width="19.42578125" style="147" customWidth="1"/>
    <col min="7685" max="7685" width="7.42578125" style="147" customWidth="1"/>
    <col min="7686" max="7686" width="19.42578125" style="147" customWidth="1"/>
    <col min="7687" max="7687" width="7.42578125" style="147" customWidth="1"/>
    <col min="7688" max="7688" width="19.42578125" style="147" customWidth="1"/>
    <col min="7689" max="7689" width="7.42578125" style="147" customWidth="1"/>
    <col min="7690" max="7690" width="19.42578125" style="147" customWidth="1"/>
    <col min="7691" max="7691" width="7.42578125" style="147" customWidth="1"/>
    <col min="7692" max="7692" width="19.42578125" style="147" customWidth="1"/>
    <col min="7693" max="7693" width="7.42578125" style="147" customWidth="1"/>
    <col min="7694" max="7696" width="19.42578125" style="147" customWidth="1"/>
    <col min="7697" max="7700" width="9.140625" style="147"/>
    <col min="7701" max="7701" width="12" style="147" customWidth="1"/>
    <col min="7702" max="7702" width="12.42578125" style="147" customWidth="1"/>
    <col min="7703" max="7703" width="11.140625" style="147" customWidth="1"/>
    <col min="7704" max="7704" width="9.140625" style="147"/>
    <col min="7705" max="7705" width="13" style="147" customWidth="1"/>
    <col min="7706" max="7706" width="15.5703125" style="147" customWidth="1"/>
    <col min="7707" max="7707" width="11.7109375" style="147" customWidth="1"/>
    <col min="7708" max="7708" width="14.85546875" style="147" customWidth="1"/>
    <col min="7709" max="7709" width="11.7109375" style="147" customWidth="1"/>
    <col min="7710" max="7936" width="9.140625" style="147"/>
    <col min="7937" max="7937" width="3.42578125" style="147" customWidth="1"/>
    <col min="7938" max="7938" width="19.42578125" style="147" customWidth="1"/>
    <col min="7939" max="7939" width="7.42578125" style="147" customWidth="1"/>
    <col min="7940" max="7940" width="19.42578125" style="147" customWidth="1"/>
    <col min="7941" max="7941" width="7.42578125" style="147" customWidth="1"/>
    <col min="7942" max="7942" width="19.42578125" style="147" customWidth="1"/>
    <col min="7943" max="7943" width="7.42578125" style="147" customWidth="1"/>
    <col min="7944" max="7944" width="19.42578125" style="147" customWidth="1"/>
    <col min="7945" max="7945" width="7.42578125" style="147" customWidth="1"/>
    <col min="7946" max="7946" width="19.42578125" style="147" customWidth="1"/>
    <col min="7947" max="7947" width="7.42578125" style="147" customWidth="1"/>
    <col min="7948" max="7948" width="19.42578125" style="147" customWidth="1"/>
    <col min="7949" max="7949" width="7.42578125" style="147" customWidth="1"/>
    <col min="7950" max="7952" width="19.42578125" style="147" customWidth="1"/>
    <col min="7953" max="7956" width="9.140625" style="147"/>
    <col min="7957" max="7957" width="12" style="147" customWidth="1"/>
    <col min="7958" max="7958" width="12.42578125" style="147" customWidth="1"/>
    <col min="7959" max="7959" width="11.140625" style="147" customWidth="1"/>
    <col min="7960" max="7960" width="9.140625" style="147"/>
    <col min="7961" max="7961" width="13" style="147" customWidth="1"/>
    <col min="7962" max="7962" width="15.5703125" style="147" customWidth="1"/>
    <col min="7963" max="7963" width="11.7109375" style="147" customWidth="1"/>
    <col min="7964" max="7964" width="14.85546875" style="147" customWidth="1"/>
    <col min="7965" max="7965" width="11.7109375" style="147" customWidth="1"/>
    <col min="7966" max="8192" width="9.140625" style="147"/>
    <col min="8193" max="8193" width="3.42578125" style="147" customWidth="1"/>
    <col min="8194" max="8194" width="19.42578125" style="147" customWidth="1"/>
    <col min="8195" max="8195" width="7.42578125" style="147" customWidth="1"/>
    <col min="8196" max="8196" width="19.42578125" style="147" customWidth="1"/>
    <col min="8197" max="8197" width="7.42578125" style="147" customWidth="1"/>
    <col min="8198" max="8198" width="19.42578125" style="147" customWidth="1"/>
    <col min="8199" max="8199" width="7.42578125" style="147" customWidth="1"/>
    <col min="8200" max="8200" width="19.42578125" style="147" customWidth="1"/>
    <col min="8201" max="8201" width="7.42578125" style="147" customWidth="1"/>
    <col min="8202" max="8202" width="19.42578125" style="147" customWidth="1"/>
    <col min="8203" max="8203" width="7.42578125" style="147" customWidth="1"/>
    <col min="8204" max="8204" width="19.42578125" style="147" customWidth="1"/>
    <col min="8205" max="8205" width="7.42578125" style="147" customWidth="1"/>
    <col min="8206" max="8208" width="19.42578125" style="147" customWidth="1"/>
    <col min="8209" max="8212" width="9.140625" style="147"/>
    <col min="8213" max="8213" width="12" style="147" customWidth="1"/>
    <col min="8214" max="8214" width="12.42578125" style="147" customWidth="1"/>
    <col min="8215" max="8215" width="11.140625" style="147" customWidth="1"/>
    <col min="8216" max="8216" width="9.140625" style="147"/>
    <col min="8217" max="8217" width="13" style="147" customWidth="1"/>
    <col min="8218" max="8218" width="15.5703125" style="147" customWidth="1"/>
    <col min="8219" max="8219" width="11.7109375" style="147" customWidth="1"/>
    <col min="8220" max="8220" width="14.85546875" style="147" customWidth="1"/>
    <col min="8221" max="8221" width="11.7109375" style="147" customWidth="1"/>
    <col min="8222" max="8448" width="9.140625" style="147"/>
    <col min="8449" max="8449" width="3.42578125" style="147" customWidth="1"/>
    <col min="8450" max="8450" width="19.42578125" style="147" customWidth="1"/>
    <col min="8451" max="8451" width="7.42578125" style="147" customWidth="1"/>
    <col min="8452" max="8452" width="19.42578125" style="147" customWidth="1"/>
    <col min="8453" max="8453" width="7.42578125" style="147" customWidth="1"/>
    <col min="8454" max="8454" width="19.42578125" style="147" customWidth="1"/>
    <col min="8455" max="8455" width="7.42578125" style="147" customWidth="1"/>
    <col min="8456" max="8456" width="19.42578125" style="147" customWidth="1"/>
    <col min="8457" max="8457" width="7.42578125" style="147" customWidth="1"/>
    <col min="8458" max="8458" width="19.42578125" style="147" customWidth="1"/>
    <col min="8459" max="8459" width="7.42578125" style="147" customWidth="1"/>
    <col min="8460" max="8460" width="19.42578125" style="147" customWidth="1"/>
    <col min="8461" max="8461" width="7.42578125" style="147" customWidth="1"/>
    <col min="8462" max="8464" width="19.42578125" style="147" customWidth="1"/>
    <col min="8465" max="8468" width="9.140625" style="147"/>
    <col min="8469" max="8469" width="12" style="147" customWidth="1"/>
    <col min="8470" max="8470" width="12.42578125" style="147" customWidth="1"/>
    <col min="8471" max="8471" width="11.140625" style="147" customWidth="1"/>
    <col min="8472" max="8472" width="9.140625" style="147"/>
    <col min="8473" max="8473" width="13" style="147" customWidth="1"/>
    <col min="8474" max="8474" width="15.5703125" style="147" customWidth="1"/>
    <col min="8475" max="8475" width="11.7109375" style="147" customWidth="1"/>
    <col min="8476" max="8476" width="14.85546875" style="147" customWidth="1"/>
    <col min="8477" max="8477" width="11.7109375" style="147" customWidth="1"/>
    <col min="8478" max="8704" width="9.140625" style="147"/>
    <col min="8705" max="8705" width="3.42578125" style="147" customWidth="1"/>
    <col min="8706" max="8706" width="19.42578125" style="147" customWidth="1"/>
    <col min="8707" max="8707" width="7.42578125" style="147" customWidth="1"/>
    <col min="8708" max="8708" width="19.42578125" style="147" customWidth="1"/>
    <col min="8709" max="8709" width="7.42578125" style="147" customWidth="1"/>
    <col min="8710" max="8710" width="19.42578125" style="147" customWidth="1"/>
    <col min="8711" max="8711" width="7.42578125" style="147" customWidth="1"/>
    <col min="8712" max="8712" width="19.42578125" style="147" customWidth="1"/>
    <col min="8713" max="8713" width="7.42578125" style="147" customWidth="1"/>
    <col min="8714" max="8714" width="19.42578125" style="147" customWidth="1"/>
    <col min="8715" max="8715" width="7.42578125" style="147" customWidth="1"/>
    <col min="8716" max="8716" width="19.42578125" style="147" customWidth="1"/>
    <col min="8717" max="8717" width="7.42578125" style="147" customWidth="1"/>
    <col min="8718" max="8720" width="19.42578125" style="147" customWidth="1"/>
    <col min="8721" max="8724" width="9.140625" style="147"/>
    <col min="8725" max="8725" width="12" style="147" customWidth="1"/>
    <col min="8726" max="8726" width="12.42578125" style="147" customWidth="1"/>
    <col min="8727" max="8727" width="11.140625" style="147" customWidth="1"/>
    <col min="8728" max="8728" width="9.140625" style="147"/>
    <col min="8729" max="8729" width="13" style="147" customWidth="1"/>
    <col min="8730" max="8730" width="15.5703125" style="147" customWidth="1"/>
    <col min="8731" max="8731" width="11.7109375" style="147" customWidth="1"/>
    <col min="8732" max="8732" width="14.85546875" style="147" customWidth="1"/>
    <col min="8733" max="8733" width="11.7109375" style="147" customWidth="1"/>
    <col min="8734" max="8960" width="9.140625" style="147"/>
    <col min="8961" max="8961" width="3.42578125" style="147" customWidth="1"/>
    <col min="8962" max="8962" width="19.42578125" style="147" customWidth="1"/>
    <col min="8963" max="8963" width="7.42578125" style="147" customWidth="1"/>
    <col min="8964" max="8964" width="19.42578125" style="147" customWidth="1"/>
    <col min="8965" max="8965" width="7.42578125" style="147" customWidth="1"/>
    <col min="8966" max="8966" width="19.42578125" style="147" customWidth="1"/>
    <col min="8967" max="8967" width="7.42578125" style="147" customWidth="1"/>
    <col min="8968" max="8968" width="19.42578125" style="147" customWidth="1"/>
    <col min="8969" max="8969" width="7.42578125" style="147" customWidth="1"/>
    <col min="8970" max="8970" width="19.42578125" style="147" customWidth="1"/>
    <col min="8971" max="8971" width="7.42578125" style="147" customWidth="1"/>
    <col min="8972" max="8972" width="19.42578125" style="147" customWidth="1"/>
    <col min="8973" max="8973" width="7.42578125" style="147" customWidth="1"/>
    <col min="8974" max="8976" width="19.42578125" style="147" customWidth="1"/>
    <col min="8977" max="8980" width="9.140625" style="147"/>
    <col min="8981" max="8981" width="12" style="147" customWidth="1"/>
    <col min="8982" max="8982" width="12.42578125" style="147" customWidth="1"/>
    <col min="8983" max="8983" width="11.140625" style="147" customWidth="1"/>
    <col min="8984" max="8984" width="9.140625" style="147"/>
    <col min="8985" max="8985" width="13" style="147" customWidth="1"/>
    <col min="8986" max="8986" width="15.5703125" style="147" customWidth="1"/>
    <col min="8987" max="8987" width="11.7109375" style="147" customWidth="1"/>
    <col min="8988" max="8988" width="14.85546875" style="147" customWidth="1"/>
    <col min="8989" max="8989" width="11.7109375" style="147" customWidth="1"/>
    <col min="8990" max="9216" width="9.140625" style="147"/>
    <col min="9217" max="9217" width="3.42578125" style="147" customWidth="1"/>
    <col min="9218" max="9218" width="19.42578125" style="147" customWidth="1"/>
    <col min="9219" max="9219" width="7.42578125" style="147" customWidth="1"/>
    <col min="9220" max="9220" width="19.42578125" style="147" customWidth="1"/>
    <col min="9221" max="9221" width="7.42578125" style="147" customWidth="1"/>
    <col min="9222" max="9222" width="19.42578125" style="147" customWidth="1"/>
    <col min="9223" max="9223" width="7.42578125" style="147" customWidth="1"/>
    <col min="9224" max="9224" width="19.42578125" style="147" customWidth="1"/>
    <col min="9225" max="9225" width="7.42578125" style="147" customWidth="1"/>
    <col min="9226" max="9226" width="19.42578125" style="147" customWidth="1"/>
    <col min="9227" max="9227" width="7.42578125" style="147" customWidth="1"/>
    <col min="9228" max="9228" width="19.42578125" style="147" customWidth="1"/>
    <col min="9229" max="9229" width="7.42578125" style="147" customWidth="1"/>
    <col min="9230" max="9232" width="19.42578125" style="147" customWidth="1"/>
    <col min="9233" max="9236" width="9.140625" style="147"/>
    <col min="9237" max="9237" width="12" style="147" customWidth="1"/>
    <col min="9238" max="9238" width="12.42578125" style="147" customWidth="1"/>
    <col min="9239" max="9239" width="11.140625" style="147" customWidth="1"/>
    <col min="9240" max="9240" width="9.140625" style="147"/>
    <col min="9241" max="9241" width="13" style="147" customWidth="1"/>
    <col min="9242" max="9242" width="15.5703125" style="147" customWidth="1"/>
    <col min="9243" max="9243" width="11.7109375" style="147" customWidth="1"/>
    <col min="9244" max="9244" width="14.85546875" style="147" customWidth="1"/>
    <col min="9245" max="9245" width="11.7109375" style="147" customWidth="1"/>
    <col min="9246" max="9472" width="9.140625" style="147"/>
    <col min="9473" max="9473" width="3.42578125" style="147" customWidth="1"/>
    <col min="9474" max="9474" width="19.42578125" style="147" customWidth="1"/>
    <col min="9475" max="9475" width="7.42578125" style="147" customWidth="1"/>
    <col min="9476" max="9476" width="19.42578125" style="147" customWidth="1"/>
    <col min="9477" max="9477" width="7.42578125" style="147" customWidth="1"/>
    <col min="9478" max="9478" width="19.42578125" style="147" customWidth="1"/>
    <col min="9479" max="9479" width="7.42578125" style="147" customWidth="1"/>
    <col min="9480" max="9480" width="19.42578125" style="147" customWidth="1"/>
    <col min="9481" max="9481" width="7.42578125" style="147" customWidth="1"/>
    <col min="9482" max="9482" width="19.42578125" style="147" customWidth="1"/>
    <col min="9483" max="9483" width="7.42578125" style="147" customWidth="1"/>
    <col min="9484" max="9484" width="19.42578125" style="147" customWidth="1"/>
    <col min="9485" max="9485" width="7.42578125" style="147" customWidth="1"/>
    <col min="9486" max="9488" width="19.42578125" style="147" customWidth="1"/>
    <col min="9489" max="9492" width="9.140625" style="147"/>
    <col min="9493" max="9493" width="12" style="147" customWidth="1"/>
    <col min="9494" max="9494" width="12.42578125" style="147" customWidth="1"/>
    <col min="9495" max="9495" width="11.140625" style="147" customWidth="1"/>
    <col min="9496" max="9496" width="9.140625" style="147"/>
    <col min="9497" max="9497" width="13" style="147" customWidth="1"/>
    <col min="9498" max="9498" width="15.5703125" style="147" customWidth="1"/>
    <col min="9499" max="9499" width="11.7109375" style="147" customWidth="1"/>
    <col min="9500" max="9500" width="14.85546875" style="147" customWidth="1"/>
    <col min="9501" max="9501" width="11.7109375" style="147" customWidth="1"/>
    <col min="9502" max="9728" width="9.140625" style="147"/>
    <col min="9729" max="9729" width="3.42578125" style="147" customWidth="1"/>
    <col min="9730" max="9730" width="19.42578125" style="147" customWidth="1"/>
    <col min="9731" max="9731" width="7.42578125" style="147" customWidth="1"/>
    <col min="9732" max="9732" width="19.42578125" style="147" customWidth="1"/>
    <col min="9733" max="9733" width="7.42578125" style="147" customWidth="1"/>
    <col min="9734" max="9734" width="19.42578125" style="147" customWidth="1"/>
    <col min="9735" max="9735" width="7.42578125" style="147" customWidth="1"/>
    <col min="9736" max="9736" width="19.42578125" style="147" customWidth="1"/>
    <col min="9737" max="9737" width="7.42578125" style="147" customWidth="1"/>
    <col min="9738" max="9738" width="19.42578125" style="147" customWidth="1"/>
    <col min="9739" max="9739" width="7.42578125" style="147" customWidth="1"/>
    <col min="9740" max="9740" width="19.42578125" style="147" customWidth="1"/>
    <col min="9741" max="9741" width="7.42578125" style="147" customWidth="1"/>
    <col min="9742" max="9744" width="19.42578125" style="147" customWidth="1"/>
    <col min="9745" max="9748" width="9.140625" style="147"/>
    <col min="9749" max="9749" width="12" style="147" customWidth="1"/>
    <col min="9750" max="9750" width="12.42578125" style="147" customWidth="1"/>
    <col min="9751" max="9751" width="11.140625" style="147" customWidth="1"/>
    <col min="9752" max="9752" width="9.140625" style="147"/>
    <col min="9753" max="9753" width="13" style="147" customWidth="1"/>
    <col min="9754" max="9754" width="15.5703125" style="147" customWidth="1"/>
    <col min="9755" max="9755" width="11.7109375" style="147" customWidth="1"/>
    <col min="9756" max="9756" width="14.85546875" style="147" customWidth="1"/>
    <col min="9757" max="9757" width="11.7109375" style="147" customWidth="1"/>
    <col min="9758" max="9984" width="9.140625" style="147"/>
    <col min="9985" max="9985" width="3.42578125" style="147" customWidth="1"/>
    <col min="9986" max="9986" width="19.42578125" style="147" customWidth="1"/>
    <col min="9987" max="9987" width="7.42578125" style="147" customWidth="1"/>
    <col min="9988" max="9988" width="19.42578125" style="147" customWidth="1"/>
    <col min="9989" max="9989" width="7.42578125" style="147" customWidth="1"/>
    <col min="9990" max="9990" width="19.42578125" style="147" customWidth="1"/>
    <col min="9991" max="9991" width="7.42578125" style="147" customWidth="1"/>
    <col min="9992" max="9992" width="19.42578125" style="147" customWidth="1"/>
    <col min="9993" max="9993" width="7.42578125" style="147" customWidth="1"/>
    <col min="9994" max="9994" width="19.42578125" style="147" customWidth="1"/>
    <col min="9995" max="9995" width="7.42578125" style="147" customWidth="1"/>
    <col min="9996" max="9996" width="19.42578125" style="147" customWidth="1"/>
    <col min="9997" max="9997" width="7.42578125" style="147" customWidth="1"/>
    <col min="9998" max="10000" width="19.42578125" style="147" customWidth="1"/>
    <col min="10001" max="10004" width="9.140625" style="147"/>
    <col min="10005" max="10005" width="12" style="147" customWidth="1"/>
    <col min="10006" max="10006" width="12.42578125" style="147" customWidth="1"/>
    <col min="10007" max="10007" width="11.140625" style="147" customWidth="1"/>
    <col min="10008" max="10008" width="9.140625" style="147"/>
    <col min="10009" max="10009" width="13" style="147" customWidth="1"/>
    <col min="10010" max="10010" width="15.5703125" style="147" customWidth="1"/>
    <col min="10011" max="10011" width="11.7109375" style="147" customWidth="1"/>
    <col min="10012" max="10012" width="14.85546875" style="147" customWidth="1"/>
    <col min="10013" max="10013" width="11.7109375" style="147" customWidth="1"/>
    <col min="10014" max="10240" width="9.140625" style="147"/>
    <col min="10241" max="10241" width="3.42578125" style="147" customWidth="1"/>
    <col min="10242" max="10242" width="19.42578125" style="147" customWidth="1"/>
    <col min="10243" max="10243" width="7.42578125" style="147" customWidth="1"/>
    <col min="10244" max="10244" width="19.42578125" style="147" customWidth="1"/>
    <col min="10245" max="10245" width="7.42578125" style="147" customWidth="1"/>
    <col min="10246" max="10246" width="19.42578125" style="147" customWidth="1"/>
    <col min="10247" max="10247" width="7.42578125" style="147" customWidth="1"/>
    <col min="10248" max="10248" width="19.42578125" style="147" customWidth="1"/>
    <col min="10249" max="10249" width="7.42578125" style="147" customWidth="1"/>
    <col min="10250" max="10250" width="19.42578125" style="147" customWidth="1"/>
    <col min="10251" max="10251" width="7.42578125" style="147" customWidth="1"/>
    <col min="10252" max="10252" width="19.42578125" style="147" customWidth="1"/>
    <col min="10253" max="10253" width="7.42578125" style="147" customWidth="1"/>
    <col min="10254" max="10256" width="19.42578125" style="147" customWidth="1"/>
    <col min="10257" max="10260" width="9.140625" style="147"/>
    <col min="10261" max="10261" width="12" style="147" customWidth="1"/>
    <col min="10262" max="10262" width="12.42578125" style="147" customWidth="1"/>
    <col min="10263" max="10263" width="11.140625" style="147" customWidth="1"/>
    <col min="10264" max="10264" width="9.140625" style="147"/>
    <col min="10265" max="10265" width="13" style="147" customWidth="1"/>
    <col min="10266" max="10266" width="15.5703125" style="147" customWidth="1"/>
    <col min="10267" max="10267" width="11.7109375" style="147" customWidth="1"/>
    <col min="10268" max="10268" width="14.85546875" style="147" customWidth="1"/>
    <col min="10269" max="10269" width="11.7109375" style="147" customWidth="1"/>
    <col min="10270" max="10496" width="9.140625" style="147"/>
    <col min="10497" max="10497" width="3.42578125" style="147" customWidth="1"/>
    <col min="10498" max="10498" width="19.42578125" style="147" customWidth="1"/>
    <col min="10499" max="10499" width="7.42578125" style="147" customWidth="1"/>
    <col min="10500" max="10500" width="19.42578125" style="147" customWidth="1"/>
    <col min="10501" max="10501" width="7.42578125" style="147" customWidth="1"/>
    <col min="10502" max="10502" width="19.42578125" style="147" customWidth="1"/>
    <col min="10503" max="10503" width="7.42578125" style="147" customWidth="1"/>
    <col min="10504" max="10504" width="19.42578125" style="147" customWidth="1"/>
    <col min="10505" max="10505" width="7.42578125" style="147" customWidth="1"/>
    <col min="10506" max="10506" width="19.42578125" style="147" customWidth="1"/>
    <col min="10507" max="10507" width="7.42578125" style="147" customWidth="1"/>
    <col min="10508" max="10508" width="19.42578125" style="147" customWidth="1"/>
    <col min="10509" max="10509" width="7.42578125" style="147" customWidth="1"/>
    <col min="10510" max="10512" width="19.42578125" style="147" customWidth="1"/>
    <col min="10513" max="10516" width="9.140625" style="147"/>
    <col min="10517" max="10517" width="12" style="147" customWidth="1"/>
    <col min="10518" max="10518" width="12.42578125" style="147" customWidth="1"/>
    <col min="10519" max="10519" width="11.140625" style="147" customWidth="1"/>
    <col min="10520" max="10520" width="9.140625" style="147"/>
    <col min="10521" max="10521" width="13" style="147" customWidth="1"/>
    <col min="10522" max="10522" width="15.5703125" style="147" customWidth="1"/>
    <col min="10523" max="10523" width="11.7109375" style="147" customWidth="1"/>
    <col min="10524" max="10524" width="14.85546875" style="147" customWidth="1"/>
    <col min="10525" max="10525" width="11.7109375" style="147" customWidth="1"/>
    <col min="10526" max="10752" width="9.140625" style="147"/>
    <col min="10753" max="10753" width="3.42578125" style="147" customWidth="1"/>
    <col min="10754" max="10754" width="19.42578125" style="147" customWidth="1"/>
    <col min="10755" max="10755" width="7.42578125" style="147" customWidth="1"/>
    <col min="10756" max="10756" width="19.42578125" style="147" customWidth="1"/>
    <col min="10757" max="10757" width="7.42578125" style="147" customWidth="1"/>
    <col min="10758" max="10758" width="19.42578125" style="147" customWidth="1"/>
    <col min="10759" max="10759" width="7.42578125" style="147" customWidth="1"/>
    <col min="10760" max="10760" width="19.42578125" style="147" customWidth="1"/>
    <col min="10761" max="10761" width="7.42578125" style="147" customWidth="1"/>
    <col min="10762" max="10762" width="19.42578125" style="147" customWidth="1"/>
    <col min="10763" max="10763" width="7.42578125" style="147" customWidth="1"/>
    <col min="10764" max="10764" width="19.42578125" style="147" customWidth="1"/>
    <col min="10765" max="10765" width="7.42578125" style="147" customWidth="1"/>
    <col min="10766" max="10768" width="19.42578125" style="147" customWidth="1"/>
    <col min="10769" max="10772" width="9.140625" style="147"/>
    <col min="10773" max="10773" width="12" style="147" customWidth="1"/>
    <col min="10774" max="10774" width="12.42578125" style="147" customWidth="1"/>
    <col min="10775" max="10775" width="11.140625" style="147" customWidth="1"/>
    <col min="10776" max="10776" width="9.140625" style="147"/>
    <col min="10777" max="10777" width="13" style="147" customWidth="1"/>
    <col min="10778" max="10778" width="15.5703125" style="147" customWidth="1"/>
    <col min="10779" max="10779" width="11.7109375" style="147" customWidth="1"/>
    <col min="10780" max="10780" width="14.85546875" style="147" customWidth="1"/>
    <col min="10781" max="10781" width="11.7109375" style="147" customWidth="1"/>
    <col min="10782" max="11008" width="9.140625" style="147"/>
    <col min="11009" max="11009" width="3.42578125" style="147" customWidth="1"/>
    <col min="11010" max="11010" width="19.42578125" style="147" customWidth="1"/>
    <col min="11011" max="11011" width="7.42578125" style="147" customWidth="1"/>
    <col min="11012" max="11012" width="19.42578125" style="147" customWidth="1"/>
    <col min="11013" max="11013" width="7.42578125" style="147" customWidth="1"/>
    <col min="11014" max="11014" width="19.42578125" style="147" customWidth="1"/>
    <col min="11015" max="11015" width="7.42578125" style="147" customWidth="1"/>
    <col min="11016" max="11016" width="19.42578125" style="147" customWidth="1"/>
    <col min="11017" max="11017" width="7.42578125" style="147" customWidth="1"/>
    <col min="11018" max="11018" width="19.42578125" style="147" customWidth="1"/>
    <col min="11019" max="11019" width="7.42578125" style="147" customWidth="1"/>
    <col min="11020" max="11020" width="19.42578125" style="147" customWidth="1"/>
    <col min="11021" max="11021" width="7.42578125" style="147" customWidth="1"/>
    <col min="11022" max="11024" width="19.42578125" style="147" customWidth="1"/>
    <col min="11025" max="11028" width="9.140625" style="147"/>
    <col min="11029" max="11029" width="12" style="147" customWidth="1"/>
    <col min="11030" max="11030" width="12.42578125" style="147" customWidth="1"/>
    <col min="11031" max="11031" width="11.140625" style="147" customWidth="1"/>
    <col min="11032" max="11032" width="9.140625" style="147"/>
    <col min="11033" max="11033" width="13" style="147" customWidth="1"/>
    <col min="11034" max="11034" width="15.5703125" style="147" customWidth="1"/>
    <col min="11035" max="11035" width="11.7109375" style="147" customWidth="1"/>
    <col min="11036" max="11036" width="14.85546875" style="147" customWidth="1"/>
    <col min="11037" max="11037" width="11.7109375" style="147" customWidth="1"/>
    <col min="11038" max="11264" width="9.140625" style="147"/>
    <col min="11265" max="11265" width="3.42578125" style="147" customWidth="1"/>
    <col min="11266" max="11266" width="19.42578125" style="147" customWidth="1"/>
    <col min="11267" max="11267" width="7.42578125" style="147" customWidth="1"/>
    <col min="11268" max="11268" width="19.42578125" style="147" customWidth="1"/>
    <col min="11269" max="11269" width="7.42578125" style="147" customWidth="1"/>
    <col min="11270" max="11270" width="19.42578125" style="147" customWidth="1"/>
    <col min="11271" max="11271" width="7.42578125" style="147" customWidth="1"/>
    <col min="11272" max="11272" width="19.42578125" style="147" customWidth="1"/>
    <col min="11273" max="11273" width="7.42578125" style="147" customWidth="1"/>
    <col min="11274" max="11274" width="19.42578125" style="147" customWidth="1"/>
    <col min="11275" max="11275" width="7.42578125" style="147" customWidth="1"/>
    <col min="11276" max="11276" width="19.42578125" style="147" customWidth="1"/>
    <col min="11277" max="11277" width="7.42578125" style="147" customWidth="1"/>
    <col min="11278" max="11280" width="19.42578125" style="147" customWidth="1"/>
    <col min="11281" max="11284" width="9.140625" style="147"/>
    <col min="11285" max="11285" width="12" style="147" customWidth="1"/>
    <col min="11286" max="11286" width="12.42578125" style="147" customWidth="1"/>
    <col min="11287" max="11287" width="11.140625" style="147" customWidth="1"/>
    <col min="11288" max="11288" width="9.140625" style="147"/>
    <col min="11289" max="11289" width="13" style="147" customWidth="1"/>
    <col min="11290" max="11290" width="15.5703125" style="147" customWidth="1"/>
    <col min="11291" max="11291" width="11.7109375" style="147" customWidth="1"/>
    <col min="11292" max="11292" width="14.85546875" style="147" customWidth="1"/>
    <col min="11293" max="11293" width="11.7109375" style="147" customWidth="1"/>
    <col min="11294" max="11520" width="9.140625" style="147"/>
    <col min="11521" max="11521" width="3.42578125" style="147" customWidth="1"/>
    <col min="11522" max="11522" width="19.42578125" style="147" customWidth="1"/>
    <col min="11523" max="11523" width="7.42578125" style="147" customWidth="1"/>
    <col min="11524" max="11524" width="19.42578125" style="147" customWidth="1"/>
    <col min="11525" max="11525" width="7.42578125" style="147" customWidth="1"/>
    <col min="11526" max="11526" width="19.42578125" style="147" customWidth="1"/>
    <col min="11527" max="11527" width="7.42578125" style="147" customWidth="1"/>
    <col min="11528" max="11528" width="19.42578125" style="147" customWidth="1"/>
    <col min="11529" max="11529" width="7.42578125" style="147" customWidth="1"/>
    <col min="11530" max="11530" width="19.42578125" style="147" customWidth="1"/>
    <col min="11531" max="11531" width="7.42578125" style="147" customWidth="1"/>
    <col min="11532" max="11532" width="19.42578125" style="147" customWidth="1"/>
    <col min="11533" max="11533" width="7.42578125" style="147" customWidth="1"/>
    <col min="11534" max="11536" width="19.42578125" style="147" customWidth="1"/>
    <col min="11537" max="11540" width="9.140625" style="147"/>
    <col min="11541" max="11541" width="12" style="147" customWidth="1"/>
    <col min="11542" max="11542" width="12.42578125" style="147" customWidth="1"/>
    <col min="11543" max="11543" width="11.140625" style="147" customWidth="1"/>
    <col min="11544" max="11544" width="9.140625" style="147"/>
    <col min="11545" max="11545" width="13" style="147" customWidth="1"/>
    <col min="11546" max="11546" width="15.5703125" style="147" customWidth="1"/>
    <col min="11547" max="11547" width="11.7109375" style="147" customWidth="1"/>
    <col min="11548" max="11548" width="14.85546875" style="147" customWidth="1"/>
    <col min="11549" max="11549" width="11.7109375" style="147" customWidth="1"/>
    <col min="11550" max="11776" width="9.140625" style="147"/>
    <col min="11777" max="11777" width="3.42578125" style="147" customWidth="1"/>
    <col min="11778" max="11778" width="19.42578125" style="147" customWidth="1"/>
    <col min="11779" max="11779" width="7.42578125" style="147" customWidth="1"/>
    <col min="11780" max="11780" width="19.42578125" style="147" customWidth="1"/>
    <col min="11781" max="11781" width="7.42578125" style="147" customWidth="1"/>
    <col min="11782" max="11782" width="19.42578125" style="147" customWidth="1"/>
    <col min="11783" max="11783" width="7.42578125" style="147" customWidth="1"/>
    <col min="11784" max="11784" width="19.42578125" style="147" customWidth="1"/>
    <col min="11785" max="11785" width="7.42578125" style="147" customWidth="1"/>
    <col min="11786" max="11786" width="19.42578125" style="147" customWidth="1"/>
    <col min="11787" max="11787" width="7.42578125" style="147" customWidth="1"/>
    <col min="11788" max="11788" width="19.42578125" style="147" customWidth="1"/>
    <col min="11789" max="11789" width="7.42578125" style="147" customWidth="1"/>
    <col min="11790" max="11792" width="19.42578125" style="147" customWidth="1"/>
    <col min="11793" max="11796" width="9.140625" style="147"/>
    <col min="11797" max="11797" width="12" style="147" customWidth="1"/>
    <col min="11798" max="11798" width="12.42578125" style="147" customWidth="1"/>
    <col min="11799" max="11799" width="11.140625" style="147" customWidth="1"/>
    <col min="11800" max="11800" width="9.140625" style="147"/>
    <col min="11801" max="11801" width="13" style="147" customWidth="1"/>
    <col min="11802" max="11802" width="15.5703125" style="147" customWidth="1"/>
    <col min="11803" max="11803" width="11.7109375" style="147" customWidth="1"/>
    <col min="11804" max="11804" width="14.85546875" style="147" customWidth="1"/>
    <col min="11805" max="11805" width="11.7109375" style="147" customWidth="1"/>
    <col min="11806" max="12032" width="9.140625" style="147"/>
    <col min="12033" max="12033" width="3.42578125" style="147" customWidth="1"/>
    <col min="12034" max="12034" width="19.42578125" style="147" customWidth="1"/>
    <col min="12035" max="12035" width="7.42578125" style="147" customWidth="1"/>
    <col min="12036" max="12036" width="19.42578125" style="147" customWidth="1"/>
    <col min="12037" max="12037" width="7.42578125" style="147" customWidth="1"/>
    <col min="12038" max="12038" width="19.42578125" style="147" customWidth="1"/>
    <col min="12039" max="12039" width="7.42578125" style="147" customWidth="1"/>
    <col min="12040" max="12040" width="19.42578125" style="147" customWidth="1"/>
    <col min="12041" max="12041" width="7.42578125" style="147" customWidth="1"/>
    <col min="12042" max="12042" width="19.42578125" style="147" customWidth="1"/>
    <col min="12043" max="12043" width="7.42578125" style="147" customWidth="1"/>
    <col min="12044" max="12044" width="19.42578125" style="147" customWidth="1"/>
    <col min="12045" max="12045" width="7.42578125" style="147" customWidth="1"/>
    <col min="12046" max="12048" width="19.42578125" style="147" customWidth="1"/>
    <col min="12049" max="12052" width="9.140625" style="147"/>
    <col min="12053" max="12053" width="12" style="147" customWidth="1"/>
    <col min="12054" max="12054" width="12.42578125" style="147" customWidth="1"/>
    <col min="12055" max="12055" width="11.140625" style="147" customWidth="1"/>
    <col min="12056" max="12056" width="9.140625" style="147"/>
    <col min="12057" max="12057" width="13" style="147" customWidth="1"/>
    <col min="12058" max="12058" width="15.5703125" style="147" customWidth="1"/>
    <col min="12059" max="12059" width="11.7109375" style="147" customWidth="1"/>
    <col min="12060" max="12060" width="14.85546875" style="147" customWidth="1"/>
    <col min="12061" max="12061" width="11.7109375" style="147" customWidth="1"/>
    <col min="12062" max="12288" width="9.140625" style="147"/>
    <col min="12289" max="12289" width="3.42578125" style="147" customWidth="1"/>
    <col min="12290" max="12290" width="19.42578125" style="147" customWidth="1"/>
    <col min="12291" max="12291" width="7.42578125" style="147" customWidth="1"/>
    <col min="12292" max="12292" width="19.42578125" style="147" customWidth="1"/>
    <col min="12293" max="12293" width="7.42578125" style="147" customWidth="1"/>
    <col min="12294" max="12294" width="19.42578125" style="147" customWidth="1"/>
    <col min="12295" max="12295" width="7.42578125" style="147" customWidth="1"/>
    <col min="12296" max="12296" width="19.42578125" style="147" customWidth="1"/>
    <col min="12297" max="12297" width="7.42578125" style="147" customWidth="1"/>
    <col min="12298" max="12298" width="19.42578125" style="147" customWidth="1"/>
    <col min="12299" max="12299" width="7.42578125" style="147" customWidth="1"/>
    <col min="12300" max="12300" width="19.42578125" style="147" customWidth="1"/>
    <col min="12301" max="12301" width="7.42578125" style="147" customWidth="1"/>
    <col min="12302" max="12304" width="19.42578125" style="147" customWidth="1"/>
    <col min="12305" max="12308" width="9.140625" style="147"/>
    <col min="12309" max="12309" width="12" style="147" customWidth="1"/>
    <col min="12310" max="12310" width="12.42578125" style="147" customWidth="1"/>
    <col min="12311" max="12311" width="11.140625" style="147" customWidth="1"/>
    <col min="12312" max="12312" width="9.140625" style="147"/>
    <col min="12313" max="12313" width="13" style="147" customWidth="1"/>
    <col min="12314" max="12314" width="15.5703125" style="147" customWidth="1"/>
    <col min="12315" max="12315" width="11.7109375" style="147" customWidth="1"/>
    <col min="12316" max="12316" width="14.85546875" style="147" customWidth="1"/>
    <col min="12317" max="12317" width="11.7109375" style="147" customWidth="1"/>
    <col min="12318" max="12544" width="9.140625" style="147"/>
    <col min="12545" max="12545" width="3.42578125" style="147" customWidth="1"/>
    <col min="12546" max="12546" width="19.42578125" style="147" customWidth="1"/>
    <col min="12547" max="12547" width="7.42578125" style="147" customWidth="1"/>
    <col min="12548" max="12548" width="19.42578125" style="147" customWidth="1"/>
    <col min="12549" max="12549" width="7.42578125" style="147" customWidth="1"/>
    <col min="12550" max="12550" width="19.42578125" style="147" customWidth="1"/>
    <col min="12551" max="12551" width="7.42578125" style="147" customWidth="1"/>
    <col min="12552" max="12552" width="19.42578125" style="147" customWidth="1"/>
    <col min="12553" max="12553" width="7.42578125" style="147" customWidth="1"/>
    <col min="12554" max="12554" width="19.42578125" style="147" customWidth="1"/>
    <col min="12555" max="12555" width="7.42578125" style="147" customWidth="1"/>
    <col min="12556" max="12556" width="19.42578125" style="147" customWidth="1"/>
    <col min="12557" max="12557" width="7.42578125" style="147" customWidth="1"/>
    <col min="12558" max="12560" width="19.42578125" style="147" customWidth="1"/>
    <col min="12561" max="12564" width="9.140625" style="147"/>
    <col min="12565" max="12565" width="12" style="147" customWidth="1"/>
    <col min="12566" max="12566" width="12.42578125" style="147" customWidth="1"/>
    <col min="12567" max="12567" width="11.140625" style="147" customWidth="1"/>
    <col min="12568" max="12568" width="9.140625" style="147"/>
    <col min="12569" max="12569" width="13" style="147" customWidth="1"/>
    <col min="12570" max="12570" width="15.5703125" style="147" customWidth="1"/>
    <col min="12571" max="12571" width="11.7109375" style="147" customWidth="1"/>
    <col min="12572" max="12572" width="14.85546875" style="147" customWidth="1"/>
    <col min="12573" max="12573" width="11.7109375" style="147" customWidth="1"/>
    <col min="12574" max="12800" width="9.140625" style="147"/>
    <col min="12801" max="12801" width="3.42578125" style="147" customWidth="1"/>
    <col min="12802" max="12802" width="19.42578125" style="147" customWidth="1"/>
    <col min="12803" max="12803" width="7.42578125" style="147" customWidth="1"/>
    <col min="12804" max="12804" width="19.42578125" style="147" customWidth="1"/>
    <col min="12805" max="12805" width="7.42578125" style="147" customWidth="1"/>
    <col min="12806" max="12806" width="19.42578125" style="147" customWidth="1"/>
    <col min="12807" max="12807" width="7.42578125" style="147" customWidth="1"/>
    <col min="12808" max="12808" width="19.42578125" style="147" customWidth="1"/>
    <col min="12809" max="12809" width="7.42578125" style="147" customWidth="1"/>
    <col min="12810" max="12810" width="19.42578125" style="147" customWidth="1"/>
    <col min="12811" max="12811" width="7.42578125" style="147" customWidth="1"/>
    <col min="12812" max="12812" width="19.42578125" style="147" customWidth="1"/>
    <col min="12813" max="12813" width="7.42578125" style="147" customWidth="1"/>
    <col min="12814" max="12816" width="19.42578125" style="147" customWidth="1"/>
    <col min="12817" max="12820" width="9.140625" style="147"/>
    <col min="12821" max="12821" width="12" style="147" customWidth="1"/>
    <col min="12822" max="12822" width="12.42578125" style="147" customWidth="1"/>
    <col min="12823" max="12823" width="11.140625" style="147" customWidth="1"/>
    <col min="12824" max="12824" width="9.140625" style="147"/>
    <col min="12825" max="12825" width="13" style="147" customWidth="1"/>
    <col min="12826" max="12826" width="15.5703125" style="147" customWidth="1"/>
    <col min="12827" max="12827" width="11.7109375" style="147" customWidth="1"/>
    <col min="12828" max="12828" width="14.85546875" style="147" customWidth="1"/>
    <col min="12829" max="12829" width="11.7109375" style="147" customWidth="1"/>
    <col min="12830" max="13056" width="9.140625" style="147"/>
    <col min="13057" max="13057" width="3.42578125" style="147" customWidth="1"/>
    <col min="13058" max="13058" width="19.42578125" style="147" customWidth="1"/>
    <col min="13059" max="13059" width="7.42578125" style="147" customWidth="1"/>
    <col min="13060" max="13060" width="19.42578125" style="147" customWidth="1"/>
    <col min="13061" max="13061" width="7.42578125" style="147" customWidth="1"/>
    <col min="13062" max="13062" width="19.42578125" style="147" customWidth="1"/>
    <col min="13063" max="13063" width="7.42578125" style="147" customWidth="1"/>
    <col min="13064" max="13064" width="19.42578125" style="147" customWidth="1"/>
    <col min="13065" max="13065" width="7.42578125" style="147" customWidth="1"/>
    <col min="13066" max="13066" width="19.42578125" style="147" customWidth="1"/>
    <col min="13067" max="13067" width="7.42578125" style="147" customWidth="1"/>
    <col min="13068" max="13068" width="19.42578125" style="147" customWidth="1"/>
    <col min="13069" max="13069" width="7.42578125" style="147" customWidth="1"/>
    <col min="13070" max="13072" width="19.42578125" style="147" customWidth="1"/>
    <col min="13073" max="13076" width="9.140625" style="147"/>
    <col min="13077" max="13077" width="12" style="147" customWidth="1"/>
    <col min="13078" max="13078" width="12.42578125" style="147" customWidth="1"/>
    <col min="13079" max="13079" width="11.140625" style="147" customWidth="1"/>
    <col min="13080" max="13080" width="9.140625" style="147"/>
    <col min="13081" max="13081" width="13" style="147" customWidth="1"/>
    <col min="13082" max="13082" width="15.5703125" style="147" customWidth="1"/>
    <col min="13083" max="13083" width="11.7109375" style="147" customWidth="1"/>
    <col min="13084" max="13084" width="14.85546875" style="147" customWidth="1"/>
    <col min="13085" max="13085" width="11.7109375" style="147" customWidth="1"/>
    <col min="13086" max="13312" width="9.140625" style="147"/>
    <col min="13313" max="13313" width="3.42578125" style="147" customWidth="1"/>
    <col min="13314" max="13314" width="19.42578125" style="147" customWidth="1"/>
    <col min="13315" max="13315" width="7.42578125" style="147" customWidth="1"/>
    <col min="13316" max="13316" width="19.42578125" style="147" customWidth="1"/>
    <col min="13317" max="13317" width="7.42578125" style="147" customWidth="1"/>
    <col min="13318" max="13318" width="19.42578125" style="147" customWidth="1"/>
    <col min="13319" max="13319" width="7.42578125" style="147" customWidth="1"/>
    <col min="13320" max="13320" width="19.42578125" style="147" customWidth="1"/>
    <col min="13321" max="13321" width="7.42578125" style="147" customWidth="1"/>
    <col min="13322" max="13322" width="19.42578125" style="147" customWidth="1"/>
    <col min="13323" max="13323" width="7.42578125" style="147" customWidth="1"/>
    <col min="13324" max="13324" width="19.42578125" style="147" customWidth="1"/>
    <col min="13325" max="13325" width="7.42578125" style="147" customWidth="1"/>
    <col min="13326" max="13328" width="19.42578125" style="147" customWidth="1"/>
    <col min="13329" max="13332" width="9.140625" style="147"/>
    <col min="13333" max="13333" width="12" style="147" customWidth="1"/>
    <col min="13334" max="13334" width="12.42578125" style="147" customWidth="1"/>
    <col min="13335" max="13335" width="11.140625" style="147" customWidth="1"/>
    <col min="13336" max="13336" width="9.140625" style="147"/>
    <col min="13337" max="13337" width="13" style="147" customWidth="1"/>
    <col min="13338" max="13338" width="15.5703125" style="147" customWidth="1"/>
    <col min="13339" max="13339" width="11.7109375" style="147" customWidth="1"/>
    <col min="13340" max="13340" width="14.85546875" style="147" customWidth="1"/>
    <col min="13341" max="13341" width="11.7109375" style="147" customWidth="1"/>
    <col min="13342" max="13568" width="9.140625" style="147"/>
    <col min="13569" max="13569" width="3.42578125" style="147" customWidth="1"/>
    <col min="13570" max="13570" width="19.42578125" style="147" customWidth="1"/>
    <col min="13571" max="13571" width="7.42578125" style="147" customWidth="1"/>
    <col min="13572" max="13572" width="19.42578125" style="147" customWidth="1"/>
    <col min="13573" max="13573" width="7.42578125" style="147" customWidth="1"/>
    <col min="13574" max="13574" width="19.42578125" style="147" customWidth="1"/>
    <col min="13575" max="13575" width="7.42578125" style="147" customWidth="1"/>
    <col min="13576" max="13576" width="19.42578125" style="147" customWidth="1"/>
    <col min="13577" max="13577" width="7.42578125" style="147" customWidth="1"/>
    <col min="13578" max="13578" width="19.42578125" style="147" customWidth="1"/>
    <col min="13579" max="13579" width="7.42578125" style="147" customWidth="1"/>
    <col min="13580" max="13580" width="19.42578125" style="147" customWidth="1"/>
    <col min="13581" max="13581" width="7.42578125" style="147" customWidth="1"/>
    <col min="13582" max="13584" width="19.42578125" style="147" customWidth="1"/>
    <col min="13585" max="13588" width="9.140625" style="147"/>
    <col min="13589" max="13589" width="12" style="147" customWidth="1"/>
    <col min="13590" max="13590" width="12.42578125" style="147" customWidth="1"/>
    <col min="13591" max="13591" width="11.140625" style="147" customWidth="1"/>
    <col min="13592" max="13592" width="9.140625" style="147"/>
    <col min="13593" max="13593" width="13" style="147" customWidth="1"/>
    <col min="13594" max="13594" width="15.5703125" style="147" customWidth="1"/>
    <col min="13595" max="13595" width="11.7109375" style="147" customWidth="1"/>
    <col min="13596" max="13596" width="14.85546875" style="147" customWidth="1"/>
    <col min="13597" max="13597" width="11.7109375" style="147" customWidth="1"/>
    <col min="13598" max="13824" width="9.140625" style="147"/>
    <col min="13825" max="13825" width="3.42578125" style="147" customWidth="1"/>
    <col min="13826" max="13826" width="19.42578125" style="147" customWidth="1"/>
    <col min="13827" max="13827" width="7.42578125" style="147" customWidth="1"/>
    <col min="13828" max="13828" width="19.42578125" style="147" customWidth="1"/>
    <col min="13829" max="13829" width="7.42578125" style="147" customWidth="1"/>
    <col min="13830" max="13830" width="19.42578125" style="147" customWidth="1"/>
    <col min="13831" max="13831" width="7.42578125" style="147" customWidth="1"/>
    <col min="13832" max="13832" width="19.42578125" style="147" customWidth="1"/>
    <col min="13833" max="13833" width="7.42578125" style="147" customWidth="1"/>
    <col min="13834" max="13834" width="19.42578125" style="147" customWidth="1"/>
    <col min="13835" max="13835" width="7.42578125" style="147" customWidth="1"/>
    <col min="13836" max="13836" width="19.42578125" style="147" customWidth="1"/>
    <col min="13837" max="13837" width="7.42578125" style="147" customWidth="1"/>
    <col min="13838" max="13840" width="19.42578125" style="147" customWidth="1"/>
    <col min="13841" max="13844" width="9.140625" style="147"/>
    <col min="13845" max="13845" width="12" style="147" customWidth="1"/>
    <col min="13846" max="13846" width="12.42578125" style="147" customWidth="1"/>
    <col min="13847" max="13847" width="11.140625" style="147" customWidth="1"/>
    <col min="13848" max="13848" width="9.140625" style="147"/>
    <col min="13849" max="13849" width="13" style="147" customWidth="1"/>
    <col min="13850" max="13850" width="15.5703125" style="147" customWidth="1"/>
    <col min="13851" max="13851" width="11.7109375" style="147" customWidth="1"/>
    <col min="13852" max="13852" width="14.85546875" style="147" customWidth="1"/>
    <col min="13853" max="13853" width="11.7109375" style="147" customWidth="1"/>
    <col min="13854" max="14080" width="9.140625" style="147"/>
    <col min="14081" max="14081" width="3.42578125" style="147" customWidth="1"/>
    <col min="14082" max="14082" width="19.42578125" style="147" customWidth="1"/>
    <col min="14083" max="14083" width="7.42578125" style="147" customWidth="1"/>
    <col min="14084" max="14084" width="19.42578125" style="147" customWidth="1"/>
    <col min="14085" max="14085" width="7.42578125" style="147" customWidth="1"/>
    <col min="14086" max="14086" width="19.42578125" style="147" customWidth="1"/>
    <col min="14087" max="14087" width="7.42578125" style="147" customWidth="1"/>
    <col min="14088" max="14088" width="19.42578125" style="147" customWidth="1"/>
    <col min="14089" max="14089" width="7.42578125" style="147" customWidth="1"/>
    <col min="14090" max="14090" width="19.42578125" style="147" customWidth="1"/>
    <col min="14091" max="14091" width="7.42578125" style="147" customWidth="1"/>
    <col min="14092" max="14092" width="19.42578125" style="147" customWidth="1"/>
    <col min="14093" max="14093" width="7.42578125" style="147" customWidth="1"/>
    <col min="14094" max="14096" width="19.42578125" style="147" customWidth="1"/>
    <col min="14097" max="14100" width="9.140625" style="147"/>
    <col min="14101" max="14101" width="12" style="147" customWidth="1"/>
    <col min="14102" max="14102" width="12.42578125" style="147" customWidth="1"/>
    <col min="14103" max="14103" width="11.140625" style="147" customWidth="1"/>
    <col min="14104" max="14104" width="9.140625" style="147"/>
    <col min="14105" max="14105" width="13" style="147" customWidth="1"/>
    <col min="14106" max="14106" width="15.5703125" style="147" customWidth="1"/>
    <col min="14107" max="14107" width="11.7109375" style="147" customWidth="1"/>
    <col min="14108" max="14108" width="14.85546875" style="147" customWidth="1"/>
    <col min="14109" max="14109" width="11.7109375" style="147" customWidth="1"/>
    <col min="14110" max="14336" width="9.140625" style="147"/>
    <col min="14337" max="14337" width="3.42578125" style="147" customWidth="1"/>
    <col min="14338" max="14338" width="19.42578125" style="147" customWidth="1"/>
    <col min="14339" max="14339" width="7.42578125" style="147" customWidth="1"/>
    <col min="14340" max="14340" width="19.42578125" style="147" customWidth="1"/>
    <col min="14341" max="14341" width="7.42578125" style="147" customWidth="1"/>
    <col min="14342" max="14342" width="19.42578125" style="147" customWidth="1"/>
    <col min="14343" max="14343" width="7.42578125" style="147" customWidth="1"/>
    <col min="14344" max="14344" width="19.42578125" style="147" customWidth="1"/>
    <col min="14345" max="14345" width="7.42578125" style="147" customWidth="1"/>
    <col min="14346" max="14346" width="19.42578125" style="147" customWidth="1"/>
    <col min="14347" max="14347" width="7.42578125" style="147" customWidth="1"/>
    <col min="14348" max="14348" width="19.42578125" style="147" customWidth="1"/>
    <col min="14349" max="14349" width="7.42578125" style="147" customWidth="1"/>
    <col min="14350" max="14352" width="19.42578125" style="147" customWidth="1"/>
    <col min="14353" max="14356" width="9.140625" style="147"/>
    <col min="14357" max="14357" width="12" style="147" customWidth="1"/>
    <col min="14358" max="14358" width="12.42578125" style="147" customWidth="1"/>
    <col min="14359" max="14359" width="11.140625" style="147" customWidth="1"/>
    <col min="14360" max="14360" width="9.140625" style="147"/>
    <col min="14361" max="14361" width="13" style="147" customWidth="1"/>
    <col min="14362" max="14362" width="15.5703125" style="147" customWidth="1"/>
    <col min="14363" max="14363" width="11.7109375" style="147" customWidth="1"/>
    <col min="14364" max="14364" width="14.85546875" style="147" customWidth="1"/>
    <col min="14365" max="14365" width="11.7109375" style="147" customWidth="1"/>
    <col min="14366" max="14592" width="9.140625" style="147"/>
    <col min="14593" max="14593" width="3.42578125" style="147" customWidth="1"/>
    <col min="14594" max="14594" width="19.42578125" style="147" customWidth="1"/>
    <col min="14595" max="14595" width="7.42578125" style="147" customWidth="1"/>
    <col min="14596" max="14596" width="19.42578125" style="147" customWidth="1"/>
    <col min="14597" max="14597" width="7.42578125" style="147" customWidth="1"/>
    <col min="14598" max="14598" width="19.42578125" style="147" customWidth="1"/>
    <col min="14599" max="14599" width="7.42578125" style="147" customWidth="1"/>
    <col min="14600" max="14600" width="19.42578125" style="147" customWidth="1"/>
    <col min="14601" max="14601" width="7.42578125" style="147" customWidth="1"/>
    <col min="14602" max="14602" width="19.42578125" style="147" customWidth="1"/>
    <col min="14603" max="14603" width="7.42578125" style="147" customWidth="1"/>
    <col min="14604" max="14604" width="19.42578125" style="147" customWidth="1"/>
    <col min="14605" max="14605" width="7.42578125" style="147" customWidth="1"/>
    <col min="14606" max="14608" width="19.42578125" style="147" customWidth="1"/>
    <col min="14609" max="14612" width="9.140625" style="147"/>
    <col min="14613" max="14613" width="12" style="147" customWidth="1"/>
    <col min="14614" max="14614" width="12.42578125" style="147" customWidth="1"/>
    <col min="14615" max="14615" width="11.140625" style="147" customWidth="1"/>
    <col min="14616" max="14616" width="9.140625" style="147"/>
    <col min="14617" max="14617" width="13" style="147" customWidth="1"/>
    <col min="14618" max="14618" width="15.5703125" style="147" customWidth="1"/>
    <col min="14619" max="14619" width="11.7109375" style="147" customWidth="1"/>
    <col min="14620" max="14620" width="14.85546875" style="147" customWidth="1"/>
    <col min="14621" max="14621" width="11.7109375" style="147" customWidth="1"/>
    <col min="14622" max="14848" width="9.140625" style="147"/>
    <col min="14849" max="14849" width="3.42578125" style="147" customWidth="1"/>
    <col min="14850" max="14850" width="19.42578125" style="147" customWidth="1"/>
    <col min="14851" max="14851" width="7.42578125" style="147" customWidth="1"/>
    <col min="14852" max="14852" width="19.42578125" style="147" customWidth="1"/>
    <col min="14853" max="14853" width="7.42578125" style="147" customWidth="1"/>
    <col min="14854" max="14854" width="19.42578125" style="147" customWidth="1"/>
    <col min="14855" max="14855" width="7.42578125" style="147" customWidth="1"/>
    <col min="14856" max="14856" width="19.42578125" style="147" customWidth="1"/>
    <col min="14857" max="14857" width="7.42578125" style="147" customWidth="1"/>
    <col min="14858" max="14858" width="19.42578125" style="147" customWidth="1"/>
    <col min="14859" max="14859" width="7.42578125" style="147" customWidth="1"/>
    <col min="14860" max="14860" width="19.42578125" style="147" customWidth="1"/>
    <col min="14861" max="14861" width="7.42578125" style="147" customWidth="1"/>
    <col min="14862" max="14864" width="19.42578125" style="147" customWidth="1"/>
    <col min="14865" max="14868" width="9.140625" style="147"/>
    <col min="14869" max="14869" width="12" style="147" customWidth="1"/>
    <col min="14870" max="14870" width="12.42578125" style="147" customWidth="1"/>
    <col min="14871" max="14871" width="11.140625" style="147" customWidth="1"/>
    <col min="14872" max="14872" width="9.140625" style="147"/>
    <col min="14873" max="14873" width="13" style="147" customWidth="1"/>
    <col min="14874" max="14874" width="15.5703125" style="147" customWidth="1"/>
    <col min="14875" max="14875" width="11.7109375" style="147" customWidth="1"/>
    <col min="14876" max="14876" width="14.85546875" style="147" customWidth="1"/>
    <col min="14877" max="14877" width="11.7109375" style="147" customWidth="1"/>
    <col min="14878" max="15104" width="9.140625" style="147"/>
    <col min="15105" max="15105" width="3.42578125" style="147" customWidth="1"/>
    <col min="15106" max="15106" width="19.42578125" style="147" customWidth="1"/>
    <col min="15107" max="15107" width="7.42578125" style="147" customWidth="1"/>
    <col min="15108" max="15108" width="19.42578125" style="147" customWidth="1"/>
    <col min="15109" max="15109" width="7.42578125" style="147" customWidth="1"/>
    <col min="15110" max="15110" width="19.42578125" style="147" customWidth="1"/>
    <col min="15111" max="15111" width="7.42578125" style="147" customWidth="1"/>
    <col min="15112" max="15112" width="19.42578125" style="147" customWidth="1"/>
    <col min="15113" max="15113" width="7.42578125" style="147" customWidth="1"/>
    <col min="15114" max="15114" width="19.42578125" style="147" customWidth="1"/>
    <col min="15115" max="15115" width="7.42578125" style="147" customWidth="1"/>
    <col min="15116" max="15116" width="19.42578125" style="147" customWidth="1"/>
    <col min="15117" max="15117" width="7.42578125" style="147" customWidth="1"/>
    <col min="15118" max="15120" width="19.42578125" style="147" customWidth="1"/>
    <col min="15121" max="15124" width="9.140625" style="147"/>
    <col min="15125" max="15125" width="12" style="147" customWidth="1"/>
    <col min="15126" max="15126" width="12.42578125" style="147" customWidth="1"/>
    <col min="15127" max="15127" width="11.140625" style="147" customWidth="1"/>
    <col min="15128" max="15128" width="9.140625" style="147"/>
    <col min="15129" max="15129" width="13" style="147" customWidth="1"/>
    <col min="15130" max="15130" width="15.5703125" style="147" customWidth="1"/>
    <col min="15131" max="15131" width="11.7109375" style="147" customWidth="1"/>
    <col min="15132" max="15132" width="14.85546875" style="147" customWidth="1"/>
    <col min="15133" max="15133" width="11.7109375" style="147" customWidth="1"/>
    <col min="15134" max="15360" width="9.140625" style="147"/>
    <col min="15361" max="15361" width="3.42578125" style="147" customWidth="1"/>
    <col min="15362" max="15362" width="19.42578125" style="147" customWidth="1"/>
    <col min="15363" max="15363" width="7.42578125" style="147" customWidth="1"/>
    <col min="15364" max="15364" width="19.42578125" style="147" customWidth="1"/>
    <col min="15365" max="15365" width="7.42578125" style="147" customWidth="1"/>
    <col min="15366" max="15366" width="19.42578125" style="147" customWidth="1"/>
    <col min="15367" max="15367" width="7.42578125" style="147" customWidth="1"/>
    <col min="15368" max="15368" width="19.42578125" style="147" customWidth="1"/>
    <col min="15369" max="15369" width="7.42578125" style="147" customWidth="1"/>
    <col min="15370" max="15370" width="19.42578125" style="147" customWidth="1"/>
    <col min="15371" max="15371" width="7.42578125" style="147" customWidth="1"/>
    <col min="15372" max="15372" width="19.42578125" style="147" customWidth="1"/>
    <col min="15373" max="15373" width="7.42578125" style="147" customWidth="1"/>
    <col min="15374" max="15376" width="19.42578125" style="147" customWidth="1"/>
    <col min="15377" max="15380" width="9.140625" style="147"/>
    <col min="15381" max="15381" width="12" style="147" customWidth="1"/>
    <col min="15382" max="15382" width="12.42578125" style="147" customWidth="1"/>
    <col min="15383" max="15383" width="11.140625" style="147" customWidth="1"/>
    <col min="15384" max="15384" width="9.140625" style="147"/>
    <col min="15385" max="15385" width="13" style="147" customWidth="1"/>
    <col min="15386" max="15386" width="15.5703125" style="147" customWidth="1"/>
    <col min="15387" max="15387" width="11.7109375" style="147" customWidth="1"/>
    <col min="15388" max="15388" width="14.85546875" style="147" customWidth="1"/>
    <col min="15389" max="15389" width="11.7109375" style="147" customWidth="1"/>
    <col min="15390" max="15616" width="9.140625" style="147"/>
    <col min="15617" max="15617" width="3.42578125" style="147" customWidth="1"/>
    <col min="15618" max="15618" width="19.42578125" style="147" customWidth="1"/>
    <col min="15619" max="15619" width="7.42578125" style="147" customWidth="1"/>
    <col min="15620" max="15620" width="19.42578125" style="147" customWidth="1"/>
    <col min="15621" max="15621" width="7.42578125" style="147" customWidth="1"/>
    <col min="15622" max="15622" width="19.42578125" style="147" customWidth="1"/>
    <col min="15623" max="15623" width="7.42578125" style="147" customWidth="1"/>
    <col min="15624" max="15624" width="19.42578125" style="147" customWidth="1"/>
    <col min="15625" max="15625" width="7.42578125" style="147" customWidth="1"/>
    <col min="15626" max="15626" width="19.42578125" style="147" customWidth="1"/>
    <col min="15627" max="15627" width="7.42578125" style="147" customWidth="1"/>
    <col min="15628" max="15628" width="19.42578125" style="147" customWidth="1"/>
    <col min="15629" max="15629" width="7.42578125" style="147" customWidth="1"/>
    <col min="15630" max="15632" width="19.42578125" style="147" customWidth="1"/>
    <col min="15633" max="15636" width="9.140625" style="147"/>
    <col min="15637" max="15637" width="12" style="147" customWidth="1"/>
    <col min="15638" max="15638" width="12.42578125" style="147" customWidth="1"/>
    <col min="15639" max="15639" width="11.140625" style="147" customWidth="1"/>
    <col min="15640" max="15640" width="9.140625" style="147"/>
    <col min="15641" max="15641" width="13" style="147" customWidth="1"/>
    <col min="15642" max="15642" width="15.5703125" style="147" customWidth="1"/>
    <col min="15643" max="15643" width="11.7109375" style="147" customWidth="1"/>
    <col min="15644" max="15644" width="14.85546875" style="147" customWidth="1"/>
    <col min="15645" max="15645" width="11.7109375" style="147" customWidth="1"/>
    <col min="15646" max="15872" width="9.140625" style="147"/>
    <col min="15873" max="15873" width="3.42578125" style="147" customWidth="1"/>
    <col min="15874" max="15874" width="19.42578125" style="147" customWidth="1"/>
    <col min="15875" max="15875" width="7.42578125" style="147" customWidth="1"/>
    <col min="15876" max="15876" width="19.42578125" style="147" customWidth="1"/>
    <col min="15877" max="15877" width="7.42578125" style="147" customWidth="1"/>
    <col min="15878" max="15878" width="19.42578125" style="147" customWidth="1"/>
    <col min="15879" max="15879" width="7.42578125" style="147" customWidth="1"/>
    <col min="15880" max="15880" width="19.42578125" style="147" customWidth="1"/>
    <col min="15881" max="15881" width="7.42578125" style="147" customWidth="1"/>
    <col min="15882" max="15882" width="19.42578125" style="147" customWidth="1"/>
    <col min="15883" max="15883" width="7.42578125" style="147" customWidth="1"/>
    <col min="15884" max="15884" width="19.42578125" style="147" customWidth="1"/>
    <col min="15885" max="15885" width="7.42578125" style="147" customWidth="1"/>
    <col min="15886" max="15888" width="19.42578125" style="147" customWidth="1"/>
    <col min="15889" max="15892" width="9.140625" style="147"/>
    <col min="15893" max="15893" width="12" style="147" customWidth="1"/>
    <col min="15894" max="15894" width="12.42578125" style="147" customWidth="1"/>
    <col min="15895" max="15895" width="11.140625" style="147" customWidth="1"/>
    <col min="15896" max="15896" width="9.140625" style="147"/>
    <col min="15897" max="15897" width="13" style="147" customWidth="1"/>
    <col min="15898" max="15898" width="15.5703125" style="147" customWidth="1"/>
    <col min="15899" max="15899" width="11.7109375" style="147" customWidth="1"/>
    <col min="15900" max="15900" width="14.85546875" style="147" customWidth="1"/>
    <col min="15901" max="15901" width="11.7109375" style="147" customWidth="1"/>
    <col min="15902" max="16128" width="9.140625" style="147"/>
    <col min="16129" max="16129" width="3.42578125" style="147" customWidth="1"/>
    <col min="16130" max="16130" width="19.42578125" style="147" customWidth="1"/>
    <col min="16131" max="16131" width="7.42578125" style="147" customWidth="1"/>
    <col min="16132" max="16132" width="19.42578125" style="147" customWidth="1"/>
    <col min="16133" max="16133" width="7.42578125" style="147" customWidth="1"/>
    <col min="16134" max="16134" width="19.42578125" style="147" customWidth="1"/>
    <col min="16135" max="16135" width="7.42578125" style="147" customWidth="1"/>
    <col min="16136" max="16136" width="19.42578125" style="147" customWidth="1"/>
    <col min="16137" max="16137" width="7.42578125" style="147" customWidth="1"/>
    <col min="16138" max="16138" width="19.42578125" style="147" customWidth="1"/>
    <col min="16139" max="16139" width="7.42578125" style="147" customWidth="1"/>
    <col min="16140" max="16140" width="19.42578125" style="147" customWidth="1"/>
    <col min="16141" max="16141" width="7.42578125" style="147" customWidth="1"/>
    <col min="16142" max="16144" width="19.42578125" style="147" customWidth="1"/>
    <col min="16145" max="16148" width="9.140625" style="147"/>
    <col min="16149" max="16149" width="12" style="147" customWidth="1"/>
    <col min="16150" max="16150" width="12.42578125" style="147" customWidth="1"/>
    <col min="16151" max="16151" width="11.140625" style="147" customWidth="1"/>
    <col min="16152" max="16152" width="9.140625" style="147"/>
    <col min="16153" max="16153" width="13" style="147" customWidth="1"/>
    <col min="16154" max="16154" width="15.5703125" style="147" customWidth="1"/>
    <col min="16155" max="16155" width="11.7109375" style="147" customWidth="1"/>
    <col min="16156" max="16156" width="14.85546875" style="147" customWidth="1"/>
    <col min="16157" max="16157" width="11.7109375" style="147" customWidth="1"/>
    <col min="16158" max="16384" width="9.140625" style="147"/>
  </cols>
  <sheetData>
    <row r="1" spans="2:16" s="14" customFormat="1" ht="15" x14ac:dyDescent="0.25"/>
    <row r="2" spans="2:16" s="14" customFormat="1" ht="15" x14ac:dyDescent="0.25"/>
    <row r="3" spans="2:16" s="14" customFormat="1" ht="15" x14ac:dyDescent="0.25"/>
    <row r="4" spans="2:16" ht="27.75" customHeight="1" x14ac:dyDescent="0.2"/>
    <row r="5" spans="2:16" ht="12.75" customHeight="1" x14ac:dyDescent="0.2">
      <c r="F5" s="584" t="s">
        <v>21</v>
      </c>
      <c r="G5" s="584"/>
      <c r="H5" s="584"/>
      <c r="I5" s="584"/>
      <c r="J5" s="584"/>
    </row>
    <row r="6" spans="2:16" x14ac:dyDescent="0.2">
      <c r="F6" s="584"/>
      <c r="G6" s="584"/>
      <c r="H6" s="584"/>
      <c r="I6" s="584"/>
      <c r="J6" s="584"/>
    </row>
    <row r="7" spans="2:16" x14ac:dyDescent="0.2">
      <c r="F7" s="584"/>
      <c r="G7" s="584"/>
      <c r="H7" s="584"/>
      <c r="I7" s="584"/>
      <c r="J7" s="584"/>
    </row>
    <row r="8" spans="2:16" ht="20.25" customHeight="1" x14ac:dyDescent="0.25">
      <c r="G8" s="148"/>
    </row>
    <row r="11" spans="2:16" s="144" customFormat="1" ht="18" x14ac:dyDescent="0.25">
      <c r="B11" s="149">
        <f>'DuPont Model'!B11</f>
        <v>4085339.58</v>
      </c>
      <c r="C11" s="143"/>
      <c r="D11" s="142"/>
      <c r="F11" s="145"/>
      <c r="L11" s="146"/>
      <c r="N11" s="146"/>
      <c r="O11" s="146"/>
      <c r="P11" s="146"/>
    </row>
    <row r="14" spans="2:16" s="144" customFormat="1" ht="18" x14ac:dyDescent="0.25">
      <c r="B14" s="142"/>
      <c r="C14" s="143"/>
      <c r="D14" s="149">
        <f>(B11-B16)</f>
        <v>1769073.3600000003</v>
      </c>
      <c r="F14" s="145"/>
      <c r="L14" s="146"/>
      <c r="N14" s="146"/>
      <c r="O14" s="146"/>
      <c r="P14" s="146"/>
    </row>
    <row r="16" spans="2:16" s="144" customFormat="1" ht="18" x14ac:dyDescent="0.25">
      <c r="B16" s="149">
        <f>'DuPont Model'!B16</f>
        <v>2316266.2199999997</v>
      </c>
      <c r="C16" s="143"/>
      <c r="D16" s="142"/>
      <c r="F16" s="145"/>
      <c r="L16" s="146"/>
      <c r="N16" s="146"/>
      <c r="O16" s="146"/>
      <c r="P16" s="146"/>
    </row>
    <row r="19" spans="2:25" s="144" customFormat="1" ht="19.5" customHeight="1" x14ac:dyDescent="0.25">
      <c r="B19" s="142"/>
      <c r="C19" s="143"/>
      <c r="D19" s="142"/>
      <c r="F19" s="150">
        <f>D14-D25</f>
        <v>1769073.3600000003</v>
      </c>
      <c r="L19" s="146"/>
      <c r="N19" s="146"/>
      <c r="O19" s="146"/>
      <c r="P19" s="146"/>
    </row>
    <row r="21" spans="2:25" ht="18" x14ac:dyDescent="0.25">
      <c r="H21" s="151">
        <f>F19-F24</f>
        <v>1755893.0100000002</v>
      </c>
    </row>
    <row r="22" spans="2:25" s="144" customFormat="1" ht="18" x14ac:dyDescent="0.25">
      <c r="B22" s="150">
        <f>'DuPont Model'!B22</f>
        <v>0</v>
      </c>
      <c r="C22" s="143"/>
      <c r="D22" s="142"/>
      <c r="F22" s="145"/>
      <c r="L22" s="146"/>
      <c r="N22" s="146"/>
      <c r="O22" s="146"/>
      <c r="P22" s="146"/>
    </row>
    <row r="24" spans="2:25" s="144" customFormat="1" ht="16.5" customHeight="1" x14ac:dyDescent="0.25">
      <c r="B24" s="142"/>
      <c r="C24" s="143"/>
      <c r="D24" s="142"/>
      <c r="F24" s="150">
        <f>'DuPont Model'!F24</f>
        <v>13180.35</v>
      </c>
      <c r="L24" s="146"/>
      <c r="N24" s="146"/>
      <c r="O24" s="146"/>
      <c r="P24" s="146"/>
    </row>
    <row r="25" spans="2:25" s="144" customFormat="1" ht="18" x14ac:dyDescent="0.25">
      <c r="B25" s="142"/>
      <c r="C25" s="143"/>
      <c r="D25" s="149">
        <f>B22+B27</f>
        <v>0</v>
      </c>
      <c r="F25" s="145"/>
      <c r="J25" s="152">
        <f>H21/H27</f>
        <v>0.42980344121112207</v>
      </c>
      <c r="L25" s="146"/>
      <c r="N25" s="146"/>
      <c r="O25" s="146"/>
      <c r="P25" s="146"/>
    </row>
    <row r="26" spans="2:25" x14ac:dyDescent="0.2">
      <c r="J26" s="143"/>
    </row>
    <row r="27" spans="2:25" s="144" customFormat="1" ht="18" x14ac:dyDescent="0.25">
      <c r="B27" s="149">
        <f>'DuPont Model'!B27</f>
        <v>0</v>
      </c>
      <c r="C27" s="143"/>
      <c r="D27" s="142"/>
      <c r="F27" s="145"/>
      <c r="H27" s="151">
        <f>B11</f>
        <v>4085339.58</v>
      </c>
      <c r="J27" s="143"/>
      <c r="L27" s="146"/>
      <c r="N27" s="146"/>
      <c r="O27" s="146"/>
      <c r="P27" s="146"/>
    </row>
    <row r="28" spans="2:25" x14ac:dyDescent="0.2">
      <c r="J28" s="143"/>
    </row>
    <row r="29" spans="2:25" x14ac:dyDescent="0.2">
      <c r="J29" s="143"/>
      <c r="S29" s="144"/>
      <c r="T29" s="144"/>
      <c r="U29" s="144"/>
      <c r="V29" s="144"/>
      <c r="W29" s="144"/>
    </row>
    <row r="30" spans="2:25" ht="15" x14ac:dyDescent="0.25">
      <c r="J30" s="143"/>
      <c r="L30" s="168">
        <f>J25*J33</f>
        <v>-0.58642901276094539</v>
      </c>
      <c r="S30" s="153"/>
      <c r="T30" s="154"/>
      <c r="U30" s="155"/>
      <c r="V30" s="156"/>
      <c r="W30" s="157"/>
      <c r="X30" s="14"/>
      <c r="Y30" s="14"/>
    </row>
    <row r="31" spans="2:25" ht="15" x14ac:dyDescent="0.25">
      <c r="J31" s="143"/>
      <c r="L31" s="158"/>
      <c r="S31" s="157"/>
      <c r="T31" s="155"/>
      <c r="U31" s="155"/>
      <c r="V31" s="156"/>
      <c r="W31" s="157"/>
      <c r="X31" s="14"/>
      <c r="Y31" s="14"/>
    </row>
    <row r="32" spans="2:25" s="144" customFormat="1" ht="18" x14ac:dyDescent="0.25">
      <c r="B32" s="149">
        <f>'DuPont Model'!B32</f>
        <v>-3640501.2699999996</v>
      </c>
      <c r="C32" s="143"/>
      <c r="D32" s="142"/>
      <c r="F32" s="145"/>
      <c r="J32" s="143"/>
      <c r="L32" s="158"/>
      <c r="N32" s="146"/>
      <c r="O32" s="146"/>
      <c r="P32" s="146"/>
      <c r="S32" s="157"/>
      <c r="T32" s="155"/>
      <c r="U32" s="155"/>
      <c r="V32" s="156"/>
      <c r="W32" s="157"/>
      <c r="X32" s="14"/>
      <c r="Y32" s="14"/>
    </row>
    <row r="33" spans="2:27" s="144" customFormat="1" ht="18" x14ac:dyDescent="0.25">
      <c r="B33" s="142"/>
      <c r="C33" s="143"/>
      <c r="D33" s="142"/>
      <c r="F33" s="150">
        <f>B11</f>
        <v>4085339.58</v>
      </c>
      <c r="J33" s="152">
        <f>F33/F37</f>
        <v>-1.3644120929057146</v>
      </c>
      <c r="L33" s="158"/>
      <c r="N33" s="439">
        <f>L30*L37</f>
        <v>-0.60590839539579866</v>
      </c>
      <c r="O33" s="159"/>
      <c r="P33" s="159"/>
      <c r="S33" s="157"/>
      <c r="T33" s="155"/>
      <c r="U33" s="155"/>
      <c r="V33" s="156"/>
      <c r="W33" s="157"/>
      <c r="X33" s="157"/>
      <c r="Y33" s="157"/>
    </row>
    <row r="34" spans="2:27" s="144" customFormat="1" ht="18" x14ac:dyDescent="0.25">
      <c r="B34" s="142"/>
      <c r="C34" s="143"/>
      <c r="D34" s="149">
        <f>B32+B36+B41</f>
        <v>-2993310.8199999994</v>
      </c>
      <c r="F34" s="145"/>
      <c r="J34" s="143"/>
      <c r="L34" s="158"/>
      <c r="N34" s="146"/>
      <c r="O34" s="146"/>
      <c r="P34" s="146"/>
      <c r="S34" s="157"/>
      <c r="T34" s="160"/>
      <c r="U34" s="160"/>
      <c r="V34" s="156"/>
      <c r="W34" s="157"/>
      <c r="X34" s="157"/>
      <c r="Y34" s="157"/>
      <c r="AA34" s="161"/>
    </row>
    <row r="35" spans="2:27" ht="15" x14ac:dyDescent="0.25">
      <c r="J35" s="143"/>
      <c r="L35" s="158"/>
      <c r="S35" s="157"/>
      <c r="T35" s="160"/>
      <c r="U35" s="162"/>
      <c r="V35" s="162"/>
      <c r="W35" s="157"/>
      <c r="X35" s="157"/>
      <c r="Y35" s="157"/>
    </row>
    <row r="36" spans="2:27" s="144" customFormat="1" ht="18" x14ac:dyDescent="0.25">
      <c r="B36" s="149">
        <f>'DuPont Model'!B36</f>
        <v>215387.65</v>
      </c>
      <c r="C36" s="143"/>
      <c r="D36" s="142"/>
      <c r="F36" s="145"/>
      <c r="L36" s="158"/>
      <c r="N36" s="146"/>
      <c r="O36" s="146"/>
      <c r="P36" s="146"/>
      <c r="S36" s="157"/>
      <c r="T36" s="157"/>
      <c r="U36" s="157"/>
      <c r="V36" s="157"/>
      <c r="W36" s="157"/>
      <c r="X36" s="157"/>
      <c r="Y36" s="157"/>
    </row>
    <row r="37" spans="2:27" s="144" customFormat="1" ht="18" x14ac:dyDescent="0.25">
      <c r="B37" s="142"/>
      <c r="C37" s="143"/>
      <c r="D37" s="142"/>
      <c r="F37" s="150">
        <f>D34+D39</f>
        <v>-2994212.3799999994</v>
      </c>
      <c r="L37" s="163">
        <f>F44/F48</f>
        <v>1.0332169490440848</v>
      </c>
      <c r="N37" s="146"/>
      <c r="O37" s="146"/>
      <c r="P37" s="146"/>
      <c r="S37" s="157"/>
      <c r="T37" s="157"/>
      <c r="U37" s="157"/>
      <c r="V37" s="157"/>
      <c r="W37" s="157"/>
      <c r="X37" s="157"/>
      <c r="Y37" s="157"/>
    </row>
    <row r="38" spans="2:27" ht="15" x14ac:dyDescent="0.25">
      <c r="L38" s="158"/>
      <c r="S38" s="164"/>
      <c r="T38" s="164"/>
      <c r="U38" s="165"/>
      <c r="V38" s="165"/>
      <c r="W38" s="164"/>
      <c r="X38" s="157"/>
      <c r="Y38" s="157"/>
    </row>
    <row r="39" spans="2:27" s="144" customFormat="1" ht="18" x14ac:dyDescent="0.25">
      <c r="B39" s="142"/>
      <c r="C39" s="143"/>
      <c r="D39" s="149">
        <f>'DuPont Model'!D39</f>
        <v>-901.56</v>
      </c>
      <c r="F39" s="145"/>
      <c r="L39" s="158"/>
      <c r="N39" s="146"/>
      <c r="O39" s="146"/>
      <c r="P39" s="146"/>
      <c r="S39" s="153"/>
      <c r="T39" s="155"/>
      <c r="U39" s="155"/>
      <c r="V39" s="156"/>
      <c r="W39" s="156"/>
      <c r="X39" s="157"/>
      <c r="Y39" s="157"/>
    </row>
    <row r="40" spans="2:27" ht="15" x14ac:dyDescent="0.25">
      <c r="L40" s="158"/>
      <c r="S40" s="157"/>
      <c r="T40" s="155"/>
      <c r="U40" s="155"/>
      <c r="V40" s="156"/>
      <c r="W40" s="156"/>
      <c r="X40" s="157"/>
      <c r="Y40" s="157"/>
    </row>
    <row r="41" spans="2:27" s="144" customFormat="1" ht="18" x14ac:dyDescent="0.25">
      <c r="B41" s="149">
        <f>'DuPont Model'!B41</f>
        <v>431802.80000000005</v>
      </c>
      <c r="C41" s="143"/>
      <c r="D41" s="142"/>
      <c r="F41" s="145"/>
      <c r="L41" s="146"/>
      <c r="N41" s="146"/>
      <c r="O41" s="146"/>
      <c r="P41" s="146"/>
      <c r="S41" s="157"/>
      <c r="T41" s="155"/>
      <c r="U41" s="155"/>
      <c r="V41" s="156"/>
      <c r="W41" s="156"/>
      <c r="X41" s="157"/>
      <c r="Y41" s="157"/>
    </row>
    <row r="42" spans="2:27" ht="15" x14ac:dyDescent="0.25">
      <c r="S42" s="157"/>
      <c r="T42" s="155"/>
      <c r="U42" s="155"/>
      <c r="V42" s="156"/>
      <c r="W42" s="156"/>
      <c r="X42" s="157"/>
      <c r="Y42" s="157"/>
    </row>
    <row r="43" spans="2:27" ht="15" x14ac:dyDescent="0.25">
      <c r="S43" s="157"/>
      <c r="T43" s="160"/>
      <c r="U43" s="160"/>
      <c r="V43" s="156"/>
      <c r="W43" s="156"/>
      <c r="X43" s="157"/>
      <c r="Y43" s="157"/>
    </row>
    <row r="44" spans="2:27" s="144" customFormat="1" ht="18" x14ac:dyDescent="0.25">
      <c r="B44" s="142"/>
      <c r="C44" s="143"/>
      <c r="D44" s="142"/>
      <c r="F44" s="150">
        <f>D46</f>
        <v>-2994212.3799999994</v>
      </c>
      <c r="L44" s="146"/>
      <c r="N44" s="146"/>
      <c r="O44" s="146"/>
      <c r="P44" s="146"/>
      <c r="S44" s="157"/>
      <c r="T44" s="160"/>
      <c r="U44" s="160"/>
      <c r="V44" s="156"/>
      <c r="W44" s="156"/>
      <c r="X44" s="157"/>
      <c r="Y44" s="157"/>
    </row>
    <row r="45" spans="2:27" ht="15" x14ac:dyDescent="0.25">
      <c r="S45" s="157"/>
      <c r="T45" s="160"/>
      <c r="U45" s="160"/>
      <c r="V45" s="156"/>
      <c r="W45" s="156"/>
      <c r="X45" s="157"/>
      <c r="Y45" s="157"/>
    </row>
    <row r="46" spans="2:27" s="144" customFormat="1" ht="18" x14ac:dyDescent="0.25">
      <c r="B46" s="142"/>
      <c r="C46" s="143"/>
      <c r="D46" s="149">
        <f>F37</f>
        <v>-2994212.3799999994</v>
      </c>
      <c r="F46" s="145"/>
      <c r="L46" s="146"/>
      <c r="N46" s="146"/>
      <c r="O46" s="146"/>
      <c r="P46" s="146"/>
      <c r="S46" s="157"/>
      <c r="T46" s="157"/>
      <c r="U46" s="157"/>
      <c r="V46" s="166"/>
      <c r="W46" s="157"/>
      <c r="X46" s="157"/>
      <c r="Y46" s="157"/>
    </row>
    <row r="47" spans="2:27" ht="22.5" customHeight="1" x14ac:dyDescent="0.25">
      <c r="B47" s="149">
        <f>'DuPont Model'!B47</f>
        <v>-96261.099999999948</v>
      </c>
      <c r="S47" s="157"/>
      <c r="T47" s="157"/>
      <c r="U47" s="157"/>
      <c r="V47" s="157"/>
      <c r="W47" s="157"/>
      <c r="X47" s="157"/>
      <c r="Y47" s="157"/>
    </row>
    <row r="48" spans="2:27" s="144" customFormat="1" ht="18" x14ac:dyDescent="0.25">
      <c r="B48" s="142"/>
      <c r="C48" s="143"/>
      <c r="D48" s="142"/>
      <c r="F48" s="150">
        <f>D46-D50</f>
        <v>-2897951.2799999993</v>
      </c>
      <c r="L48" s="146"/>
      <c r="N48" s="146"/>
      <c r="O48" s="146"/>
      <c r="P48" s="146"/>
      <c r="S48" s="164"/>
      <c r="T48" s="164"/>
      <c r="U48" s="165"/>
      <c r="V48" s="165"/>
      <c r="W48" s="165"/>
      <c r="X48" s="165"/>
      <c r="Y48" s="164"/>
    </row>
    <row r="49" spans="2:25" ht="15" x14ac:dyDescent="0.25">
      <c r="S49" s="153"/>
      <c r="T49" s="155"/>
      <c r="U49" s="156"/>
      <c r="V49" s="156"/>
      <c r="W49" s="167"/>
      <c r="X49" s="156"/>
      <c r="Y49" s="156"/>
    </row>
    <row r="50" spans="2:25" s="144" customFormat="1" ht="18" x14ac:dyDescent="0.25">
      <c r="B50" s="142"/>
      <c r="C50" s="143"/>
      <c r="D50" s="149">
        <f>B47+B52</f>
        <v>-96261.099999999948</v>
      </c>
      <c r="F50" s="145"/>
      <c r="L50" s="146"/>
      <c r="N50" s="146"/>
      <c r="O50" s="146"/>
      <c r="P50" s="146"/>
      <c r="S50" s="157"/>
      <c r="T50" s="160"/>
      <c r="U50" s="156"/>
      <c r="V50" s="156"/>
      <c r="W50" s="167"/>
      <c r="X50" s="156"/>
      <c r="Y50" s="156"/>
    </row>
    <row r="51" spans="2:25" ht="15" customHeight="1" x14ac:dyDescent="0.25">
      <c r="S51" s="157"/>
      <c r="T51" s="160"/>
      <c r="U51" s="156"/>
      <c r="V51" s="156"/>
      <c r="W51" s="167"/>
      <c r="X51" s="156"/>
      <c r="Y51" s="156"/>
    </row>
    <row r="52" spans="2:25" s="144" customFormat="1" ht="17.25" customHeight="1" x14ac:dyDescent="0.25">
      <c r="B52" s="149">
        <f>'DuPont Model'!B52</f>
        <v>0</v>
      </c>
      <c r="C52" s="143"/>
      <c r="D52" s="142"/>
      <c r="F52" s="145"/>
      <c r="L52" s="146"/>
      <c r="N52" s="146"/>
      <c r="O52" s="146"/>
      <c r="P52" s="146"/>
      <c r="S52" s="157"/>
      <c r="T52" s="160"/>
      <c r="U52" s="156"/>
      <c r="V52" s="156"/>
      <c r="W52" s="167"/>
      <c r="X52" s="156"/>
      <c r="Y52" s="156"/>
    </row>
  </sheetData>
  <mergeCells count="1">
    <mergeCell ref="F5:J7"/>
  </mergeCells>
  <pageMargins left="0.7" right="0.7" top="0.75" bottom="0.75" header="0.3" footer="0.3"/>
  <pageSetup scale="62" fitToWidth="2" orientation="landscape" r:id="rId1"/>
  <headerFooter>
    <oddFoote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4:O47"/>
  <sheetViews>
    <sheetView showGridLines="0" zoomScale="82" zoomScaleNormal="82" workbookViewId="0">
      <selection activeCell="F9" sqref="F9:H9"/>
    </sheetView>
  </sheetViews>
  <sheetFormatPr defaultRowHeight="18.75" x14ac:dyDescent="0.25"/>
  <cols>
    <col min="1" max="1" width="2" style="14" customWidth="1"/>
    <col min="2" max="2" width="6.85546875" style="189" customWidth="1"/>
    <col min="3" max="3" width="5.5703125" style="185" customWidth="1"/>
    <col min="4" max="4" width="66" style="185" customWidth="1"/>
    <col min="5" max="5" width="2.7109375" style="185" customWidth="1"/>
    <col min="6" max="6" width="2.7109375" style="188" customWidth="1"/>
    <col min="7" max="7" width="13.140625" style="188" customWidth="1"/>
    <col min="8" max="8" width="35.140625" style="185" customWidth="1"/>
    <col min="9" max="9" width="11" style="191" bestFit="1" customWidth="1"/>
    <col min="10" max="10" width="8.42578125" style="195" customWidth="1"/>
    <col min="11" max="11" width="13" style="222" customWidth="1"/>
    <col min="12" max="12" width="8.85546875" style="185" customWidth="1"/>
    <col min="13" max="13" width="46.85546875" style="14" customWidth="1"/>
    <col min="14" max="14" width="21" style="14" customWidth="1"/>
    <col min="15" max="15" width="100.7109375" style="185" customWidth="1"/>
    <col min="16" max="256" width="9.140625" style="14"/>
    <col min="257" max="257" width="2" style="14" customWidth="1"/>
    <col min="258" max="258" width="6.85546875" style="14" customWidth="1"/>
    <col min="259" max="259" width="5.5703125" style="14" customWidth="1"/>
    <col min="260" max="260" width="66" style="14" customWidth="1"/>
    <col min="261" max="262" width="2.7109375" style="14" customWidth="1"/>
    <col min="263" max="263" width="13.140625" style="14" customWidth="1"/>
    <col min="264" max="264" width="35.140625" style="14" customWidth="1"/>
    <col min="265" max="265" width="11" style="14" bestFit="1" customWidth="1"/>
    <col min="266" max="266" width="8.42578125" style="14" customWidth="1"/>
    <col min="267" max="267" width="13" style="14" customWidth="1"/>
    <col min="268" max="268" width="40.140625" style="14" customWidth="1"/>
    <col min="269" max="269" width="46.85546875" style="14" customWidth="1"/>
    <col min="270" max="270" width="21" style="14" customWidth="1"/>
    <col min="271" max="271" width="100.7109375" style="14" customWidth="1"/>
    <col min="272" max="512" width="9.140625" style="14"/>
    <col min="513" max="513" width="2" style="14" customWidth="1"/>
    <col min="514" max="514" width="6.85546875" style="14" customWidth="1"/>
    <col min="515" max="515" width="5.5703125" style="14" customWidth="1"/>
    <col min="516" max="516" width="66" style="14" customWidth="1"/>
    <col min="517" max="518" width="2.7109375" style="14" customWidth="1"/>
    <col min="519" max="519" width="13.140625" style="14" customWidth="1"/>
    <col min="520" max="520" width="35.140625" style="14" customWidth="1"/>
    <col min="521" max="521" width="11" style="14" bestFit="1" customWidth="1"/>
    <col min="522" max="522" width="8.42578125" style="14" customWidth="1"/>
    <col min="523" max="523" width="13" style="14" customWidth="1"/>
    <col min="524" max="524" width="40.140625" style="14" customWidth="1"/>
    <col min="525" max="525" width="46.85546875" style="14" customWidth="1"/>
    <col min="526" max="526" width="21" style="14" customWidth="1"/>
    <col min="527" max="527" width="100.7109375" style="14" customWidth="1"/>
    <col min="528" max="768" width="9.140625" style="14"/>
    <col min="769" max="769" width="2" style="14" customWidth="1"/>
    <col min="770" max="770" width="6.85546875" style="14" customWidth="1"/>
    <col min="771" max="771" width="5.5703125" style="14" customWidth="1"/>
    <col min="772" max="772" width="66" style="14" customWidth="1"/>
    <col min="773" max="774" width="2.7109375" style="14" customWidth="1"/>
    <col min="775" max="775" width="13.140625" style="14" customWidth="1"/>
    <col min="776" max="776" width="35.140625" style="14" customWidth="1"/>
    <col min="777" max="777" width="11" style="14" bestFit="1" customWidth="1"/>
    <col min="778" max="778" width="8.42578125" style="14" customWidth="1"/>
    <col min="779" max="779" width="13" style="14" customWidth="1"/>
    <col min="780" max="780" width="40.140625" style="14" customWidth="1"/>
    <col min="781" max="781" width="46.85546875" style="14" customWidth="1"/>
    <col min="782" max="782" width="21" style="14" customWidth="1"/>
    <col min="783" max="783" width="100.7109375" style="14" customWidth="1"/>
    <col min="784" max="1024" width="9.140625" style="14"/>
    <col min="1025" max="1025" width="2" style="14" customWidth="1"/>
    <col min="1026" max="1026" width="6.85546875" style="14" customWidth="1"/>
    <col min="1027" max="1027" width="5.5703125" style="14" customWidth="1"/>
    <col min="1028" max="1028" width="66" style="14" customWidth="1"/>
    <col min="1029" max="1030" width="2.7109375" style="14" customWidth="1"/>
    <col min="1031" max="1031" width="13.140625" style="14" customWidth="1"/>
    <col min="1032" max="1032" width="35.140625" style="14" customWidth="1"/>
    <col min="1033" max="1033" width="11" style="14" bestFit="1" customWidth="1"/>
    <col min="1034" max="1034" width="8.42578125" style="14" customWidth="1"/>
    <col min="1035" max="1035" width="13" style="14" customWidth="1"/>
    <col min="1036" max="1036" width="40.140625" style="14" customWidth="1"/>
    <col min="1037" max="1037" width="46.85546875" style="14" customWidth="1"/>
    <col min="1038" max="1038" width="21" style="14" customWidth="1"/>
    <col min="1039" max="1039" width="100.7109375" style="14" customWidth="1"/>
    <col min="1040" max="1280" width="9.140625" style="14"/>
    <col min="1281" max="1281" width="2" style="14" customWidth="1"/>
    <col min="1282" max="1282" width="6.85546875" style="14" customWidth="1"/>
    <col min="1283" max="1283" width="5.5703125" style="14" customWidth="1"/>
    <col min="1284" max="1284" width="66" style="14" customWidth="1"/>
    <col min="1285" max="1286" width="2.7109375" style="14" customWidth="1"/>
    <col min="1287" max="1287" width="13.140625" style="14" customWidth="1"/>
    <col min="1288" max="1288" width="35.140625" style="14" customWidth="1"/>
    <col min="1289" max="1289" width="11" style="14" bestFit="1" customWidth="1"/>
    <col min="1290" max="1290" width="8.42578125" style="14" customWidth="1"/>
    <col min="1291" max="1291" width="13" style="14" customWidth="1"/>
    <col min="1292" max="1292" width="40.140625" style="14" customWidth="1"/>
    <col min="1293" max="1293" width="46.85546875" style="14" customWidth="1"/>
    <col min="1294" max="1294" width="21" style="14" customWidth="1"/>
    <col min="1295" max="1295" width="100.7109375" style="14" customWidth="1"/>
    <col min="1296" max="1536" width="9.140625" style="14"/>
    <col min="1537" max="1537" width="2" style="14" customWidth="1"/>
    <col min="1538" max="1538" width="6.85546875" style="14" customWidth="1"/>
    <col min="1539" max="1539" width="5.5703125" style="14" customWidth="1"/>
    <col min="1540" max="1540" width="66" style="14" customWidth="1"/>
    <col min="1541" max="1542" width="2.7109375" style="14" customWidth="1"/>
    <col min="1543" max="1543" width="13.140625" style="14" customWidth="1"/>
    <col min="1544" max="1544" width="35.140625" style="14" customWidth="1"/>
    <col min="1545" max="1545" width="11" style="14" bestFit="1" customWidth="1"/>
    <col min="1546" max="1546" width="8.42578125" style="14" customWidth="1"/>
    <col min="1547" max="1547" width="13" style="14" customWidth="1"/>
    <col min="1548" max="1548" width="40.140625" style="14" customWidth="1"/>
    <col min="1549" max="1549" width="46.85546875" style="14" customWidth="1"/>
    <col min="1550" max="1550" width="21" style="14" customWidth="1"/>
    <col min="1551" max="1551" width="100.7109375" style="14" customWidth="1"/>
    <col min="1552" max="1792" width="9.140625" style="14"/>
    <col min="1793" max="1793" width="2" style="14" customWidth="1"/>
    <col min="1794" max="1794" width="6.85546875" style="14" customWidth="1"/>
    <col min="1795" max="1795" width="5.5703125" style="14" customWidth="1"/>
    <col min="1796" max="1796" width="66" style="14" customWidth="1"/>
    <col min="1797" max="1798" width="2.7109375" style="14" customWidth="1"/>
    <col min="1799" max="1799" width="13.140625" style="14" customWidth="1"/>
    <col min="1800" max="1800" width="35.140625" style="14" customWidth="1"/>
    <col min="1801" max="1801" width="11" style="14" bestFit="1" customWidth="1"/>
    <col min="1802" max="1802" width="8.42578125" style="14" customWidth="1"/>
    <col min="1803" max="1803" width="13" style="14" customWidth="1"/>
    <col min="1804" max="1804" width="40.140625" style="14" customWidth="1"/>
    <col min="1805" max="1805" width="46.85546875" style="14" customWidth="1"/>
    <col min="1806" max="1806" width="21" style="14" customWidth="1"/>
    <col min="1807" max="1807" width="100.7109375" style="14" customWidth="1"/>
    <col min="1808" max="2048" width="9.140625" style="14"/>
    <col min="2049" max="2049" width="2" style="14" customWidth="1"/>
    <col min="2050" max="2050" width="6.85546875" style="14" customWidth="1"/>
    <col min="2051" max="2051" width="5.5703125" style="14" customWidth="1"/>
    <col min="2052" max="2052" width="66" style="14" customWidth="1"/>
    <col min="2053" max="2054" width="2.7109375" style="14" customWidth="1"/>
    <col min="2055" max="2055" width="13.140625" style="14" customWidth="1"/>
    <col min="2056" max="2056" width="35.140625" style="14" customWidth="1"/>
    <col min="2057" max="2057" width="11" style="14" bestFit="1" customWidth="1"/>
    <col min="2058" max="2058" width="8.42578125" style="14" customWidth="1"/>
    <col min="2059" max="2059" width="13" style="14" customWidth="1"/>
    <col min="2060" max="2060" width="40.140625" style="14" customWidth="1"/>
    <col min="2061" max="2061" width="46.85546875" style="14" customWidth="1"/>
    <col min="2062" max="2062" width="21" style="14" customWidth="1"/>
    <col min="2063" max="2063" width="100.7109375" style="14" customWidth="1"/>
    <col min="2064" max="2304" width="9.140625" style="14"/>
    <col min="2305" max="2305" width="2" style="14" customWidth="1"/>
    <col min="2306" max="2306" width="6.85546875" style="14" customWidth="1"/>
    <col min="2307" max="2307" width="5.5703125" style="14" customWidth="1"/>
    <col min="2308" max="2308" width="66" style="14" customWidth="1"/>
    <col min="2309" max="2310" width="2.7109375" style="14" customWidth="1"/>
    <col min="2311" max="2311" width="13.140625" style="14" customWidth="1"/>
    <col min="2312" max="2312" width="35.140625" style="14" customWidth="1"/>
    <col min="2313" max="2313" width="11" style="14" bestFit="1" customWidth="1"/>
    <col min="2314" max="2314" width="8.42578125" style="14" customWidth="1"/>
    <col min="2315" max="2315" width="13" style="14" customWidth="1"/>
    <col min="2316" max="2316" width="40.140625" style="14" customWidth="1"/>
    <col min="2317" max="2317" width="46.85546875" style="14" customWidth="1"/>
    <col min="2318" max="2318" width="21" style="14" customWidth="1"/>
    <col min="2319" max="2319" width="100.7109375" style="14" customWidth="1"/>
    <col min="2320" max="2560" width="9.140625" style="14"/>
    <col min="2561" max="2561" width="2" style="14" customWidth="1"/>
    <col min="2562" max="2562" width="6.85546875" style="14" customWidth="1"/>
    <col min="2563" max="2563" width="5.5703125" style="14" customWidth="1"/>
    <col min="2564" max="2564" width="66" style="14" customWidth="1"/>
    <col min="2565" max="2566" width="2.7109375" style="14" customWidth="1"/>
    <col min="2567" max="2567" width="13.140625" style="14" customWidth="1"/>
    <col min="2568" max="2568" width="35.140625" style="14" customWidth="1"/>
    <col min="2569" max="2569" width="11" style="14" bestFit="1" customWidth="1"/>
    <col min="2570" max="2570" width="8.42578125" style="14" customWidth="1"/>
    <col min="2571" max="2571" width="13" style="14" customWidth="1"/>
    <col min="2572" max="2572" width="40.140625" style="14" customWidth="1"/>
    <col min="2573" max="2573" width="46.85546875" style="14" customWidth="1"/>
    <col min="2574" max="2574" width="21" style="14" customWidth="1"/>
    <col min="2575" max="2575" width="100.7109375" style="14" customWidth="1"/>
    <col min="2576" max="2816" width="9.140625" style="14"/>
    <col min="2817" max="2817" width="2" style="14" customWidth="1"/>
    <col min="2818" max="2818" width="6.85546875" style="14" customWidth="1"/>
    <col min="2819" max="2819" width="5.5703125" style="14" customWidth="1"/>
    <col min="2820" max="2820" width="66" style="14" customWidth="1"/>
    <col min="2821" max="2822" width="2.7109375" style="14" customWidth="1"/>
    <col min="2823" max="2823" width="13.140625" style="14" customWidth="1"/>
    <col min="2824" max="2824" width="35.140625" style="14" customWidth="1"/>
    <col min="2825" max="2825" width="11" style="14" bestFit="1" customWidth="1"/>
    <col min="2826" max="2826" width="8.42578125" style="14" customWidth="1"/>
    <col min="2827" max="2827" width="13" style="14" customWidth="1"/>
    <col min="2828" max="2828" width="40.140625" style="14" customWidth="1"/>
    <col min="2829" max="2829" width="46.85546875" style="14" customWidth="1"/>
    <col min="2830" max="2830" width="21" style="14" customWidth="1"/>
    <col min="2831" max="2831" width="100.7109375" style="14" customWidth="1"/>
    <col min="2832" max="3072" width="9.140625" style="14"/>
    <col min="3073" max="3073" width="2" style="14" customWidth="1"/>
    <col min="3074" max="3074" width="6.85546875" style="14" customWidth="1"/>
    <col min="3075" max="3075" width="5.5703125" style="14" customWidth="1"/>
    <col min="3076" max="3076" width="66" style="14" customWidth="1"/>
    <col min="3077" max="3078" width="2.7109375" style="14" customWidth="1"/>
    <col min="3079" max="3079" width="13.140625" style="14" customWidth="1"/>
    <col min="3080" max="3080" width="35.140625" style="14" customWidth="1"/>
    <col min="3081" max="3081" width="11" style="14" bestFit="1" customWidth="1"/>
    <col min="3082" max="3082" width="8.42578125" style="14" customWidth="1"/>
    <col min="3083" max="3083" width="13" style="14" customWidth="1"/>
    <col min="3084" max="3084" width="40.140625" style="14" customWidth="1"/>
    <col min="3085" max="3085" width="46.85546875" style="14" customWidth="1"/>
    <col min="3086" max="3086" width="21" style="14" customWidth="1"/>
    <col min="3087" max="3087" width="100.7109375" style="14" customWidth="1"/>
    <col min="3088" max="3328" width="9.140625" style="14"/>
    <col min="3329" max="3329" width="2" style="14" customWidth="1"/>
    <col min="3330" max="3330" width="6.85546875" style="14" customWidth="1"/>
    <col min="3331" max="3331" width="5.5703125" style="14" customWidth="1"/>
    <col min="3332" max="3332" width="66" style="14" customWidth="1"/>
    <col min="3333" max="3334" width="2.7109375" style="14" customWidth="1"/>
    <col min="3335" max="3335" width="13.140625" style="14" customWidth="1"/>
    <col min="3336" max="3336" width="35.140625" style="14" customWidth="1"/>
    <col min="3337" max="3337" width="11" style="14" bestFit="1" customWidth="1"/>
    <col min="3338" max="3338" width="8.42578125" style="14" customWidth="1"/>
    <col min="3339" max="3339" width="13" style="14" customWidth="1"/>
    <col min="3340" max="3340" width="40.140625" style="14" customWidth="1"/>
    <col min="3341" max="3341" width="46.85546875" style="14" customWidth="1"/>
    <col min="3342" max="3342" width="21" style="14" customWidth="1"/>
    <col min="3343" max="3343" width="100.7109375" style="14" customWidth="1"/>
    <col min="3344" max="3584" width="9.140625" style="14"/>
    <col min="3585" max="3585" width="2" style="14" customWidth="1"/>
    <col min="3586" max="3586" width="6.85546875" style="14" customWidth="1"/>
    <col min="3587" max="3587" width="5.5703125" style="14" customWidth="1"/>
    <col min="3588" max="3588" width="66" style="14" customWidth="1"/>
    <col min="3589" max="3590" width="2.7109375" style="14" customWidth="1"/>
    <col min="3591" max="3591" width="13.140625" style="14" customWidth="1"/>
    <col min="3592" max="3592" width="35.140625" style="14" customWidth="1"/>
    <col min="3593" max="3593" width="11" style="14" bestFit="1" customWidth="1"/>
    <col min="3594" max="3594" width="8.42578125" style="14" customWidth="1"/>
    <col min="3595" max="3595" width="13" style="14" customWidth="1"/>
    <col min="3596" max="3596" width="40.140625" style="14" customWidth="1"/>
    <col min="3597" max="3597" width="46.85546875" style="14" customWidth="1"/>
    <col min="3598" max="3598" width="21" style="14" customWidth="1"/>
    <col min="3599" max="3599" width="100.7109375" style="14" customWidth="1"/>
    <col min="3600" max="3840" width="9.140625" style="14"/>
    <col min="3841" max="3841" width="2" style="14" customWidth="1"/>
    <col min="3842" max="3842" width="6.85546875" style="14" customWidth="1"/>
    <col min="3843" max="3843" width="5.5703125" style="14" customWidth="1"/>
    <col min="3844" max="3844" width="66" style="14" customWidth="1"/>
    <col min="3845" max="3846" width="2.7109375" style="14" customWidth="1"/>
    <col min="3847" max="3847" width="13.140625" style="14" customWidth="1"/>
    <col min="3848" max="3848" width="35.140625" style="14" customWidth="1"/>
    <col min="3849" max="3849" width="11" style="14" bestFit="1" customWidth="1"/>
    <col min="3850" max="3850" width="8.42578125" style="14" customWidth="1"/>
    <col min="3851" max="3851" width="13" style="14" customWidth="1"/>
    <col min="3852" max="3852" width="40.140625" style="14" customWidth="1"/>
    <col min="3853" max="3853" width="46.85546875" style="14" customWidth="1"/>
    <col min="3854" max="3854" width="21" style="14" customWidth="1"/>
    <col min="3855" max="3855" width="100.7109375" style="14" customWidth="1"/>
    <col min="3856" max="4096" width="9.140625" style="14"/>
    <col min="4097" max="4097" width="2" style="14" customWidth="1"/>
    <col min="4098" max="4098" width="6.85546875" style="14" customWidth="1"/>
    <col min="4099" max="4099" width="5.5703125" style="14" customWidth="1"/>
    <col min="4100" max="4100" width="66" style="14" customWidth="1"/>
    <col min="4101" max="4102" width="2.7109375" style="14" customWidth="1"/>
    <col min="4103" max="4103" width="13.140625" style="14" customWidth="1"/>
    <col min="4104" max="4104" width="35.140625" style="14" customWidth="1"/>
    <col min="4105" max="4105" width="11" style="14" bestFit="1" customWidth="1"/>
    <col min="4106" max="4106" width="8.42578125" style="14" customWidth="1"/>
    <col min="4107" max="4107" width="13" style="14" customWidth="1"/>
    <col min="4108" max="4108" width="40.140625" style="14" customWidth="1"/>
    <col min="4109" max="4109" width="46.85546875" style="14" customWidth="1"/>
    <col min="4110" max="4110" width="21" style="14" customWidth="1"/>
    <col min="4111" max="4111" width="100.7109375" style="14" customWidth="1"/>
    <col min="4112" max="4352" width="9.140625" style="14"/>
    <col min="4353" max="4353" width="2" style="14" customWidth="1"/>
    <col min="4354" max="4354" width="6.85546875" style="14" customWidth="1"/>
    <col min="4355" max="4355" width="5.5703125" style="14" customWidth="1"/>
    <col min="4356" max="4356" width="66" style="14" customWidth="1"/>
    <col min="4357" max="4358" width="2.7109375" style="14" customWidth="1"/>
    <col min="4359" max="4359" width="13.140625" style="14" customWidth="1"/>
    <col min="4360" max="4360" width="35.140625" style="14" customWidth="1"/>
    <col min="4361" max="4361" width="11" style="14" bestFit="1" customWidth="1"/>
    <col min="4362" max="4362" width="8.42578125" style="14" customWidth="1"/>
    <col min="4363" max="4363" width="13" style="14" customWidth="1"/>
    <col min="4364" max="4364" width="40.140625" style="14" customWidth="1"/>
    <col min="4365" max="4365" width="46.85546875" style="14" customWidth="1"/>
    <col min="4366" max="4366" width="21" style="14" customWidth="1"/>
    <col min="4367" max="4367" width="100.7109375" style="14" customWidth="1"/>
    <col min="4368" max="4608" width="9.140625" style="14"/>
    <col min="4609" max="4609" width="2" style="14" customWidth="1"/>
    <col min="4610" max="4610" width="6.85546875" style="14" customWidth="1"/>
    <col min="4611" max="4611" width="5.5703125" style="14" customWidth="1"/>
    <col min="4612" max="4612" width="66" style="14" customWidth="1"/>
    <col min="4613" max="4614" width="2.7109375" style="14" customWidth="1"/>
    <col min="4615" max="4615" width="13.140625" style="14" customWidth="1"/>
    <col min="4616" max="4616" width="35.140625" style="14" customWidth="1"/>
    <col min="4617" max="4617" width="11" style="14" bestFit="1" customWidth="1"/>
    <col min="4618" max="4618" width="8.42578125" style="14" customWidth="1"/>
    <col min="4619" max="4619" width="13" style="14" customWidth="1"/>
    <col min="4620" max="4620" width="40.140625" style="14" customWidth="1"/>
    <col min="4621" max="4621" width="46.85546875" style="14" customWidth="1"/>
    <col min="4622" max="4622" width="21" style="14" customWidth="1"/>
    <col min="4623" max="4623" width="100.7109375" style="14" customWidth="1"/>
    <col min="4624" max="4864" width="9.140625" style="14"/>
    <col min="4865" max="4865" width="2" style="14" customWidth="1"/>
    <col min="4866" max="4866" width="6.85546875" style="14" customWidth="1"/>
    <col min="4867" max="4867" width="5.5703125" style="14" customWidth="1"/>
    <col min="4868" max="4868" width="66" style="14" customWidth="1"/>
    <col min="4869" max="4870" width="2.7109375" style="14" customWidth="1"/>
    <col min="4871" max="4871" width="13.140625" style="14" customWidth="1"/>
    <col min="4872" max="4872" width="35.140625" style="14" customWidth="1"/>
    <col min="4873" max="4873" width="11" style="14" bestFit="1" customWidth="1"/>
    <col min="4874" max="4874" width="8.42578125" style="14" customWidth="1"/>
    <col min="4875" max="4875" width="13" style="14" customWidth="1"/>
    <col min="4876" max="4876" width="40.140625" style="14" customWidth="1"/>
    <col min="4877" max="4877" width="46.85546875" style="14" customWidth="1"/>
    <col min="4878" max="4878" width="21" style="14" customWidth="1"/>
    <col min="4879" max="4879" width="100.7109375" style="14" customWidth="1"/>
    <col min="4880" max="5120" width="9.140625" style="14"/>
    <col min="5121" max="5121" width="2" style="14" customWidth="1"/>
    <col min="5122" max="5122" width="6.85546875" style="14" customWidth="1"/>
    <col min="5123" max="5123" width="5.5703125" style="14" customWidth="1"/>
    <col min="5124" max="5124" width="66" style="14" customWidth="1"/>
    <col min="5125" max="5126" width="2.7109375" style="14" customWidth="1"/>
    <col min="5127" max="5127" width="13.140625" style="14" customWidth="1"/>
    <col min="5128" max="5128" width="35.140625" style="14" customWidth="1"/>
    <col min="5129" max="5129" width="11" style="14" bestFit="1" customWidth="1"/>
    <col min="5130" max="5130" width="8.42578125" style="14" customWidth="1"/>
    <col min="5131" max="5131" width="13" style="14" customWidth="1"/>
    <col min="5132" max="5132" width="40.140625" style="14" customWidth="1"/>
    <col min="5133" max="5133" width="46.85546875" style="14" customWidth="1"/>
    <col min="5134" max="5134" width="21" style="14" customWidth="1"/>
    <col min="5135" max="5135" width="100.7109375" style="14" customWidth="1"/>
    <col min="5136" max="5376" width="9.140625" style="14"/>
    <col min="5377" max="5377" width="2" style="14" customWidth="1"/>
    <col min="5378" max="5378" width="6.85546875" style="14" customWidth="1"/>
    <col min="5379" max="5379" width="5.5703125" style="14" customWidth="1"/>
    <col min="5380" max="5380" width="66" style="14" customWidth="1"/>
    <col min="5381" max="5382" width="2.7109375" style="14" customWidth="1"/>
    <col min="5383" max="5383" width="13.140625" style="14" customWidth="1"/>
    <col min="5384" max="5384" width="35.140625" style="14" customWidth="1"/>
    <col min="5385" max="5385" width="11" style="14" bestFit="1" customWidth="1"/>
    <col min="5386" max="5386" width="8.42578125" style="14" customWidth="1"/>
    <col min="5387" max="5387" width="13" style="14" customWidth="1"/>
    <col min="5388" max="5388" width="40.140625" style="14" customWidth="1"/>
    <col min="5389" max="5389" width="46.85546875" style="14" customWidth="1"/>
    <col min="5390" max="5390" width="21" style="14" customWidth="1"/>
    <col min="5391" max="5391" width="100.7109375" style="14" customWidth="1"/>
    <col min="5392" max="5632" width="9.140625" style="14"/>
    <col min="5633" max="5633" width="2" style="14" customWidth="1"/>
    <col min="5634" max="5634" width="6.85546875" style="14" customWidth="1"/>
    <col min="5635" max="5635" width="5.5703125" style="14" customWidth="1"/>
    <col min="5636" max="5636" width="66" style="14" customWidth="1"/>
    <col min="5637" max="5638" width="2.7109375" style="14" customWidth="1"/>
    <col min="5639" max="5639" width="13.140625" style="14" customWidth="1"/>
    <col min="5640" max="5640" width="35.140625" style="14" customWidth="1"/>
    <col min="5641" max="5641" width="11" style="14" bestFit="1" customWidth="1"/>
    <col min="5642" max="5642" width="8.42578125" style="14" customWidth="1"/>
    <col min="5643" max="5643" width="13" style="14" customWidth="1"/>
    <col min="5644" max="5644" width="40.140625" style="14" customWidth="1"/>
    <col min="5645" max="5645" width="46.85546875" style="14" customWidth="1"/>
    <col min="5646" max="5646" width="21" style="14" customWidth="1"/>
    <col min="5647" max="5647" width="100.7109375" style="14" customWidth="1"/>
    <col min="5648" max="5888" width="9.140625" style="14"/>
    <col min="5889" max="5889" width="2" style="14" customWidth="1"/>
    <col min="5890" max="5890" width="6.85546875" style="14" customWidth="1"/>
    <col min="5891" max="5891" width="5.5703125" style="14" customWidth="1"/>
    <col min="5892" max="5892" width="66" style="14" customWidth="1"/>
    <col min="5893" max="5894" width="2.7109375" style="14" customWidth="1"/>
    <col min="5895" max="5895" width="13.140625" style="14" customWidth="1"/>
    <col min="5896" max="5896" width="35.140625" style="14" customWidth="1"/>
    <col min="5897" max="5897" width="11" style="14" bestFit="1" customWidth="1"/>
    <col min="5898" max="5898" width="8.42578125" style="14" customWidth="1"/>
    <col min="5899" max="5899" width="13" style="14" customWidth="1"/>
    <col min="5900" max="5900" width="40.140625" style="14" customWidth="1"/>
    <col min="5901" max="5901" width="46.85546875" style="14" customWidth="1"/>
    <col min="5902" max="5902" width="21" style="14" customWidth="1"/>
    <col min="5903" max="5903" width="100.7109375" style="14" customWidth="1"/>
    <col min="5904" max="6144" width="9.140625" style="14"/>
    <col min="6145" max="6145" width="2" style="14" customWidth="1"/>
    <col min="6146" max="6146" width="6.85546875" style="14" customWidth="1"/>
    <col min="6147" max="6147" width="5.5703125" style="14" customWidth="1"/>
    <col min="6148" max="6148" width="66" style="14" customWidth="1"/>
    <col min="6149" max="6150" width="2.7109375" style="14" customWidth="1"/>
    <col min="6151" max="6151" width="13.140625" style="14" customWidth="1"/>
    <col min="6152" max="6152" width="35.140625" style="14" customWidth="1"/>
    <col min="6153" max="6153" width="11" style="14" bestFit="1" customWidth="1"/>
    <col min="6154" max="6154" width="8.42578125" style="14" customWidth="1"/>
    <col min="6155" max="6155" width="13" style="14" customWidth="1"/>
    <col min="6156" max="6156" width="40.140625" style="14" customWidth="1"/>
    <col min="6157" max="6157" width="46.85546875" style="14" customWidth="1"/>
    <col min="6158" max="6158" width="21" style="14" customWidth="1"/>
    <col min="6159" max="6159" width="100.7109375" style="14" customWidth="1"/>
    <col min="6160" max="6400" width="9.140625" style="14"/>
    <col min="6401" max="6401" width="2" style="14" customWidth="1"/>
    <col min="6402" max="6402" width="6.85546875" style="14" customWidth="1"/>
    <col min="6403" max="6403" width="5.5703125" style="14" customWidth="1"/>
    <col min="6404" max="6404" width="66" style="14" customWidth="1"/>
    <col min="6405" max="6406" width="2.7109375" style="14" customWidth="1"/>
    <col min="6407" max="6407" width="13.140625" style="14" customWidth="1"/>
    <col min="6408" max="6408" width="35.140625" style="14" customWidth="1"/>
    <col min="6409" max="6409" width="11" style="14" bestFit="1" customWidth="1"/>
    <col min="6410" max="6410" width="8.42578125" style="14" customWidth="1"/>
    <col min="6411" max="6411" width="13" style="14" customWidth="1"/>
    <col min="6412" max="6412" width="40.140625" style="14" customWidth="1"/>
    <col min="6413" max="6413" width="46.85546875" style="14" customWidth="1"/>
    <col min="6414" max="6414" width="21" style="14" customWidth="1"/>
    <col min="6415" max="6415" width="100.7109375" style="14" customWidth="1"/>
    <col min="6416" max="6656" width="9.140625" style="14"/>
    <col min="6657" max="6657" width="2" style="14" customWidth="1"/>
    <col min="6658" max="6658" width="6.85546875" style="14" customWidth="1"/>
    <col min="6659" max="6659" width="5.5703125" style="14" customWidth="1"/>
    <col min="6660" max="6660" width="66" style="14" customWidth="1"/>
    <col min="6661" max="6662" width="2.7109375" style="14" customWidth="1"/>
    <col min="6663" max="6663" width="13.140625" style="14" customWidth="1"/>
    <col min="6664" max="6664" width="35.140625" style="14" customWidth="1"/>
    <col min="6665" max="6665" width="11" style="14" bestFit="1" customWidth="1"/>
    <col min="6666" max="6666" width="8.42578125" style="14" customWidth="1"/>
    <col min="6667" max="6667" width="13" style="14" customWidth="1"/>
    <col min="6668" max="6668" width="40.140625" style="14" customWidth="1"/>
    <col min="6669" max="6669" width="46.85546875" style="14" customWidth="1"/>
    <col min="6670" max="6670" width="21" style="14" customWidth="1"/>
    <col min="6671" max="6671" width="100.7109375" style="14" customWidth="1"/>
    <col min="6672" max="6912" width="9.140625" style="14"/>
    <col min="6913" max="6913" width="2" style="14" customWidth="1"/>
    <col min="6914" max="6914" width="6.85546875" style="14" customWidth="1"/>
    <col min="6915" max="6915" width="5.5703125" style="14" customWidth="1"/>
    <col min="6916" max="6916" width="66" style="14" customWidth="1"/>
    <col min="6917" max="6918" width="2.7109375" style="14" customWidth="1"/>
    <col min="6919" max="6919" width="13.140625" style="14" customWidth="1"/>
    <col min="6920" max="6920" width="35.140625" style="14" customWidth="1"/>
    <col min="6921" max="6921" width="11" style="14" bestFit="1" customWidth="1"/>
    <col min="6922" max="6922" width="8.42578125" style="14" customWidth="1"/>
    <col min="6923" max="6923" width="13" style="14" customWidth="1"/>
    <col min="6924" max="6924" width="40.140625" style="14" customWidth="1"/>
    <col min="6925" max="6925" width="46.85546875" style="14" customWidth="1"/>
    <col min="6926" max="6926" width="21" style="14" customWidth="1"/>
    <col min="6927" max="6927" width="100.7109375" style="14" customWidth="1"/>
    <col min="6928" max="7168" width="9.140625" style="14"/>
    <col min="7169" max="7169" width="2" style="14" customWidth="1"/>
    <col min="7170" max="7170" width="6.85546875" style="14" customWidth="1"/>
    <col min="7171" max="7171" width="5.5703125" style="14" customWidth="1"/>
    <col min="7172" max="7172" width="66" style="14" customWidth="1"/>
    <col min="7173" max="7174" width="2.7109375" style="14" customWidth="1"/>
    <col min="7175" max="7175" width="13.140625" style="14" customWidth="1"/>
    <col min="7176" max="7176" width="35.140625" style="14" customWidth="1"/>
    <col min="7177" max="7177" width="11" style="14" bestFit="1" customWidth="1"/>
    <col min="7178" max="7178" width="8.42578125" style="14" customWidth="1"/>
    <col min="7179" max="7179" width="13" style="14" customWidth="1"/>
    <col min="7180" max="7180" width="40.140625" style="14" customWidth="1"/>
    <col min="7181" max="7181" width="46.85546875" style="14" customWidth="1"/>
    <col min="7182" max="7182" width="21" style="14" customWidth="1"/>
    <col min="7183" max="7183" width="100.7109375" style="14" customWidth="1"/>
    <col min="7184" max="7424" width="9.140625" style="14"/>
    <col min="7425" max="7425" width="2" style="14" customWidth="1"/>
    <col min="7426" max="7426" width="6.85546875" style="14" customWidth="1"/>
    <col min="7427" max="7427" width="5.5703125" style="14" customWidth="1"/>
    <col min="7428" max="7428" width="66" style="14" customWidth="1"/>
    <col min="7429" max="7430" width="2.7109375" style="14" customWidth="1"/>
    <col min="7431" max="7431" width="13.140625" style="14" customWidth="1"/>
    <col min="7432" max="7432" width="35.140625" style="14" customWidth="1"/>
    <col min="7433" max="7433" width="11" style="14" bestFit="1" customWidth="1"/>
    <col min="7434" max="7434" width="8.42578125" style="14" customWidth="1"/>
    <col min="7435" max="7435" width="13" style="14" customWidth="1"/>
    <col min="7436" max="7436" width="40.140625" style="14" customWidth="1"/>
    <col min="7437" max="7437" width="46.85546875" style="14" customWidth="1"/>
    <col min="7438" max="7438" width="21" style="14" customWidth="1"/>
    <col min="7439" max="7439" width="100.7109375" style="14" customWidth="1"/>
    <col min="7440" max="7680" width="9.140625" style="14"/>
    <col min="7681" max="7681" width="2" style="14" customWidth="1"/>
    <col min="7682" max="7682" width="6.85546875" style="14" customWidth="1"/>
    <col min="7683" max="7683" width="5.5703125" style="14" customWidth="1"/>
    <col min="7684" max="7684" width="66" style="14" customWidth="1"/>
    <col min="7685" max="7686" width="2.7109375" style="14" customWidth="1"/>
    <col min="7687" max="7687" width="13.140625" style="14" customWidth="1"/>
    <col min="7688" max="7688" width="35.140625" style="14" customWidth="1"/>
    <col min="7689" max="7689" width="11" style="14" bestFit="1" customWidth="1"/>
    <col min="7690" max="7690" width="8.42578125" style="14" customWidth="1"/>
    <col min="7691" max="7691" width="13" style="14" customWidth="1"/>
    <col min="7692" max="7692" width="40.140625" style="14" customWidth="1"/>
    <col min="7693" max="7693" width="46.85546875" style="14" customWidth="1"/>
    <col min="7694" max="7694" width="21" style="14" customWidth="1"/>
    <col min="7695" max="7695" width="100.7109375" style="14" customWidth="1"/>
    <col min="7696" max="7936" width="9.140625" style="14"/>
    <col min="7937" max="7937" width="2" style="14" customWidth="1"/>
    <col min="7938" max="7938" width="6.85546875" style="14" customWidth="1"/>
    <col min="7939" max="7939" width="5.5703125" style="14" customWidth="1"/>
    <col min="7940" max="7940" width="66" style="14" customWidth="1"/>
    <col min="7941" max="7942" width="2.7109375" style="14" customWidth="1"/>
    <col min="7943" max="7943" width="13.140625" style="14" customWidth="1"/>
    <col min="7944" max="7944" width="35.140625" style="14" customWidth="1"/>
    <col min="7945" max="7945" width="11" style="14" bestFit="1" customWidth="1"/>
    <col min="7946" max="7946" width="8.42578125" style="14" customWidth="1"/>
    <col min="7947" max="7947" width="13" style="14" customWidth="1"/>
    <col min="7948" max="7948" width="40.140625" style="14" customWidth="1"/>
    <col min="7949" max="7949" width="46.85546875" style="14" customWidth="1"/>
    <col min="7950" max="7950" width="21" style="14" customWidth="1"/>
    <col min="7951" max="7951" width="100.7109375" style="14" customWidth="1"/>
    <col min="7952" max="8192" width="9.140625" style="14"/>
    <col min="8193" max="8193" width="2" style="14" customWidth="1"/>
    <col min="8194" max="8194" width="6.85546875" style="14" customWidth="1"/>
    <col min="8195" max="8195" width="5.5703125" style="14" customWidth="1"/>
    <col min="8196" max="8196" width="66" style="14" customWidth="1"/>
    <col min="8197" max="8198" width="2.7109375" style="14" customWidth="1"/>
    <col min="8199" max="8199" width="13.140625" style="14" customWidth="1"/>
    <col min="8200" max="8200" width="35.140625" style="14" customWidth="1"/>
    <col min="8201" max="8201" width="11" style="14" bestFit="1" customWidth="1"/>
    <col min="8202" max="8202" width="8.42578125" style="14" customWidth="1"/>
    <col min="8203" max="8203" width="13" style="14" customWidth="1"/>
    <col min="8204" max="8204" width="40.140625" style="14" customWidth="1"/>
    <col min="8205" max="8205" width="46.85546875" style="14" customWidth="1"/>
    <col min="8206" max="8206" width="21" style="14" customWidth="1"/>
    <col min="8207" max="8207" width="100.7109375" style="14" customWidth="1"/>
    <col min="8208" max="8448" width="9.140625" style="14"/>
    <col min="8449" max="8449" width="2" style="14" customWidth="1"/>
    <col min="8450" max="8450" width="6.85546875" style="14" customWidth="1"/>
    <col min="8451" max="8451" width="5.5703125" style="14" customWidth="1"/>
    <col min="8452" max="8452" width="66" style="14" customWidth="1"/>
    <col min="8453" max="8454" width="2.7109375" style="14" customWidth="1"/>
    <col min="8455" max="8455" width="13.140625" style="14" customWidth="1"/>
    <col min="8456" max="8456" width="35.140625" style="14" customWidth="1"/>
    <col min="8457" max="8457" width="11" style="14" bestFit="1" customWidth="1"/>
    <col min="8458" max="8458" width="8.42578125" style="14" customWidth="1"/>
    <col min="8459" max="8459" width="13" style="14" customWidth="1"/>
    <col min="8460" max="8460" width="40.140625" style="14" customWidth="1"/>
    <col min="8461" max="8461" width="46.85546875" style="14" customWidth="1"/>
    <col min="8462" max="8462" width="21" style="14" customWidth="1"/>
    <col min="8463" max="8463" width="100.7109375" style="14" customWidth="1"/>
    <col min="8464" max="8704" width="9.140625" style="14"/>
    <col min="8705" max="8705" width="2" style="14" customWidth="1"/>
    <col min="8706" max="8706" width="6.85546875" style="14" customWidth="1"/>
    <col min="8707" max="8707" width="5.5703125" style="14" customWidth="1"/>
    <col min="8708" max="8708" width="66" style="14" customWidth="1"/>
    <col min="8709" max="8710" width="2.7109375" style="14" customWidth="1"/>
    <col min="8711" max="8711" width="13.140625" style="14" customWidth="1"/>
    <col min="8712" max="8712" width="35.140625" style="14" customWidth="1"/>
    <col min="8713" max="8713" width="11" style="14" bestFit="1" customWidth="1"/>
    <col min="8714" max="8714" width="8.42578125" style="14" customWidth="1"/>
    <col min="8715" max="8715" width="13" style="14" customWidth="1"/>
    <col min="8716" max="8716" width="40.140625" style="14" customWidth="1"/>
    <col min="8717" max="8717" width="46.85546875" style="14" customWidth="1"/>
    <col min="8718" max="8718" width="21" style="14" customWidth="1"/>
    <col min="8719" max="8719" width="100.7109375" style="14" customWidth="1"/>
    <col min="8720" max="8960" width="9.140625" style="14"/>
    <col min="8961" max="8961" width="2" style="14" customWidth="1"/>
    <col min="8962" max="8962" width="6.85546875" style="14" customWidth="1"/>
    <col min="8963" max="8963" width="5.5703125" style="14" customWidth="1"/>
    <col min="8964" max="8964" width="66" style="14" customWidth="1"/>
    <col min="8965" max="8966" width="2.7109375" style="14" customWidth="1"/>
    <col min="8967" max="8967" width="13.140625" style="14" customWidth="1"/>
    <col min="8968" max="8968" width="35.140625" style="14" customWidth="1"/>
    <col min="8969" max="8969" width="11" style="14" bestFit="1" customWidth="1"/>
    <col min="8970" max="8970" width="8.42578125" style="14" customWidth="1"/>
    <col min="8971" max="8971" width="13" style="14" customWidth="1"/>
    <col min="8972" max="8972" width="40.140625" style="14" customWidth="1"/>
    <col min="8973" max="8973" width="46.85546875" style="14" customWidth="1"/>
    <col min="8974" max="8974" width="21" style="14" customWidth="1"/>
    <col min="8975" max="8975" width="100.7109375" style="14" customWidth="1"/>
    <col min="8976" max="9216" width="9.140625" style="14"/>
    <col min="9217" max="9217" width="2" style="14" customWidth="1"/>
    <col min="9218" max="9218" width="6.85546875" style="14" customWidth="1"/>
    <col min="9219" max="9219" width="5.5703125" style="14" customWidth="1"/>
    <col min="9220" max="9220" width="66" style="14" customWidth="1"/>
    <col min="9221" max="9222" width="2.7109375" style="14" customWidth="1"/>
    <col min="9223" max="9223" width="13.140625" style="14" customWidth="1"/>
    <col min="9224" max="9224" width="35.140625" style="14" customWidth="1"/>
    <col min="9225" max="9225" width="11" style="14" bestFit="1" customWidth="1"/>
    <col min="9226" max="9226" width="8.42578125" style="14" customWidth="1"/>
    <col min="9227" max="9227" width="13" style="14" customWidth="1"/>
    <col min="9228" max="9228" width="40.140625" style="14" customWidth="1"/>
    <col min="9229" max="9229" width="46.85546875" style="14" customWidth="1"/>
    <col min="9230" max="9230" width="21" style="14" customWidth="1"/>
    <col min="9231" max="9231" width="100.7109375" style="14" customWidth="1"/>
    <col min="9232" max="9472" width="9.140625" style="14"/>
    <col min="9473" max="9473" width="2" style="14" customWidth="1"/>
    <col min="9474" max="9474" width="6.85546875" style="14" customWidth="1"/>
    <col min="9475" max="9475" width="5.5703125" style="14" customWidth="1"/>
    <col min="9476" max="9476" width="66" style="14" customWidth="1"/>
    <col min="9477" max="9478" width="2.7109375" style="14" customWidth="1"/>
    <col min="9479" max="9479" width="13.140625" style="14" customWidth="1"/>
    <col min="9480" max="9480" width="35.140625" style="14" customWidth="1"/>
    <col min="9481" max="9481" width="11" style="14" bestFit="1" customWidth="1"/>
    <col min="9482" max="9482" width="8.42578125" style="14" customWidth="1"/>
    <col min="9483" max="9483" width="13" style="14" customWidth="1"/>
    <col min="9484" max="9484" width="40.140625" style="14" customWidth="1"/>
    <col min="9485" max="9485" width="46.85546875" style="14" customWidth="1"/>
    <col min="9486" max="9486" width="21" style="14" customWidth="1"/>
    <col min="9487" max="9487" width="100.7109375" style="14" customWidth="1"/>
    <col min="9488" max="9728" width="9.140625" style="14"/>
    <col min="9729" max="9729" width="2" style="14" customWidth="1"/>
    <col min="9730" max="9730" width="6.85546875" style="14" customWidth="1"/>
    <col min="9731" max="9731" width="5.5703125" style="14" customWidth="1"/>
    <col min="9732" max="9732" width="66" style="14" customWidth="1"/>
    <col min="9733" max="9734" width="2.7109375" style="14" customWidth="1"/>
    <col min="9735" max="9735" width="13.140625" style="14" customWidth="1"/>
    <col min="9736" max="9736" width="35.140625" style="14" customWidth="1"/>
    <col min="9737" max="9737" width="11" style="14" bestFit="1" customWidth="1"/>
    <col min="9738" max="9738" width="8.42578125" style="14" customWidth="1"/>
    <col min="9739" max="9739" width="13" style="14" customWidth="1"/>
    <col min="9740" max="9740" width="40.140625" style="14" customWidth="1"/>
    <col min="9741" max="9741" width="46.85546875" style="14" customWidth="1"/>
    <col min="9742" max="9742" width="21" style="14" customWidth="1"/>
    <col min="9743" max="9743" width="100.7109375" style="14" customWidth="1"/>
    <col min="9744" max="9984" width="9.140625" style="14"/>
    <col min="9985" max="9985" width="2" style="14" customWidth="1"/>
    <col min="9986" max="9986" width="6.85546875" style="14" customWidth="1"/>
    <col min="9987" max="9987" width="5.5703125" style="14" customWidth="1"/>
    <col min="9988" max="9988" width="66" style="14" customWidth="1"/>
    <col min="9989" max="9990" width="2.7109375" style="14" customWidth="1"/>
    <col min="9991" max="9991" width="13.140625" style="14" customWidth="1"/>
    <col min="9992" max="9992" width="35.140625" style="14" customWidth="1"/>
    <col min="9993" max="9993" width="11" style="14" bestFit="1" customWidth="1"/>
    <col min="9994" max="9994" width="8.42578125" style="14" customWidth="1"/>
    <col min="9995" max="9995" width="13" style="14" customWidth="1"/>
    <col min="9996" max="9996" width="40.140625" style="14" customWidth="1"/>
    <col min="9997" max="9997" width="46.85546875" style="14" customWidth="1"/>
    <col min="9998" max="9998" width="21" style="14" customWidth="1"/>
    <col min="9999" max="9999" width="100.7109375" style="14" customWidth="1"/>
    <col min="10000" max="10240" width="9.140625" style="14"/>
    <col min="10241" max="10241" width="2" style="14" customWidth="1"/>
    <col min="10242" max="10242" width="6.85546875" style="14" customWidth="1"/>
    <col min="10243" max="10243" width="5.5703125" style="14" customWidth="1"/>
    <col min="10244" max="10244" width="66" style="14" customWidth="1"/>
    <col min="10245" max="10246" width="2.7109375" style="14" customWidth="1"/>
    <col min="10247" max="10247" width="13.140625" style="14" customWidth="1"/>
    <col min="10248" max="10248" width="35.140625" style="14" customWidth="1"/>
    <col min="10249" max="10249" width="11" style="14" bestFit="1" customWidth="1"/>
    <col min="10250" max="10250" width="8.42578125" style="14" customWidth="1"/>
    <col min="10251" max="10251" width="13" style="14" customWidth="1"/>
    <col min="10252" max="10252" width="40.140625" style="14" customWidth="1"/>
    <col min="10253" max="10253" width="46.85546875" style="14" customWidth="1"/>
    <col min="10254" max="10254" width="21" style="14" customWidth="1"/>
    <col min="10255" max="10255" width="100.7109375" style="14" customWidth="1"/>
    <col min="10256" max="10496" width="9.140625" style="14"/>
    <col min="10497" max="10497" width="2" style="14" customWidth="1"/>
    <col min="10498" max="10498" width="6.85546875" style="14" customWidth="1"/>
    <col min="10499" max="10499" width="5.5703125" style="14" customWidth="1"/>
    <col min="10500" max="10500" width="66" style="14" customWidth="1"/>
    <col min="10501" max="10502" width="2.7109375" style="14" customWidth="1"/>
    <col min="10503" max="10503" width="13.140625" style="14" customWidth="1"/>
    <col min="10504" max="10504" width="35.140625" style="14" customWidth="1"/>
    <col min="10505" max="10505" width="11" style="14" bestFit="1" customWidth="1"/>
    <col min="10506" max="10506" width="8.42578125" style="14" customWidth="1"/>
    <col min="10507" max="10507" width="13" style="14" customWidth="1"/>
    <col min="10508" max="10508" width="40.140625" style="14" customWidth="1"/>
    <col min="10509" max="10509" width="46.85546875" style="14" customWidth="1"/>
    <col min="10510" max="10510" width="21" style="14" customWidth="1"/>
    <col min="10511" max="10511" width="100.7109375" style="14" customWidth="1"/>
    <col min="10512" max="10752" width="9.140625" style="14"/>
    <col min="10753" max="10753" width="2" style="14" customWidth="1"/>
    <col min="10754" max="10754" width="6.85546875" style="14" customWidth="1"/>
    <col min="10755" max="10755" width="5.5703125" style="14" customWidth="1"/>
    <col min="10756" max="10756" width="66" style="14" customWidth="1"/>
    <col min="10757" max="10758" width="2.7109375" style="14" customWidth="1"/>
    <col min="10759" max="10759" width="13.140625" style="14" customWidth="1"/>
    <col min="10760" max="10760" width="35.140625" style="14" customWidth="1"/>
    <col min="10761" max="10761" width="11" style="14" bestFit="1" customWidth="1"/>
    <col min="10762" max="10762" width="8.42578125" style="14" customWidth="1"/>
    <col min="10763" max="10763" width="13" style="14" customWidth="1"/>
    <col min="10764" max="10764" width="40.140625" style="14" customWidth="1"/>
    <col min="10765" max="10765" width="46.85546875" style="14" customWidth="1"/>
    <col min="10766" max="10766" width="21" style="14" customWidth="1"/>
    <col min="10767" max="10767" width="100.7109375" style="14" customWidth="1"/>
    <col min="10768" max="11008" width="9.140625" style="14"/>
    <col min="11009" max="11009" width="2" style="14" customWidth="1"/>
    <col min="11010" max="11010" width="6.85546875" style="14" customWidth="1"/>
    <col min="11011" max="11011" width="5.5703125" style="14" customWidth="1"/>
    <col min="11012" max="11012" width="66" style="14" customWidth="1"/>
    <col min="11013" max="11014" width="2.7109375" style="14" customWidth="1"/>
    <col min="11015" max="11015" width="13.140625" style="14" customWidth="1"/>
    <col min="11016" max="11016" width="35.140625" style="14" customWidth="1"/>
    <col min="11017" max="11017" width="11" style="14" bestFit="1" customWidth="1"/>
    <col min="11018" max="11018" width="8.42578125" style="14" customWidth="1"/>
    <col min="11019" max="11019" width="13" style="14" customWidth="1"/>
    <col min="11020" max="11020" width="40.140625" style="14" customWidth="1"/>
    <col min="11021" max="11021" width="46.85546875" style="14" customWidth="1"/>
    <col min="11022" max="11022" width="21" style="14" customWidth="1"/>
    <col min="11023" max="11023" width="100.7109375" style="14" customWidth="1"/>
    <col min="11024" max="11264" width="9.140625" style="14"/>
    <col min="11265" max="11265" width="2" style="14" customWidth="1"/>
    <col min="11266" max="11266" width="6.85546875" style="14" customWidth="1"/>
    <col min="11267" max="11267" width="5.5703125" style="14" customWidth="1"/>
    <col min="11268" max="11268" width="66" style="14" customWidth="1"/>
    <col min="11269" max="11270" width="2.7109375" style="14" customWidth="1"/>
    <col min="11271" max="11271" width="13.140625" style="14" customWidth="1"/>
    <col min="11272" max="11272" width="35.140625" style="14" customWidth="1"/>
    <col min="11273" max="11273" width="11" style="14" bestFit="1" customWidth="1"/>
    <col min="11274" max="11274" width="8.42578125" style="14" customWidth="1"/>
    <col min="11275" max="11275" width="13" style="14" customWidth="1"/>
    <col min="11276" max="11276" width="40.140625" style="14" customWidth="1"/>
    <col min="11277" max="11277" width="46.85546875" style="14" customWidth="1"/>
    <col min="11278" max="11278" width="21" style="14" customWidth="1"/>
    <col min="11279" max="11279" width="100.7109375" style="14" customWidth="1"/>
    <col min="11280" max="11520" width="9.140625" style="14"/>
    <col min="11521" max="11521" width="2" style="14" customWidth="1"/>
    <col min="11522" max="11522" width="6.85546875" style="14" customWidth="1"/>
    <col min="11523" max="11523" width="5.5703125" style="14" customWidth="1"/>
    <col min="11524" max="11524" width="66" style="14" customWidth="1"/>
    <col min="11525" max="11526" width="2.7109375" style="14" customWidth="1"/>
    <col min="11527" max="11527" width="13.140625" style="14" customWidth="1"/>
    <col min="11528" max="11528" width="35.140625" style="14" customWidth="1"/>
    <col min="11529" max="11529" width="11" style="14" bestFit="1" customWidth="1"/>
    <col min="11530" max="11530" width="8.42578125" style="14" customWidth="1"/>
    <col min="11531" max="11531" width="13" style="14" customWidth="1"/>
    <col min="11532" max="11532" width="40.140625" style="14" customWidth="1"/>
    <col min="11533" max="11533" width="46.85546875" style="14" customWidth="1"/>
    <col min="11534" max="11534" width="21" style="14" customWidth="1"/>
    <col min="11535" max="11535" width="100.7109375" style="14" customWidth="1"/>
    <col min="11536" max="11776" width="9.140625" style="14"/>
    <col min="11777" max="11777" width="2" style="14" customWidth="1"/>
    <col min="11778" max="11778" width="6.85546875" style="14" customWidth="1"/>
    <col min="11779" max="11779" width="5.5703125" style="14" customWidth="1"/>
    <col min="11780" max="11780" width="66" style="14" customWidth="1"/>
    <col min="11781" max="11782" width="2.7109375" style="14" customWidth="1"/>
    <col min="11783" max="11783" width="13.140625" style="14" customWidth="1"/>
    <col min="11784" max="11784" width="35.140625" style="14" customWidth="1"/>
    <col min="11785" max="11785" width="11" style="14" bestFit="1" customWidth="1"/>
    <col min="11786" max="11786" width="8.42578125" style="14" customWidth="1"/>
    <col min="11787" max="11787" width="13" style="14" customWidth="1"/>
    <col min="11788" max="11788" width="40.140625" style="14" customWidth="1"/>
    <col min="11789" max="11789" width="46.85546875" style="14" customWidth="1"/>
    <col min="11790" max="11790" width="21" style="14" customWidth="1"/>
    <col min="11791" max="11791" width="100.7109375" style="14" customWidth="1"/>
    <col min="11792" max="12032" width="9.140625" style="14"/>
    <col min="12033" max="12033" width="2" style="14" customWidth="1"/>
    <col min="12034" max="12034" width="6.85546875" style="14" customWidth="1"/>
    <col min="12035" max="12035" width="5.5703125" style="14" customWidth="1"/>
    <col min="12036" max="12036" width="66" style="14" customWidth="1"/>
    <col min="12037" max="12038" width="2.7109375" style="14" customWidth="1"/>
    <col min="12039" max="12039" width="13.140625" style="14" customWidth="1"/>
    <col min="12040" max="12040" width="35.140625" style="14" customWidth="1"/>
    <col min="12041" max="12041" width="11" style="14" bestFit="1" customWidth="1"/>
    <col min="12042" max="12042" width="8.42578125" style="14" customWidth="1"/>
    <col min="12043" max="12043" width="13" style="14" customWidth="1"/>
    <col min="12044" max="12044" width="40.140625" style="14" customWidth="1"/>
    <col min="12045" max="12045" width="46.85546875" style="14" customWidth="1"/>
    <col min="12046" max="12046" width="21" style="14" customWidth="1"/>
    <col min="12047" max="12047" width="100.7109375" style="14" customWidth="1"/>
    <col min="12048" max="12288" width="9.140625" style="14"/>
    <col min="12289" max="12289" width="2" style="14" customWidth="1"/>
    <col min="12290" max="12290" width="6.85546875" style="14" customWidth="1"/>
    <col min="12291" max="12291" width="5.5703125" style="14" customWidth="1"/>
    <col min="12292" max="12292" width="66" style="14" customWidth="1"/>
    <col min="12293" max="12294" width="2.7109375" style="14" customWidth="1"/>
    <col min="12295" max="12295" width="13.140625" style="14" customWidth="1"/>
    <col min="12296" max="12296" width="35.140625" style="14" customWidth="1"/>
    <col min="12297" max="12297" width="11" style="14" bestFit="1" customWidth="1"/>
    <col min="12298" max="12298" width="8.42578125" style="14" customWidth="1"/>
    <col min="12299" max="12299" width="13" style="14" customWidth="1"/>
    <col min="12300" max="12300" width="40.140625" style="14" customWidth="1"/>
    <col min="12301" max="12301" width="46.85546875" style="14" customWidth="1"/>
    <col min="12302" max="12302" width="21" style="14" customWidth="1"/>
    <col min="12303" max="12303" width="100.7109375" style="14" customWidth="1"/>
    <col min="12304" max="12544" width="9.140625" style="14"/>
    <col min="12545" max="12545" width="2" style="14" customWidth="1"/>
    <col min="12546" max="12546" width="6.85546875" style="14" customWidth="1"/>
    <col min="12547" max="12547" width="5.5703125" style="14" customWidth="1"/>
    <col min="12548" max="12548" width="66" style="14" customWidth="1"/>
    <col min="12549" max="12550" width="2.7109375" style="14" customWidth="1"/>
    <col min="12551" max="12551" width="13.140625" style="14" customWidth="1"/>
    <col min="12552" max="12552" width="35.140625" style="14" customWidth="1"/>
    <col min="12553" max="12553" width="11" style="14" bestFit="1" customWidth="1"/>
    <col min="12554" max="12554" width="8.42578125" style="14" customWidth="1"/>
    <col min="12555" max="12555" width="13" style="14" customWidth="1"/>
    <col min="12556" max="12556" width="40.140625" style="14" customWidth="1"/>
    <col min="12557" max="12557" width="46.85546875" style="14" customWidth="1"/>
    <col min="12558" max="12558" width="21" style="14" customWidth="1"/>
    <col min="12559" max="12559" width="100.7109375" style="14" customWidth="1"/>
    <col min="12560" max="12800" width="9.140625" style="14"/>
    <col min="12801" max="12801" width="2" style="14" customWidth="1"/>
    <col min="12802" max="12802" width="6.85546875" style="14" customWidth="1"/>
    <col min="12803" max="12803" width="5.5703125" style="14" customWidth="1"/>
    <col min="12804" max="12804" width="66" style="14" customWidth="1"/>
    <col min="12805" max="12806" width="2.7109375" style="14" customWidth="1"/>
    <col min="12807" max="12807" width="13.140625" style="14" customWidth="1"/>
    <col min="12808" max="12808" width="35.140625" style="14" customWidth="1"/>
    <col min="12809" max="12809" width="11" style="14" bestFit="1" customWidth="1"/>
    <col min="12810" max="12810" width="8.42578125" style="14" customWidth="1"/>
    <col min="12811" max="12811" width="13" style="14" customWidth="1"/>
    <col min="12812" max="12812" width="40.140625" style="14" customWidth="1"/>
    <col min="12813" max="12813" width="46.85546875" style="14" customWidth="1"/>
    <col min="12814" max="12814" width="21" style="14" customWidth="1"/>
    <col min="12815" max="12815" width="100.7109375" style="14" customWidth="1"/>
    <col min="12816" max="13056" width="9.140625" style="14"/>
    <col min="13057" max="13057" width="2" style="14" customWidth="1"/>
    <col min="13058" max="13058" width="6.85546875" style="14" customWidth="1"/>
    <col min="13059" max="13059" width="5.5703125" style="14" customWidth="1"/>
    <col min="13060" max="13060" width="66" style="14" customWidth="1"/>
    <col min="13061" max="13062" width="2.7109375" style="14" customWidth="1"/>
    <col min="13063" max="13063" width="13.140625" style="14" customWidth="1"/>
    <col min="13064" max="13064" width="35.140625" style="14" customWidth="1"/>
    <col min="13065" max="13065" width="11" style="14" bestFit="1" customWidth="1"/>
    <col min="13066" max="13066" width="8.42578125" style="14" customWidth="1"/>
    <col min="13067" max="13067" width="13" style="14" customWidth="1"/>
    <col min="13068" max="13068" width="40.140625" style="14" customWidth="1"/>
    <col min="13069" max="13069" width="46.85546875" style="14" customWidth="1"/>
    <col min="13070" max="13070" width="21" style="14" customWidth="1"/>
    <col min="13071" max="13071" width="100.7109375" style="14" customWidth="1"/>
    <col min="13072" max="13312" width="9.140625" style="14"/>
    <col min="13313" max="13313" width="2" style="14" customWidth="1"/>
    <col min="13314" max="13314" width="6.85546875" style="14" customWidth="1"/>
    <col min="13315" max="13315" width="5.5703125" style="14" customWidth="1"/>
    <col min="13316" max="13316" width="66" style="14" customWidth="1"/>
    <col min="13317" max="13318" width="2.7109375" style="14" customWidth="1"/>
    <col min="13319" max="13319" width="13.140625" style="14" customWidth="1"/>
    <col min="13320" max="13320" width="35.140625" style="14" customWidth="1"/>
    <col min="13321" max="13321" width="11" style="14" bestFit="1" customWidth="1"/>
    <col min="13322" max="13322" width="8.42578125" style="14" customWidth="1"/>
    <col min="13323" max="13323" width="13" style="14" customWidth="1"/>
    <col min="13324" max="13324" width="40.140625" style="14" customWidth="1"/>
    <col min="13325" max="13325" width="46.85546875" style="14" customWidth="1"/>
    <col min="13326" max="13326" width="21" style="14" customWidth="1"/>
    <col min="13327" max="13327" width="100.7109375" style="14" customWidth="1"/>
    <col min="13328" max="13568" width="9.140625" style="14"/>
    <col min="13569" max="13569" width="2" style="14" customWidth="1"/>
    <col min="13570" max="13570" width="6.85546875" style="14" customWidth="1"/>
    <col min="13571" max="13571" width="5.5703125" style="14" customWidth="1"/>
    <col min="13572" max="13572" width="66" style="14" customWidth="1"/>
    <col min="13573" max="13574" width="2.7109375" style="14" customWidth="1"/>
    <col min="13575" max="13575" width="13.140625" style="14" customWidth="1"/>
    <col min="13576" max="13576" width="35.140625" style="14" customWidth="1"/>
    <col min="13577" max="13577" width="11" style="14" bestFit="1" customWidth="1"/>
    <col min="13578" max="13578" width="8.42578125" style="14" customWidth="1"/>
    <col min="13579" max="13579" width="13" style="14" customWidth="1"/>
    <col min="13580" max="13580" width="40.140625" style="14" customWidth="1"/>
    <col min="13581" max="13581" width="46.85546875" style="14" customWidth="1"/>
    <col min="13582" max="13582" width="21" style="14" customWidth="1"/>
    <col min="13583" max="13583" width="100.7109375" style="14" customWidth="1"/>
    <col min="13584" max="13824" width="9.140625" style="14"/>
    <col min="13825" max="13825" width="2" style="14" customWidth="1"/>
    <col min="13826" max="13826" width="6.85546875" style="14" customWidth="1"/>
    <col min="13827" max="13827" width="5.5703125" style="14" customWidth="1"/>
    <col min="13828" max="13828" width="66" style="14" customWidth="1"/>
    <col min="13829" max="13830" width="2.7109375" style="14" customWidth="1"/>
    <col min="13831" max="13831" width="13.140625" style="14" customWidth="1"/>
    <col min="13832" max="13832" width="35.140625" style="14" customWidth="1"/>
    <col min="13833" max="13833" width="11" style="14" bestFit="1" customWidth="1"/>
    <col min="13834" max="13834" width="8.42578125" style="14" customWidth="1"/>
    <col min="13835" max="13835" width="13" style="14" customWidth="1"/>
    <col min="13836" max="13836" width="40.140625" style="14" customWidth="1"/>
    <col min="13837" max="13837" width="46.85546875" style="14" customWidth="1"/>
    <col min="13838" max="13838" width="21" style="14" customWidth="1"/>
    <col min="13839" max="13839" width="100.7109375" style="14" customWidth="1"/>
    <col min="13840" max="14080" width="9.140625" style="14"/>
    <col min="14081" max="14081" width="2" style="14" customWidth="1"/>
    <col min="14082" max="14082" width="6.85546875" style="14" customWidth="1"/>
    <col min="14083" max="14083" width="5.5703125" style="14" customWidth="1"/>
    <col min="14084" max="14084" width="66" style="14" customWidth="1"/>
    <col min="14085" max="14086" width="2.7109375" style="14" customWidth="1"/>
    <col min="14087" max="14087" width="13.140625" style="14" customWidth="1"/>
    <col min="14088" max="14088" width="35.140625" style="14" customWidth="1"/>
    <col min="14089" max="14089" width="11" style="14" bestFit="1" customWidth="1"/>
    <col min="14090" max="14090" width="8.42578125" style="14" customWidth="1"/>
    <col min="14091" max="14091" width="13" style="14" customWidth="1"/>
    <col min="14092" max="14092" width="40.140625" style="14" customWidth="1"/>
    <col min="14093" max="14093" width="46.85546875" style="14" customWidth="1"/>
    <col min="14094" max="14094" width="21" style="14" customWidth="1"/>
    <col min="14095" max="14095" width="100.7109375" style="14" customWidth="1"/>
    <col min="14096" max="14336" width="9.140625" style="14"/>
    <col min="14337" max="14337" width="2" style="14" customWidth="1"/>
    <col min="14338" max="14338" width="6.85546875" style="14" customWidth="1"/>
    <col min="14339" max="14339" width="5.5703125" style="14" customWidth="1"/>
    <col min="14340" max="14340" width="66" style="14" customWidth="1"/>
    <col min="14341" max="14342" width="2.7109375" style="14" customWidth="1"/>
    <col min="14343" max="14343" width="13.140625" style="14" customWidth="1"/>
    <col min="14344" max="14344" width="35.140625" style="14" customWidth="1"/>
    <col min="14345" max="14345" width="11" style="14" bestFit="1" customWidth="1"/>
    <col min="14346" max="14346" width="8.42578125" style="14" customWidth="1"/>
    <col min="14347" max="14347" width="13" style="14" customWidth="1"/>
    <col min="14348" max="14348" width="40.140625" style="14" customWidth="1"/>
    <col min="14349" max="14349" width="46.85546875" style="14" customWidth="1"/>
    <col min="14350" max="14350" width="21" style="14" customWidth="1"/>
    <col min="14351" max="14351" width="100.7109375" style="14" customWidth="1"/>
    <col min="14352" max="14592" width="9.140625" style="14"/>
    <col min="14593" max="14593" width="2" style="14" customWidth="1"/>
    <col min="14594" max="14594" width="6.85546875" style="14" customWidth="1"/>
    <col min="14595" max="14595" width="5.5703125" style="14" customWidth="1"/>
    <col min="14596" max="14596" width="66" style="14" customWidth="1"/>
    <col min="14597" max="14598" width="2.7109375" style="14" customWidth="1"/>
    <col min="14599" max="14599" width="13.140625" style="14" customWidth="1"/>
    <col min="14600" max="14600" width="35.140625" style="14" customWidth="1"/>
    <col min="14601" max="14601" width="11" style="14" bestFit="1" customWidth="1"/>
    <col min="14602" max="14602" width="8.42578125" style="14" customWidth="1"/>
    <col min="14603" max="14603" width="13" style="14" customWidth="1"/>
    <col min="14604" max="14604" width="40.140625" style="14" customWidth="1"/>
    <col min="14605" max="14605" width="46.85546875" style="14" customWidth="1"/>
    <col min="14606" max="14606" width="21" style="14" customWidth="1"/>
    <col min="14607" max="14607" width="100.7109375" style="14" customWidth="1"/>
    <col min="14608" max="14848" width="9.140625" style="14"/>
    <col min="14849" max="14849" width="2" style="14" customWidth="1"/>
    <col min="14850" max="14850" width="6.85546875" style="14" customWidth="1"/>
    <col min="14851" max="14851" width="5.5703125" style="14" customWidth="1"/>
    <col min="14852" max="14852" width="66" style="14" customWidth="1"/>
    <col min="14853" max="14854" width="2.7109375" style="14" customWidth="1"/>
    <col min="14855" max="14855" width="13.140625" style="14" customWidth="1"/>
    <col min="14856" max="14856" width="35.140625" style="14" customWidth="1"/>
    <col min="14857" max="14857" width="11" style="14" bestFit="1" customWidth="1"/>
    <col min="14858" max="14858" width="8.42578125" style="14" customWidth="1"/>
    <col min="14859" max="14859" width="13" style="14" customWidth="1"/>
    <col min="14860" max="14860" width="40.140625" style="14" customWidth="1"/>
    <col min="14861" max="14861" width="46.85546875" style="14" customWidth="1"/>
    <col min="14862" max="14862" width="21" style="14" customWidth="1"/>
    <col min="14863" max="14863" width="100.7109375" style="14" customWidth="1"/>
    <col min="14864" max="15104" width="9.140625" style="14"/>
    <col min="15105" max="15105" width="2" style="14" customWidth="1"/>
    <col min="15106" max="15106" width="6.85546875" style="14" customWidth="1"/>
    <col min="15107" max="15107" width="5.5703125" style="14" customWidth="1"/>
    <col min="15108" max="15108" width="66" style="14" customWidth="1"/>
    <col min="15109" max="15110" width="2.7109375" style="14" customWidth="1"/>
    <col min="15111" max="15111" width="13.140625" style="14" customWidth="1"/>
    <col min="15112" max="15112" width="35.140625" style="14" customWidth="1"/>
    <col min="15113" max="15113" width="11" style="14" bestFit="1" customWidth="1"/>
    <col min="15114" max="15114" width="8.42578125" style="14" customWidth="1"/>
    <col min="15115" max="15115" width="13" style="14" customWidth="1"/>
    <col min="15116" max="15116" width="40.140625" style="14" customWidth="1"/>
    <col min="15117" max="15117" width="46.85546875" style="14" customWidth="1"/>
    <col min="15118" max="15118" width="21" style="14" customWidth="1"/>
    <col min="15119" max="15119" width="100.7109375" style="14" customWidth="1"/>
    <col min="15120" max="15360" width="9.140625" style="14"/>
    <col min="15361" max="15361" width="2" style="14" customWidth="1"/>
    <col min="15362" max="15362" width="6.85546875" style="14" customWidth="1"/>
    <col min="15363" max="15363" width="5.5703125" style="14" customWidth="1"/>
    <col min="15364" max="15364" width="66" style="14" customWidth="1"/>
    <col min="15365" max="15366" width="2.7109375" style="14" customWidth="1"/>
    <col min="15367" max="15367" width="13.140625" style="14" customWidth="1"/>
    <col min="15368" max="15368" width="35.140625" style="14" customWidth="1"/>
    <col min="15369" max="15369" width="11" style="14" bestFit="1" customWidth="1"/>
    <col min="15370" max="15370" width="8.42578125" style="14" customWidth="1"/>
    <col min="15371" max="15371" width="13" style="14" customWidth="1"/>
    <col min="15372" max="15372" width="40.140625" style="14" customWidth="1"/>
    <col min="15373" max="15373" width="46.85546875" style="14" customWidth="1"/>
    <col min="15374" max="15374" width="21" style="14" customWidth="1"/>
    <col min="15375" max="15375" width="100.7109375" style="14" customWidth="1"/>
    <col min="15376" max="15616" width="9.140625" style="14"/>
    <col min="15617" max="15617" width="2" style="14" customWidth="1"/>
    <col min="15618" max="15618" width="6.85546875" style="14" customWidth="1"/>
    <col min="15619" max="15619" width="5.5703125" style="14" customWidth="1"/>
    <col min="15620" max="15620" width="66" style="14" customWidth="1"/>
    <col min="15621" max="15622" width="2.7109375" style="14" customWidth="1"/>
    <col min="15623" max="15623" width="13.140625" style="14" customWidth="1"/>
    <col min="15624" max="15624" width="35.140625" style="14" customWidth="1"/>
    <col min="15625" max="15625" width="11" style="14" bestFit="1" customWidth="1"/>
    <col min="15626" max="15626" width="8.42578125" style="14" customWidth="1"/>
    <col min="15627" max="15627" width="13" style="14" customWidth="1"/>
    <col min="15628" max="15628" width="40.140625" style="14" customWidth="1"/>
    <col min="15629" max="15629" width="46.85546875" style="14" customWidth="1"/>
    <col min="15630" max="15630" width="21" style="14" customWidth="1"/>
    <col min="15631" max="15631" width="100.7109375" style="14" customWidth="1"/>
    <col min="15632" max="15872" width="9.140625" style="14"/>
    <col min="15873" max="15873" width="2" style="14" customWidth="1"/>
    <col min="15874" max="15874" width="6.85546875" style="14" customWidth="1"/>
    <col min="15875" max="15875" width="5.5703125" style="14" customWidth="1"/>
    <col min="15876" max="15876" width="66" style="14" customWidth="1"/>
    <col min="15877" max="15878" width="2.7109375" style="14" customWidth="1"/>
    <col min="15879" max="15879" width="13.140625" style="14" customWidth="1"/>
    <col min="15880" max="15880" width="35.140625" style="14" customWidth="1"/>
    <col min="15881" max="15881" width="11" style="14" bestFit="1" customWidth="1"/>
    <col min="15882" max="15882" width="8.42578125" style="14" customWidth="1"/>
    <col min="15883" max="15883" width="13" style="14" customWidth="1"/>
    <col min="15884" max="15884" width="40.140625" style="14" customWidth="1"/>
    <col min="15885" max="15885" width="46.85546875" style="14" customWidth="1"/>
    <col min="15886" max="15886" width="21" style="14" customWidth="1"/>
    <col min="15887" max="15887" width="100.7109375" style="14" customWidth="1"/>
    <col min="15888" max="16128" width="9.140625" style="14"/>
    <col min="16129" max="16129" width="2" style="14" customWidth="1"/>
    <col min="16130" max="16130" width="6.85546875" style="14" customWidth="1"/>
    <col min="16131" max="16131" width="5.5703125" style="14" customWidth="1"/>
    <col min="16132" max="16132" width="66" style="14" customWidth="1"/>
    <col min="16133" max="16134" width="2.7109375" style="14" customWidth="1"/>
    <col min="16135" max="16135" width="13.140625" style="14" customWidth="1"/>
    <col min="16136" max="16136" width="35.140625" style="14" customWidth="1"/>
    <col min="16137" max="16137" width="11" style="14" bestFit="1" customWidth="1"/>
    <col min="16138" max="16138" width="8.42578125" style="14" customWidth="1"/>
    <col min="16139" max="16139" width="13" style="14" customWidth="1"/>
    <col min="16140" max="16140" width="40.140625" style="14" customWidth="1"/>
    <col min="16141" max="16141" width="46.85546875" style="14" customWidth="1"/>
    <col min="16142" max="16142" width="21" style="14" customWidth="1"/>
    <col min="16143" max="16143" width="100.7109375" style="14" customWidth="1"/>
    <col min="16144" max="16384" width="9.140625" style="14"/>
  </cols>
  <sheetData>
    <row r="4" spans="1:15" s="169" customFormat="1" ht="30.75" x14ac:dyDescent="0.3">
      <c r="B4" s="170"/>
      <c r="C4" s="171" t="s">
        <v>22</v>
      </c>
      <c r="D4" s="171"/>
      <c r="E4" s="171"/>
      <c r="F4" s="171" t="s">
        <v>23</v>
      </c>
      <c r="G4" s="172"/>
      <c r="H4" s="171"/>
      <c r="I4" s="170"/>
      <c r="J4" s="173" t="s">
        <v>24</v>
      </c>
      <c r="K4" s="174" t="s">
        <v>25</v>
      </c>
      <c r="L4" s="175"/>
      <c r="O4" s="176"/>
    </row>
    <row r="5" spans="1:15" x14ac:dyDescent="0.25">
      <c r="A5" s="177"/>
      <c r="B5" s="178"/>
      <c r="C5" s="179"/>
      <c r="D5" s="179"/>
      <c r="E5" s="179"/>
      <c r="F5" s="180"/>
      <c r="G5" s="180"/>
      <c r="H5" s="179"/>
      <c r="I5" s="181"/>
      <c r="J5" s="182"/>
      <c r="K5" s="183"/>
      <c r="L5" s="184"/>
    </row>
    <row r="6" spans="1:15" ht="27" customHeight="1" x14ac:dyDescent="0.25">
      <c r="A6" s="186"/>
      <c r="B6" s="187"/>
      <c r="G6" s="189"/>
      <c r="H6" s="190"/>
      <c r="J6" s="192"/>
      <c r="K6" s="183"/>
      <c r="L6" s="14"/>
      <c r="N6" s="185"/>
      <c r="O6" s="14"/>
    </row>
    <row r="7" spans="1:15" x14ac:dyDescent="0.25">
      <c r="B7" s="193" t="s">
        <v>26</v>
      </c>
      <c r="C7" s="194" t="s">
        <v>27</v>
      </c>
      <c r="K7" s="183"/>
      <c r="M7" s="185"/>
      <c r="N7" s="185"/>
      <c r="O7" s="196"/>
    </row>
    <row r="8" spans="1:15" ht="23.25" customHeight="1" x14ac:dyDescent="0.25">
      <c r="D8" s="587" t="s">
        <v>28</v>
      </c>
      <c r="E8" s="197"/>
      <c r="F8" s="198" t="s">
        <v>29</v>
      </c>
      <c r="G8" s="188" t="s">
        <v>30</v>
      </c>
      <c r="H8" s="188"/>
      <c r="I8" s="199">
        <f>'Ratio Data'!AT12</f>
        <v>1.3881382663345501</v>
      </c>
      <c r="J8" s="200" t="s">
        <v>31</v>
      </c>
      <c r="K8" s="201">
        <v>105</v>
      </c>
      <c r="L8" s="185" t="s">
        <v>469</v>
      </c>
      <c r="M8" s="197"/>
      <c r="N8" s="197"/>
      <c r="O8" s="197"/>
    </row>
    <row r="9" spans="1:15" ht="54" customHeight="1" x14ac:dyDescent="0.25">
      <c r="D9" s="587"/>
      <c r="E9" s="197"/>
      <c r="F9" s="588" t="s">
        <v>32</v>
      </c>
      <c r="G9" s="588"/>
      <c r="H9" s="588"/>
      <c r="I9" s="199"/>
      <c r="J9" s="200"/>
      <c r="K9" s="202"/>
      <c r="L9" s="196"/>
      <c r="M9" s="185"/>
      <c r="N9" s="185"/>
      <c r="O9" s="196"/>
    </row>
    <row r="10" spans="1:15" x14ac:dyDescent="0.25">
      <c r="B10" s="193" t="s">
        <v>33</v>
      </c>
      <c r="C10" s="194" t="s">
        <v>34</v>
      </c>
      <c r="K10" s="183"/>
      <c r="M10" s="185"/>
      <c r="N10" s="185"/>
    </row>
    <row r="11" spans="1:15" ht="33" customHeight="1" x14ac:dyDescent="0.25">
      <c r="D11" s="587" t="s">
        <v>35</v>
      </c>
      <c r="E11" s="197"/>
      <c r="F11" s="203" t="s">
        <v>29</v>
      </c>
      <c r="G11" s="588" t="s">
        <v>36</v>
      </c>
      <c r="H11" s="588"/>
      <c r="I11" s="199">
        <f>'Ratio Data'!AS12</f>
        <v>74.004770767427843</v>
      </c>
      <c r="J11" s="200" t="s">
        <v>31</v>
      </c>
      <c r="K11" s="204">
        <v>69</v>
      </c>
      <c r="L11" s="196"/>
      <c r="M11" s="185"/>
      <c r="N11" s="185"/>
      <c r="O11" s="196"/>
    </row>
    <row r="12" spans="1:15" ht="48" customHeight="1" x14ac:dyDescent="0.25">
      <c r="D12" s="587"/>
      <c r="E12" s="197"/>
      <c r="F12" s="587" t="s">
        <v>37</v>
      </c>
      <c r="G12" s="587"/>
      <c r="H12" s="587"/>
      <c r="I12" s="200"/>
      <c r="J12" s="191"/>
      <c r="K12" s="183"/>
      <c r="M12" s="185"/>
      <c r="N12" s="196"/>
      <c r="O12" s="14"/>
    </row>
    <row r="13" spans="1:15" x14ac:dyDescent="0.25">
      <c r="B13" s="193" t="s">
        <v>38</v>
      </c>
      <c r="C13" s="194" t="s">
        <v>39</v>
      </c>
      <c r="D13" s="194"/>
      <c r="E13" s="194"/>
      <c r="K13" s="183"/>
      <c r="M13" s="185"/>
      <c r="N13" s="185"/>
    </row>
    <row r="14" spans="1:15" ht="21" customHeight="1" x14ac:dyDescent="0.25">
      <c r="B14" s="193"/>
      <c r="C14" s="194"/>
      <c r="D14" s="587" t="s">
        <v>40</v>
      </c>
      <c r="E14" s="197"/>
      <c r="F14" s="188" t="s">
        <v>29</v>
      </c>
      <c r="G14" s="188" t="s">
        <v>41</v>
      </c>
      <c r="H14" s="188"/>
      <c r="I14" s="199">
        <f>'Ratio Data'!AU12</f>
        <v>59.233905472661966</v>
      </c>
      <c r="J14" s="200" t="s">
        <v>31</v>
      </c>
      <c r="K14" s="202">
        <v>28</v>
      </c>
      <c r="L14" s="196"/>
      <c r="M14" s="185"/>
      <c r="N14" s="185"/>
      <c r="O14" s="196"/>
    </row>
    <row r="15" spans="1:15" ht="60" customHeight="1" x14ac:dyDescent="0.25">
      <c r="B15" s="193"/>
      <c r="C15" s="194"/>
      <c r="D15" s="587"/>
      <c r="E15" s="197"/>
      <c r="F15" s="587" t="s">
        <v>42</v>
      </c>
      <c r="G15" s="587"/>
      <c r="H15" s="587"/>
      <c r="I15" s="199"/>
      <c r="J15" s="200"/>
      <c r="K15" s="202"/>
      <c r="L15" s="196"/>
      <c r="M15" s="185"/>
      <c r="N15" s="185"/>
      <c r="O15" s="196"/>
    </row>
    <row r="16" spans="1:15" ht="25.5" customHeight="1" x14ac:dyDescent="0.25">
      <c r="B16" s="193" t="s">
        <v>43</v>
      </c>
      <c r="C16" s="194" t="s">
        <v>44</v>
      </c>
      <c r="D16" s="194"/>
      <c r="E16" s="194"/>
      <c r="J16" s="200"/>
      <c r="K16" s="183"/>
      <c r="M16" s="185"/>
      <c r="N16" s="185"/>
    </row>
    <row r="17" spans="1:15" ht="22.5" customHeight="1" x14ac:dyDescent="0.25">
      <c r="A17" s="157"/>
      <c r="B17" s="205"/>
      <c r="C17" s="206"/>
      <c r="D17" s="585" t="s">
        <v>45</v>
      </c>
      <c r="E17" s="207"/>
      <c r="F17" s="208" t="s">
        <v>29</v>
      </c>
      <c r="G17" s="208" t="s">
        <v>46</v>
      </c>
      <c r="H17" s="206"/>
      <c r="I17" s="209">
        <f>I8+I11-I14</f>
        <v>16.159003561100427</v>
      </c>
      <c r="J17" s="210" t="s">
        <v>31</v>
      </c>
      <c r="K17" s="204">
        <f>K8+K11-K14</f>
        <v>146</v>
      </c>
      <c r="L17" s="211"/>
      <c r="M17" s="185"/>
      <c r="N17" s="185"/>
    </row>
    <row r="18" spans="1:15" ht="74.25" customHeight="1" x14ac:dyDescent="0.25">
      <c r="A18" s="212"/>
      <c r="B18" s="213"/>
      <c r="C18" s="214"/>
      <c r="D18" s="586"/>
      <c r="E18" s="215"/>
      <c r="F18" s="586" t="s">
        <v>47</v>
      </c>
      <c r="G18" s="586"/>
      <c r="H18" s="586"/>
      <c r="I18" s="216"/>
      <c r="J18" s="217"/>
      <c r="K18" s="218"/>
      <c r="L18" s="211"/>
      <c r="O18" s="196"/>
    </row>
    <row r="19" spans="1:15" ht="21" customHeight="1" x14ac:dyDescent="0.25">
      <c r="D19" s="197"/>
      <c r="E19" s="197"/>
      <c r="G19" s="203"/>
      <c r="H19" s="197"/>
      <c r="I19" s="199"/>
      <c r="J19" s="200"/>
      <c r="K19" s="202"/>
      <c r="L19" s="211"/>
      <c r="O19" s="196"/>
    </row>
    <row r="20" spans="1:15" ht="19.5" customHeight="1" x14ac:dyDescent="0.25">
      <c r="A20" s="186"/>
      <c r="G20" s="189"/>
      <c r="H20" s="190"/>
      <c r="I20" s="199"/>
      <c r="J20" s="219"/>
      <c r="K20" s="183"/>
      <c r="L20" s="157"/>
      <c r="N20" s="196"/>
      <c r="O20" s="14"/>
    </row>
    <row r="21" spans="1:15" x14ac:dyDescent="0.25">
      <c r="B21" s="220" t="s">
        <v>48</v>
      </c>
      <c r="C21" s="221" t="s">
        <v>49</v>
      </c>
      <c r="D21" s="221"/>
      <c r="E21" s="221"/>
      <c r="F21" s="208"/>
      <c r="G21" s="208"/>
      <c r="H21" s="206"/>
      <c r="I21" s="222"/>
      <c r="J21" s="210"/>
      <c r="K21" s="223"/>
      <c r="O21" s="196"/>
    </row>
    <row r="22" spans="1:15" ht="23.25" customHeight="1" x14ac:dyDescent="0.25">
      <c r="B22" s="205"/>
      <c r="C22" s="206"/>
      <c r="D22" s="585" t="s">
        <v>50</v>
      </c>
      <c r="E22" s="207"/>
      <c r="F22" s="208" t="s">
        <v>29</v>
      </c>
      <c r="G22" s="208" t="s">
        <v>51</v>
      </c>
      <c r="H22" s="206"/>
      <c r="I22" s="224">
        <f>IFERROR('DuPont Model'!L30,0)</f>
        <v>-0.61597056051180998</v>
      </c>
      <c r="J22" s="210"/>
      <c r="K22" s="225">
        <v>0.9</v>
      </c>
      <c r="L22" s="196"/>
      <c r="O22" s="196"/>
    </row>
    <row r="23" spans="1:15" ht="41.25" customHeight="1" x14ac:dyDescent="0.25">
      <c r="B23" s="205"/>
      <c r="C23" s="206"/>
      <c r="D23" s="586"/>
      <c r="E23" s="207"/>
      <c r="F23" s="586" t="s">
        <v>52</v>
      </c>
      <c r="G23" s="586"/>
      <c r="H23" s="586"/>
      <c r="I23" s="224"/>
      <c r="J23" s="210"/>
      <c r="K23" s="218"/>
      <c r="L23" s="196"/>
      <c r="O23" s="196"/>
    </row>
    <row r="24" spans="1:15" ht="19.5" customHeight="1" x14ac:dyDescent="0.25">
      <c r="A24" s="177"/>
      <c r="B24" s="226"/>
      <c r="C24" s="227"/>
      <c r="D24" s="228"/>
      <c r="E24" s="228"/>
      <c r="F24" s="229"/>
      <c r="G24" s="230"/>
      <c r="H24" s="231"/>
      <c r="I24" s="232"/>
      <c r="J24" s="233"/>
      <c r="K24" s="202"/>
      <c r="L24" s="196"/>
      <c r="O24" s="196"/>
    </row>
    <row r="25" spans="1:15" ht="16.5" customHeight="1" x14ac:dyDescent="0.25">
      <c r="A25" s="186"/>
      <c r="H25" s="190"/>
      <c r="J25" s="219"/>
      <c r="K25" s="183"/>
      <c r="L25" s="14"/>
      <c r="N25" s="196"/>
      <c r="O25" s="14"/>
    </row>
    <row r="26" spans="1:15" ht="24" customHeight="1" x14ac:dyDescent="0.25">
      <c r="B26" s="193" t="s">
        <v>53</v>
      </c>
      <c r="C26" s="194" t="s">
        <v>54</v>
      </c>
      <c r="D26" s="194"/>
      <c r="E26" s="194"/>
      <c r="K26" s="183"/>
    </row>
    <row r="27" spans="1:15" ht="25.5" customHeight="1" x14ac:dyDescent="0.25">
      <c r="D27" s="587" t="s">
        <v>55</v>
      </c>
      <c r="E27" s="197"/>
      <c r="F27" s="188" t="s">
        <v>29</v>
      </c>
      <c r="G27" s="188" t="s">
        <v>56</v>
      </c>
      <c r="I27" s="199">
        <f>IFERROR('DuPont Model'!D34/'DuPont Model'!B47,0)</f>
        <v>31.095747087868318</v>
      </c>
      <c r="J27" s="195" t="s">
        <v>57</v>
      </c>
      <c r="K27" s="202">
        <v>2.2999999999999998</v>
      </c>
      <c r="L27" s="196"/>
      <c r="O27" s="196"/>
    </row>
    <row r="28" spans="1:15" ht="69" customHeight="1" x14ac:dyDescent="0.25">
      <c r="D28" s="587"/>
      <c r="E28" s="197"/>
      <c r="F28" s="587" t="s">
        <v>58</v>
      </c>
      <c r="G28" s="587"/>
      <c r="H28" s="587"/>
      <c r="I28" s="199"/>
      <c r="K28" s="202"/>
      <c r="L28" s="196"/>
      <c r="O28" s="196"/>
    </row>
    <row r="29" spans="1:15" ht="19.5" customHeight="1" x14ac:dyDescent="0.25">
      <c r="D29" s="197"/>
      <c r="E29" s="197"/>
      <c r="K29" s="202"/>
      <c r="L29" s="196"/>
      <c r="O29" s="196"/>
    </row>
    <row r="30" spans="1:15" ht="19.5" customHeight="1" x14ac:dyDescent="0.25">
      <c r="D30" s="197"/>
      <c r="E30" s="197"/>
      <c r="K30" s="202"/>
      <c r="L30" s="196"/>
      <c r="O30" s="196"/>
    </row>
    <row r="31" spans="1:15" ht="23.25" customHeight="1" x14ac:dyDescent="0.25">
      <c r="B31" s="193" t="s">
        <v>59</v>
      </c>
      <c r="C31" s="194" t="s">
        <v>60</v>
      </c>
      <c r="D31" s="194"/>
      <c r="I31" s="234"/>
      <c r="K31" s="183"/>
    </row>
    <row r="32" spans="1:15" ht="26.25" customHeight="1" x14ac:dyDescent="0.25">
      <c r="A32" s="157"/>
      <c r="B32" s="205"/>
      <c r="C32" s="206"/>
      <c r="D32" s="585" t="s">
        <v>61</v>
      </c>
      <c r="E32" s="206"/>
      <c r="F32" s="208" t="s">
        <v>29</v>
      </c>
      <c r="G32" s="208" t="s">
        <v>62</v>
      </c>
      <c r="H32" s="206"/>
      <c r="I32" s="224">
        <f>IFERROR('DuPont Plug &amp; Play'!L37,0)</f>
        <v>1.0332169490440848</v>
      </c>
      <c r="J32" s="235"/>
      <c r="K32" s="202"/>
      <c r="L32" s="196"/>
      <c r="O32" s="196"/>
    </row>
    <row r="33" spans="1:15" ht="39.75" customHeight="1" x14ac:dyDescent="0.25">
      <c r="A33" s="212"/>
      <c r="B33" s="213"/>
      <c r="C33" s="214"/>
      <c r="D33" s="586"/>
      <c r="E33" s="214"/>
      <c r="F33" s="236"/>
      <c r="G33" s="236"/>
      <c r="H33" s="214"/>
      <c r="I33" s="237"/>
      <c r="J33" s="238"/>
      <c r="K33" s="218"/>
      <c r="L33" s="196"/>
      <c r="O33" s="196"/>
    </row>
    <row r="34" spans="1:15" ht="24" customHeight="1" x14ac:dyDescent="0.25">
      <c r="D34" s="444"/>
      <c r="E34" s="185" t="s">
        <v>577</v>
      </c>
      <c r="I34" s="234"/>
      <c r="K34" s="202"/>
      <c r="L34" s="196"/>
      <c r="O34" s="196"/>
    </row>
    <row r="35" spans="1:15" ht="24" customHeight="1" x14ac:dyDescent="0.25">
      <c r="B35" s="193" t="s">
        <v>63</v>
      </c>
      <c r="C35" s="194" t="s">
        <v>64</v>
      </c>
      <c r="D35" s="194"/>
      <c r="I35" s="239"/>
      <c r="K35" s="223"/>
    </row>
    <row r="36" spans="1:15" ht="23.25" customHeight="1" x14ac:dyDescent="0.25">
      <c r="B36" s="193"/>
      <c r="C36" s="194"/>
      <c r="D36" s="587" t="s">
        <v>65</v>
      </c>
      <c r="F36" s="188" t="s">
        <v>29</v>
      </c>
      <c r="G36" s="188" t="s">
        <v>66</v>
      </c>
      <c r="I36" s="240">
        <f>'DuPont Plug &amp; Play'!L30</f>
        <v>-0.58642901276094539</v>
      </c>
      <c r="K36" s="225">
        <v>2.83</v>
      </c>
      <c r="L36" s="196"/>
      <c r="O36" s="196"/>
    </row>
    <row r="37" spans="1:15" ht="52.5" customHeight="1" x14ac:dyDescent="0.25">
      <c r="B37" s="193"/>
      <c r="C37" s="194"/>
      <c r="D37" s="587"/>
      <c r="F37" s="587" t="s">
        <v>67</v>
      </c>
      <c r="G37" s="587"/>
      <c r="H37" s="587"/>
      <c r="I37" s="239"/>
      <c r="K37" s="225"/>
      <c r="L37" s="196"/>
      <c r="O37" s="196"/>
    </row>
    <row r="38" spans="1:15" ht="30.75" customHeight="1" x14ac:dyDescent="0.25">
      <c r="B38" s="193" t="s">
        <v>68</v>
      </c>
      <c r="C38" s="194" t="s">
        <v>69</v>
      </c>
      <c r="D38" s="194"/>
      <c r="I38" s="239"/>
      <c r="K38" s="223"/>
    </row>
    <row r="39" spans="1:15" ht="30" x14ac:dyDescent="0.25">
      <c r="B39" s="193"/>
      <c r="C39" s="194"/>
      <c r="D39" s="196" t="s">
        <v>70</v>
      </c>
      <c r="F39" s="188" t="s">
        <v>29</v>
      </c>
      <c r="G39" s="188" t="s">
        <v>71</v>
      </c>
      <c r="I39" s="443">
        <f>IFERROR('DuPont Model'!N33,0)</f>
        <v>-0.63643122323298718</v>
      </c>
      <c r="K39" s="225">
        <v>2.89</v>
      </c>
      <c r="L39" s="196"/>
      <c r="O39" s="196"/>
    </row>
    <row r="40" spans="1:15" ht="45" customHeight="1" x14ac:dyDescent="0.25">
      <c r="B40" s="441"/>
      <c r="C40" s="441"/>
      <c r="D40" s="441"/>
      <c r="F40" s="587" t="s">
        <v>72</v>
      </c>
      <c r="G40" s="587"/>
      <c r="H40" s="587"/>
      <c r="I40" s="239"/>
      <c r="K40" s="225"/>
      <c r="L40" s="196"/>
      <c r="O40" s="196"/>
    </row>
    <row r="41" spans="1:15" ht="33" hidden="1" customHeight="1" x14ac:dyDescent="0.25">
      <c r="B41" s="441"/>
      <c r="C41" s="442"/>
      <c r="D41" s="442"/>
      <c r="K41" s="183"/>
    </row>
    <row r="42" spans="1:15" ht="25.5" hidden="1" customHeight="1" x14ac:dyDescent="0.25">
      <c r="A42" s="157"/>
      <c r="B42" s="220"/>
      <c r="C42" s="221"/>
      <c r="D42" s="585" t="s">
        <v>74</v>
      </c>
      <c r="E42" s="206"/>
      <c r="F42" s="208" t="s">
        <v>29</v>
      </c>
      <c r="G42" s="208" t="s">
        <v>75</v>
      </c>
      <c r="H42" s="206"/>
      <c r="I42" s="362">
        <f>'DuPont Model'!N33</f>
        <v>-0.63643122323298718</v>
      </c>
      <c r="J42" s="235"/>
      <c r="K42" s="241">
        <v>0.15</v>
      </c>
      <c r="L42" s="196"/>
      <c r="O42" s="196"/>
    </row>
    <row r="43" spans="1:15" ht="68.25" hidden="1" customHeight="1" x14ac:dyDescent="0.25">
      <c r="A43" s="212"/>
      <c r="B43" s="213"/>
      <c r="C43" s="214"/>
      <c r="D43" s="586"/>
      <c r="E43" s="214"/>
      <c r="F43" s="586" t="s">
        <v>76</v>
      </c>
      <c r="G43" s="586"/>
      <c r="H43" s="586"/>
      <c r="I43" s="242"/>
      <c r="J43" s="238"/>
      <c r="K43" s="218"/>
      <c r="L43" s="196"/>
      <c r="O43" s="196"/>
    </row>
    <row r="44" spans="1:15" x14ac:dyDescent="0.25">
      <c r="A44" s="440"/>
      <c r="E44" s="441"/>
      <c r="F44" s="144"/>
      <c r="G44" s="144"/>
      <c r="H44" s="206"/>
      <c r="I44" s="222"/>
      <c r="J44" s="235"/>
      <c r="K44" s="243"/>
      <c r="L44" s="196"/>
      <c r="O44" s="196"/>
    </row>
    <row r="45" spans="1:15" x14ac:dyDescent="0.25">
      <c r="A45" s="440"/>
      <c r="E45" s="442"/>
      <c r="F45" s="147"/>
      <c r="G45" s="147"/>
      <c r="H45" s="206"/>
      <c r="I45" s="222"/>
      <c r="J45" s="235"/>
      <c r="O45" s="196"/>
    </row>
    <row r="46" spans="1:15" x14ac:dyDescent="0.25">
      <c r="G46" s="208"/>
      <c r="H46" s="206"/>
      <c r="I46" s="222"/>
      <c r="J46" s="235"/>
      <c r="O46" s="196"/>
    </row>
    <row r="47" spans="1:15" x14ac:dyDescent="0.25">
      <c r="H47" s="206"/>
      <c r="I47" s="222"/>
      <c r="J47" s="235"/>
    </row>
  </sheetData>
  <mergeCells count="19">
    <mergeCell ref="D14:D15"/>
    <mergeCell ref="F15:H15"/>
    <mergeCell ref="D8:D9"/>
    <mergeCell ref="F9:H9"/>
    <mergeCell ref="D11:D12"/>
    <mergeCell ref="G11:H11"/>
    <mergeCell ref="F12:H12"/>
    <mergeCell ref="D17:D18"/>
    <mergeCell ref="F18:H18"/>
    <mergeCell ref="D22:D23"/>
    <mergeCell ref="F23:H23"/>
    <mergeCell ref="D27:D28"/>
    <mergeCell ref="F28:H28"/>
    <mergeCell ref="D32:D33"/>
    <mergeCell ref="D36:D37"/>
    <mergeCell ref="F37:H37"/>
    <mergeCell ref="F40:H40"/>
    <mergeCell ref="D42:D43"/>
    <mergeCell ref="F43:H43"/>
  </mergeCells>
  <pageMargins left="0.7" right="0.7" top="0.75" bottom="0.75" header="0.3" footer="0.3"/>
  <pageSetup scale="54" fitToHeight="2" orientation="portrait" r:id="rId1"/>
  <headerFooter>
    <oddFoote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2:F32"/>
  <sheetViews>
    <sheetView zoomScale="70" zoomScaleNormal="70" workbookViewId="0">
      <selection activeCell="J22" sqref="J22"/>
    </sheetView>
  </sheetViews>
  <sheetFormatPr defaultRowHeight="15" x14ac:dyDescent="0.25"/>
  <cols>
    <col min="1" max="1" width="5.5703125" customWidth="1"/>
    <col min="2" max="2" width="36.140625" customWidth="1"/>
    <col min="3" max="3" width="8.42578125" customWidth="1"/>
    <col min="4" max="4" width="15.5703125" customWidth="1"/>
  </cols>
  <sheetData>
    <row r="2" spans="1:6" ht="21" x14ac:dyDescent="0.35">
      <c r="A2" s="475"/>
      <c r="B2" s="474" t="s">
        <v>611</v>
      </c>
      <c r="C2" s="589">
        <f>'Ratio Data'!A11</f>
        <v>2014</v>
      </c>
      <c r="D2" s="589"/>
      <c r="E2" s="590"/>
    </row>
    <row r="3" spans="1:6" x14ac:dyDescent="0.25">
      <c r="A3" s="473"/>
      <c r="B3" s="7"/>
      <c r="C3" s="7"/>
      <c r="D3" s="7"/>
      <c r="E3" s="472"/>
    </row>
    <row r="4" spans="1:6" ht="18.75" x14ac:dyDescent="0.3">
      <c r="A4" s="468"/>
      <c r="B4" s="470" t="s">
        <v>610</v>
      </c>
      <c r="C4" s="470"/>
      <c r="D4" s="469">
        <f>'Ratio Data'!L22</f>
        <v>-2994212.3799999994</v>
      </c>
      <c r="E4" s="464"/>
    </row>
    <row r="5" spans="1:6" ht="18.75" x14ac:dyDescent="0.3">
      <c r="A5" s="468"/>
      <c r="B5" s="470" t="s">
        <v>609</v>
      </c>
      <c r="C5" s="470"/>
      <c r="D5" s="469">
        <f>'Ratio Data'!P22</f>
        <v>-96261.099999999948</v>
      </c>
      <c r="E5" s="464"/>
    </row>
    <row r="6" spans="1:6" ht="18.75" x14ac:dyDescent="0.3">
      <c r="A6" s="468"/>
      <c r="B6" s="470" t="s">
        <v>608</v>
      </c>
      <c r="C6" s="470"/>
      <c r="D6" s="469">
        <f>'Ratio Data'!H22</f>
        <v>-2993310.8199999994</v>
      </c>
      <c r="E6" s="464"/>
    </row>
    <row r="7" spans="1:6" ht="18.75" x14ac:dyDescent="0.3">
      <c r="A7" s="468"/>
      <c r="B7" s="470" t="s">
        <v>607</v>
      </c>
      <c r="C7" s="470"/>
      <c r="D7" s="469">
        <f>'Ratio Data'!N22</f>
        <v>0</v>
      </c>
      <c r="E7" s="464"/>
    </row>
    <row r="8" spans="1:6" ht="18.75" x14ac:dyDescent="0.3">
      <c r="A8" s="468"/>
      <c r="B8" s="470" t="s">
        <v>606</v>
      </c>
      <c r="C8" s="470"/>
      <c r="D8" s="471">
        <f>'Ratio Data'!AI22</f>
        <v>1769073.3600000003</v>
      </c>
      <c r="E8" s="464"/>
      <c r="F8" s="39"/>
    </row>
    <row r="9" spans="1:6" ht="18.75" x14ac:dyDescent="0.3">
      <c r="A9" s="468"/>
      <c r="B9" s="470" t="s">
        <v>605</v>
      </c>
      <c r="C9" s="470"/>
      <c r="D9" s="469">
        <f>'Ratio Data'!R22</f>
        <v>0</v>
      </c>
      <c r="E9" s="464"/>
    </row>
    <row r="10" spans="1:6" ht="18.75" x14ac:dyDescent="0.3">
      <c r="A10" s="468"/>
      <c r="B10" s="470" t="s">
        <v>604</v>
      </c>
      <c r="C10" s="470"/>
      <c r="D10" s="469">
        <f>'Ratio Data'!U22</f>
        <v>4085339.58</v>
      </c>
      <c r="E10" s="464"/>
    </row>
    <row r="11" spans="1:6" ht="18.75" x14ac:dyDescent="0.3">
      <c r="A11" s="468"/>
      <c r="B11" s="470" t="s">
        <v>603</v>
      </c>
      <c r="C11" s="470"/>
      <c r="D11" s="469">
        <f>'Ratio Data'!S22</f>
        <v>0</v>
      </c>
      <c r="E11" s="464"/>
    </row>
    <row r="12" spans="1:6" ht="18.75" x14ac:dyDescent="0.3">
      <c r="A12" s="468"/>
      <c r="B12" s="465"/>
      <c r="C12" s="465"/>
      <c r="D12" s="465"/>
      <c r="E12" s="464"/>
    </row>
    <row r="13" spans="1:6" ht="18.75" x14ac:dyDescent="0.3">
      <c r="A13" s="468"/>
      <c r="B13" s="467" t="s">
        <v>602</v>
      </c>
      <c r="C13" s="466">
        <f>((D8/D4)*3.3)+((D10/D4)*0.99)+((D11/D5)*0.6)+(((D6-D7)/D4)*1.2)+((D9/D4)*1.4)</f>
        <v>-2.1008714445967263</v>
      </c>
      <c r="D13" s="465"/>
      <c r="E13" s="464"/>
    </row>
    <row r="14" spans="1:6" x14ac:dyDescent="0.25">
      <c r="A14" s="591" t="str">
        <f>IF(C13&gt;2.6,D18,IF(C13&lt;1.1,D20,D19))</f>
        <v>Bankrupt Zone</v>
      </c>
      <c r="B14" s="592"/>
      <c r="C14" s="592"/>
      <c r="D14" s="592"/>
      <c r="E14" s="593"/>
    </row>
    <row r="15" spans="1:6" x14ac:dyDescent="0.25">
      <c r="A15" s="594"/>
      <c r="B15" s="595"/>
      <c r="C15" s="595"/>
      <c r="D15" s="595"/>
      <c r="E15" s="596"/>
    </row>
    <row r="16" spans="1:6" ht="18.75" x14ac:dyDescent="0.3">
      <c r="A16" s="463"/>
      <c r="B16" s="463"/>
      <c r="C16" s="463"/>
      <c r="D16" s="463"/>
      <c r="E16" s="463"/>
    </row>
    <row r="17" spans="1:5" ht="19.5" thickBot="1" x14ac:dyDescent="0.35">
      <c r="A17" s="449"/>
      <c r="B17" s="449"/>
      <c r="C17" s="449"/>
      <c r="D17" s="449"/>
      <c r="E17" s="449"/>
    </row>
    <row r="18" spans="1:5" ht="18.75" x14ac:dyDescent="0.3">
      <c r="A18" s="462"/>
      <c r="B18" s="461" t="s">
        <v>601</v>
      </c>
      <c r="C18" s="460"/>
      <c r="D18" s="460" t="s">
        <v>600</v>
      </c>
      <c r="E18" s="459"/>
    </row>
    <row r="19" spans="1:5" ht="18.75" x14ac:dyDescent="0.3">
      <c r="A19" s="458"/>
      <c r="B19" s="457" t="s">
        <v>599</v>
      </c>
      <c r="C19" s="456"/>
      <c r="D19" s="456" t="s">
        <v>598</v>
      </c>
      <c r="E19" s="455"/>
    </row>
    <row r="20" spans="1:5" ht="19.5" thickBot="1" x14ac:dyDescent="0.35">
      <c r="A20" s="454"/>
      <c r="B20" s="453" t="s">
        <v>597</v>
      </c>
      <c r="C20" s="452"/>
      <c r="D20" s="452" t="s">
        <v>596</v>
      </c>
      <c r="E20" s="451"/>
    </row>
    <row r="21" spans="1:5" ht="18.75" x14ac:dyDescent="0.3">
      <c r="A21" s="449"/>
      <c r="B21" s="449"/>
      <c r="C21" s="449"/>
      <c r="D21" s="449"/>
      <c r="E21" s="449"/>
    </row>
    <row r="22" spans="1:5" ht="18.75" x14ac:dyDescent="0.3">
      <c r="A22" s="445"/>
      <c r="B22" s="445"/>
      <c r="C22" s="445"/>
      <c r="D22" s="445"/>
      <c r="E22" s="445"/>
    </row>
    <row r="23" spans="1:5" ht="18.75" x14ac:dyDescent="0.3">
      <c r="A23" s="445"/>
      <c r="B23" s="450" t="s">
        <v>595</v>
      </c>
      <c r="C23" s="449"/>
      <c r="D23" s="448" t="s">
        <v>594</v>
      </c>
      <c r="E23" s="445"/>
    </row>
    <row r="24" spans="1:5" ht="18.75" x14ac:dyDescent="0.3">
      <c r="A24" s="447" t="s">
        <v>593</v>
      </c>
      <c r="B24" s="445" t="s">
        <v>592</v>
      </c>
      <c r="C24" s="445"/>
      <c r="D24" s="445" t="s">
        <v>591</v>
      </c>
      <c r="E24" s="446" t="s">
        <v>581</v>
      </c>
    </row>
    <row r="25" spans="1:5" ht="18.75" x14ac:dyDescent="0.3">
      <c r="A25" s="447" t="s">
        <v>590</v>
      </c>
      <c r="B25" s="445" t="s">
        <v>589</v>
      </c>
      <c r="C25" s="445"/>
      <c r="D25" s="445" t="s">
        <v>588</v>
      </c>
      <c r="E25" s="446" t="s">
        <v>581</v>
      </c>
    </row>
    <row r="26" spans="1:5" ht="18.75" x14ac:dyDescent="0.3">
      <c r="A26" s="447" t="s">
        <v>100</v>
      </c>
      <c r="B26" s="445" t="s">
        <v>587</v>
      </c>
      <c r="C26" s="445"/>
      <c r="D26" s="445" t="s">
        <v>586</v>
      </c>
      <c r="E26" s="446" t="s">
        <v>581</v>
      </c>
    </row>
    <row r="27" spans="1:5" ht="18.75" x14ac:dyDescent="0.3">
      <c r="A27" s="447" t="s">
        <v>494</v>
      </c>
      <c r="B27" s="445" t="s">
        <v>585</v>
      </c>
      <c r="C27" s="445"/>
      <c r="D27" s="445" t="s">
        <v>584</v>
      </c>
      <c r="E27" s="446" t="s">
        <v>581</v>
      </c>
    </row>
    <row r="28" spans="1:5" ht="18.75" x14ac:dyDescent="0.3">
      <c r="A28" s="447" t="s">
        <v>493</v>
      </c>
      <c r="B28" s="445" t="s">
        <v>583</v>
      </c>
      <c r="C28" s="445"/>
      <c r="D28" s="445" t="s">
        <v>582</v>
      </c>
      <c r="E28" s="446" t="s">
        <v>581</v>
      </c>
    </row>
    <row r="29" spans="1:5" ht="18.75" x14ac:dyDescent="0.3">
      <c r="A29" s="445"/>
      <c r="B29" s="445"/>
      <c r="C29" s="445"/>
      <c r="D29" s="445"/>
      <c r="E29" s="445"/>
    </row>
    <row r="30" spans="1:5" ht="31.5" customHeight="1" x14ac:dyDescent="0.3">
      <c r="A30" s="445"/>
      <c r="B30" s="597" t="s">
        <v>580</v>
      </c>
      <c r="C30" s="597"/>
      <c r="D30" s="597"/>
      <c r="E30" s="597"/>
    </row>
    <row r="31" spans="1:5" ht="18.75" x14ac:dyDescent="0.3">
      <c r="A31" s="445"/>
      <c r="B31" s="445" t="s">
        <v>579</v>
      </c>
      <c r="C31" s="445"/>
      <c r="D31" s="445"/>
      <c r="E31" s="445"/>
    </row>
    <row r="32" spans="1:5" ht="18.75" x14ac:dyDescent="0.3">
      <c r="A32" s="445"/>
      <c r="B32" s="445"/>
      <c r="C32" s="445"/>
      <c r="D32" s="445"/>
      <c r="E32" s="445"/>
    </row>
  </sheetData>
  <mergeCells count="3">
    <mergeCell ref="C2:E2"/>
    <mergeCell ref="A14:E15"/>
    <mergeCell ref="B30:E30"/>
  </mergeCells>
  <conditionalFormatting sqref="C14:E16 A15:B16">
    <cfRule type="containsText" dxfId="82" priority="4" stopIfTrue="1" operator="containsText" text="Safety Zone">
      <formula>NOT(ISERROR(SEARCH("Safety Zone",A14)))</formula>
    </cfRule>
    <cfRule type="containsText" dxfId="81" priority="5" stopIfTrue="1" operator="containsText" text="Safety Zone">
      <formula>NOT(ISERROR(SEARCH("Safety Zone",A14)))</formula>
    </cfRule>
  </conditionalFormatting>
  <conditionalFormatting sqref="A14:E16">
    <cfRule type="containsText" dxfId="80" priority="1" stopIfTrue="1" operator="containsText" text="Bankrupt Zone">
      <formula>NOT(ISERROR(SEARCH("Bankrupt Zone",A14)))</formula>
    </cfRule>
    <cfRule type="containsText" dxfId="79" priority="2" stopIfTrue="1" operator="containsText" text="Grey Zone">
      <formula>NOT(ISERROR(SEARCH("Grey Zone",A14)))</formula>
    </cfRule>
    <cfRule type="containsText" dxfId="78" priority="3" stopIfTrue="1" operator="containsText" text="Safety Zone">
      <formula>NOT(ISERROR(SEARCH("Safety Zone",A14)))</formula>
    </cfRule>
  </conditionalFormatting>
  <pageMargins left="0.7" right="0.7" top="0.75" bottom="0.75" header="0.3" footer="0.3"/>
  <pageSetup scale="70" orientation="portrait" r:id="rId1"/>
  <headerFoot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6:E243"/>
  <sheetViews>
    <sheetView zoomScaleNormal="100" workbookViewId="0">
      <selection activeCell="H7" sqref="H7"/>
    </sheetView>
  </sheetViews>
  <sheetFormatPr defaultRowHeight="15" x14ac:dyDescent="0.25"/>
  <cols>
    <col min="2" max="2" width="51.5703125" customWidth="1"/>
    <col min="3" max="3" width="2.7109375" customWidth="1"/>
    <col min="4" max="4" width="10.5703125" customWidth="1"/>
    <col min="5" max="5" width="45.5703125" customWidth="1"/>
  </cols>
  <sheetData>
    <row r="6" spans="1:5" x14ac:dyDescent="0.25">
      <c r="A6" s="139" t="s">
        <v>182</v>
      </c>
      <c r="B6" s="139" t="s">
        <v>183</v>
      </c>
      <c r="D6" s="139" t="s">
        <v>182</v>
      </c>
      <c r="E6" s="139" t="s">
        <v>183</v>
      </c>
    </row>
    <row r="7" spans="1:5" x14ac:dyDescent="0.25">
      <c r="A7" s="549">
        <v>2421</v>
      </c>
      <c r="B7" t="s">
        <v>675</v>
      </c>
      <c r="D7" s="549">
        <v>3523</v>
      </c>
      <c r="E7" t="s">
        <v>838</v>
      </c>
    </row>
    <row r="8" spans="1:5" x14ac:dyDescent="0.25">
      <c r="A8" s="549">
        <v>2426</v>
      </c>
      <c r="B8" t="s">
        <v>676</v>
      </c>
      <c r="D8" s="549">
        <v>3524</v>
      </c>
      <c r="E8" t="s">
        <v>839</v>
      </c>
    </row>
    <row r="9" spans="1:5" x14ac:dyDescent="0.25">
      <c r="A9" s="549">
        <v>2429</v>
      </c>
      <c r="B9" t="s">
        <v>677</v>
      </c>
      <c r="D9" s="549">
        <v>3531</v>
      </c>
      <c r="E9" t="s">
        <v>840</v>
      </c>
    </row>
    <row r="10" spans="1:5" x14ac:dyDescent="0.25">
      <c r="A10" s="549">
        <v>2431</v>
      </c>
      <c r="B10" t="s">
        <v>678</v>
      </c>
      <c r="D10" s="549">
        <v>3532</v>
      </c>
      <c r="E10" t="s">
        <v>841</v>
      </c>
    </row>
    <row r="11" spans="1:5" x14ac:dyDescent="0.25">
      <c r="A11" s="549">
        <v>2434</v>
      </c>
      <c r="B11" t="s">
        <v>679</v>
      </c>
      <c r="D11" s="549">
        <v>3533</v>
      </c>
      <c r="E11" t="s">
        <v>842</v>
      </c>
    </row>
    <row r="12" spans="1:5" x14ac:dyDescent="0.25">
      <c r="A12" s="549">
        <v>2435</v>
      </c>
      <c r="B12" t="s">
        <v>680</v>
      </c>
      <c r="D12" s="549">
        <v>3534</v>
      </c>
      <c r="E12" t="s">
        <v>843</v>
      </c>
    </row>
    <row r="13" spans="1:5" x14ac:dyDescent="0.25">
      <c r="A13" s="549">
        <v>2441</v>
      </c>
      <c r="B13" t="s">
        <v>681</v>
      </c>
      <c r="D13" s="549">
        <v>3535</v>
      </c>
      <c r="E13" t="s">
        <v>844</v>
      </c>
    </row>
    <row r="14" spans="1:5" x14ac:dyDescent="0.25">
      <c r="A14" s="549">
        <v>2448</v>
      </c>
      <c r="B14" t="s">
        <v>682</v>
      </c>
      <c r="D14" s="549">
        <v>3536</v>
      </c>
      <c r="E14" t="s">
        <v>845</v>
      </c>
    </row>
    <row r="15" spans="1:5" x14ac:dyDescent="0.25">
      <c r="A15" s="549">
        <v>2449</v>
      </c>
      <c r="B15" t="s">
        <v>683</v>
      </c>
      <c r="D15" s="549">
        <v>3537</v>
      </c>
      <c r="E15" t="s">
        <v>846</v>
      </c>
    </row>
    <row r="16" spans="1:5" x14ac:dyDescent="0.25">
      <c r="A16" s="549">
        <v>2451</v>
      </c>
      <c r="B16" t="s">
        <v>184</v>
      </c>
      <c r="D16" s="549">
        <v>3541</v>
      </c>
      <c r="E16" t="s">
        <v>199</v>
      </c>
    </row>
    <row r="17" spans="1:5" x14ac:dyDescent="0.25">
      <c r="A17" s="549">
        <v>2452</v>
      </c>
      <c r="B17" t="s">
        <v>684</v>
      </c>
      <c r="D17" s="549">
        <v>3542</v>
      </c>
      <c r="E17" t="s">
        <v>847</v>
      </c>
    </row>
    <row r="18" spans="1:5" x14ac:dyDescent="0.25">
      <c r="A18" s="549">
        <v>2491</v>
      </c>
      <c r="B18" t="s">
        <v>685</v>
      </c>
      <c r="D18" s="549">
        <v>3543</v>
      </c>
      <c r="E18" t="s">
        <v>848</v>
      </c>
    </row>
    <row r="19" spans="1:5" x14ac:dyDescent="0.25">
      <c r="A19" s="549">
        <v>2493</v>
      </c>
      <c r="B19" t="s">
        <v>686</v>
      </c>
      <c r="D19" s="549">
        <v>3544</v>
      </c>
      <c r="E19" t="s">
        <v>849</v>
      </c>
    </row>
    <row r="20" spans="1:5" x14ac:dyDescent="0.25">
      <c r="A20" s="549">
        <v>2499</v>
      </c>
      <c r="B20" t="s">
        <v>687</v>
      </c>
      <c r="D20" s="549">
        <v>3545</v>
      </c>
      <c r="E20" t="s">
        <v>850</v>
      </c>
    </row>
    <row r="21" spans="1:5" x14ac:dyDescent="0.25">
      <c r="A21" s="549">
        <v>2511</v>
      </c>
      <c r="B21" t="s">
        <v>688</v>
      </c>
      <c r="D21" s="549">
        <v>3546</v>
      </c>
      <c r="E21" t="s">
        <v>851</v>
      </c>
    </row>
    <row r="22" spans="1:5" x14ac:dyDescent="0.25">
      <c r="A22" s="549">
        <v>2512</v>
      </c>
      <c r="B22" t="s">
        <v>689</v>
      </c>
      <c r="D22" s="549">
        <v>3547</v>
      </c>
      <c r="E22" t="s">
        <v>852</v>
      </c>
    </row>
    <row r="23" spans="1:5" x14ac:dyDescent="0.25">
      <c r="A23" s="549">
        <v>2514</v>
      </c>
      <c r="B23" t="s">
        <v>690</v>
      </c>
      <c r="D23" s="549">
        <v>3548</v>
      </c>
      <c r="E23" t="s">
        <v>853</v>
      </c>
    </row>
    <row r="24" spans="1:5" x14ac:dyDescent="0.25">
      <c r="A24" s="549">
        <v>2515</v>
      </c>
      <c r="B24" t="s">
        <v>691</v>
      </c>
      <c r="D24" s="549">
        <v>3549</v>
      </c>
      <c r="E24" t="s">
        <v>854</v>
      </c>
    </row>
    <row r="25" spans="1:5" x14ac:dyDescent="0.25">
      <c r="A25" s="549">
        <v>2517</v>
      </c>
      <c r="B25" t="s">
        <v>692</v>
      </c>
      <c r="D25" s="549">
        <v>3552</v>
      </c>
      <c r="E25" t="s">
        <v>855</v>
      </c>
    </row>
    <row r="26" spans="1:5" x14ac:dyDescent="0.25">
      <c r="A26" s="549">
        <v>2519</v>
      </c>
      <c r="B26" t="s">
        <v>693</v>
      </c>
      <c r="D26" s="549">
        <v>3553</v>
      </c>
      <c r="E26" t="s">
        <v>856</v>
      </c>
    </row>
    <row r="27" spans="1:5" x14ac:dyDescent="0.25">
      <c r="A27" s="549">
        <v>2521</v>
      </c>
      <c r="B27" t="s">
        <v>694</v>
      </c>
      <c r="D27" s="549">
        <v>3554</v>
      </c>
      <c r="E27" t="s">
        <v>857</v>
      </c>
    </row>
    <row r="28" spans="1:5" x14ac:dyDescent="0.25">
      <c r="A28" s="549">
        <v>2522</v>
      </c>
      <c r="B28" t="s">
        <v>695</v>
      </c>
      <c r="D28" s="549">
        <v>3555</v>
      </c>
      <c r="E28" t="s">
        <v>858</v>
      </c>
    </row>
    <row r="29" spans="1:5" x14ac:dyDescent="0.25">
      <c r="A29" s="549">
        <v>2531</v>
      </c>
      <c r="B29" t="s">
        <v>696</v>
      </c>
      <c r="D29" s="549">
        <v>3556</v>
      </c>
      <c r="E29" t="s">
        <v>859</v>
      </c>
    </row>
    <row r="30" spans="1:5" x14ac:dyDescent="0.25">
      <c r="A30" s="549">
        <v>2541</v>
      </c>
      <c r="B30" t="s">
        <v>697</v>
      </c>
      <c r="D30" s="549">
        <v>3559</v>
      </c>
      <c r="E30" t="s">
        <v>860</v>
      </c>
    </row>
    <row r="31" spans="1:5" x14ac:dyDescent="0.25">
      <c r="A31" s="549">
        <v>2542</v>
      </c>
      <c r="B31" t="s">
        <v>698</v>
      </c>
      <c r="D31" s="549">
        <v>3561</v>
      </c>
      <c r="E31" t="s">
        <v>861</v>
      </c>
    </row>
    <row r="32" spans="1:5" x14ac:dyDescent="0.25">
      <c r="A32" s="549">
        <v>2591</v>
      </c>
      <c r="B32" t="s">
        <v>699</v>
      </c>
      <c r="D32" s="549">
        <v>3562</v>
      </c>
      <c r="E32" t="s">
        <v>862</v>
      </c>
    </row>
    <row r="33" spans="1:5" x14ac:dyDescent="0.25">
      <c r="A33" s="549">
        <v>2599</v>
      </c>
      <c r="B33" t="s">
        <v>700</v>
      </c>
      <c r="D33" s="549">
        <v>3563</v>
      </c>
      <c r="E33" t="s">
        <v>863</v>
      </c>
    </row>
    <row r="34" spans="1:5" x14ac:dyDescent="0.25">
      <c r="A34" s="549">
        <v>2611</v>
      </c>
      <c r="B34" t="s">
        <v>185</v>
      </c>
      <c r="D34" s="549">
        <v>3564</v>
      </c>
      <c r="E34" t="s">
        <v>864</v>
      </c>
    </row>
    <row r="35" spans="1:5" x14ac:dyDescent="0.25">
      <c r="A35" s="549">
        <v>2621</v>
      </c>
      <c r="B35" t="s">
        <v>186</v>
      </c>
      <c r="D35" s="549">
        <v>3565</v>
      </c>
      <c r="E35" t="s">
        <v>865</v>
      </c>
    </row>
    <row r="36" spans="1:5" x14ac:dyDescent="0.25">
      <c r="A36" s="549">
        <v>2631</v>
      </c>
      <c r="B36" t="s">
        <v>187</v>
      </c>
      <c r="D36" s="549">
        <v>3566</v>
      </c>
      <c r="E36" t="s">
        <v>866</v>
      </c>
    </row>
    <row r="37" spans="1:5" x14ac:dyDescent="0.25">
      <c r="A37" s="549">
        <v>2652</v>
      </c>
      <c r="B37" t="s">
        <v>701</v>
      </c>
      <c r="D37" s="549">
        <v>3567</v>
      </c>
      <c r="E37" t="s">
        <v>867</v>
      </c>
    </row>
    <row r="38" spans="1:5" x14ac:dyDescent="0.25">
      <c r="A38" s="549">
        <v>2653</v>
      </c>
      <c r="B38" t="s">
        <v>702</v>
      </c>
      <c r="D38" s="549">
        <v>3568</v>
      </c>
      <c r="E38" t="s">
        <v>868</v>
      </c>
    </row>
    <row r="39" spans="1:5" x14ac:dyDescent="0.25">
      <c r="A39" s="549">
        <v>2655</v>
      </c>
      <c r="B39" t="s">
        <v>703</v>
      </c>
      <c r="D39" s="549">
        <v>3569</v>
      </c>
      <c r="E39" t="s">
        <v>869</v>
      </c>
    </row>
    <row r="40" spans="1:5" x14ac:dyDescent="0.25">
      <c r="A40" s="549">
        <v>2656</v>
      </c>
      <c r="B40" t="s">
        <v>704</v>
      </c>
      <c r="D40" s="549">
        <v>3571</v>
      </c>
      <c r="E40" t="s">
        <v>200</v>
      </c>
    </row>
    <row r="41" spans="1:5" x14ac:dyDescent="0.25">
      <c r="A41" s="549">
        <v>2657</v>
      </c>
      <c r="B41" t="s">
        <v>705</v>
      </c>
      <c r="D41" s="549">
        <v>3572</v>
      </c>
      <c r="E41" t="s">
        <v>201</v>
      </c>
    </row>
    <row r="42" spans="1:5" x14ac:dyDescent="0.25">
      <c r="A42" s="549">
        <v>2671</v>
      </c>
      <c r="B42" t="s">
        <v>706</v>
      </c>
      <c r="D42" s="549">
        <v>3575</v>
      </c>
      <c r="E42" t="s">
        <v>202</v>
      </c>
    </row>
    <row r="43" spans="1:5" x14ac:dyDescent="0.25">
      <c r="A43" s="549">
        <v>2672</v>
      </c>
      <c r="B43" t="s">
        <v>707</v>
      </c>
      <c r="D43" s="549">
        <v>3577</v>
      </c>
      <c r="E43" t="s">
        <v>870</v>
      </c>
    </row>
    <row r="44" spans="1:5" x14ac:dyDescent="0.25">
      <c r="A44" s="549">
        <v>2673</v>
      </c>
      <c r="B44" t="s">
        <v>708</v>
      </c>
      <c r="D44" s="549">
        <v>3578</v>
      </c>
      <c r="E44" t="s">
        <v>871</v>
      </c>
    </row>
    <row r="45" spans="1:5" x14ac:dyDescent="0.25">
      <c r="A45" s="549">
        <v>2674</v>
      </c>
      <c r="B45" t="s">
        <v>709</v>
      </c>
      <c r="D45" s="549">
        <v>3579</v>
      </c>
      <c r="E45" t="s">
        <v>872</v>
      </c>
    </row>
    <row r="46" spans="1:5" x14ac:dyDescent="0.25">
      <c r="A46" s="549">
        <v>2675</v>
      </c>
      <c r="B46" t="s">
        <v>710</v>
      </c>
      <c r="D46" s="549">
        <v>3581</v>
      </c>
      <c r="E46" t="s">
        <v>873</v>
      </c>
    </row>
    <row r="47" spans="1:5" x14ac:dyDescent="0.25">
      <c r="A47" s="549">
        <v>2676</v>
      </c>
      <c r="B47" t="s">
        <v>711</v>
      </c>
      <c r="D47" s="549">
        <v>3582</v>
      </c>
      <c r="E47" t="s">
        <v>874</v>
      </c>
    </row>
    <row r="48" spans="1:5" x14ac:dyDescent="0.25">
      <c r="A48" s="549">
        <v>2677</v>
      </c>
      <c r="B48" t="s">
        <v>712</v>
      </c>
      <c r="D48" s="549">
        <v>3585</v>
      </c>
      <c r="E48" t="s">
        <v>875</v>
      </c>
    </row>
    <row r="49" spans="1:5" x14ac:dyDescent="0.25">
      <c r="A49" s="549">
        <v>2678</v>
      </c>
      <c r="B49" t="s">
        <v>713</v>
      </c>
      <c r="D49" s="549">
        <v>3586</v>
      </c>
      <c r="E49" t="s">
        <v>876</v>
      </c>
    </row>
    <row r="50" spans="1:5" x14ac:dyDescent="0.25">
      <c r="A50" s="549">
        <v>2679</v>
      </c>
      <c r="B50" t="s">
        <v>714</v>
      </c>
      <c r="D50" s="549">
        <v>3589</v>
      </c>
      <c r="E50" t="s">
        <v>877</v>
      </c>
    </row>
    <row r="51" spans="1:5" x14ac:dyDescent="0.25">
      <c r="A51" s="549">
        <v>2782</v>
      </c>
      <c r="B51" t="s">
        <v>715</v>
      </c>
      <c r="D51" s="549">
        <v>3592</v>
      </c>
      <c r="E51" t="s">
        <v>878</v>
      </c>
    </row>
    <row r="52" spans="1:5" x14ac:dyDescent="0.25">
      <c r="A52" s="549">
        <v>2812</v>
      </c>
      <c r="B52" t="s">
        <v>716</v>
      </c>
      <c r="D52" s="549">
        <v>3593</v>
      </c>
      <c r="E52" t="s">
        <v>879</v>
      </c>
    </row>
    <row r="53" spans="1:5" x14ac:dyDescent="0.25">
      <c r="A53" s="549">
        <v>2813</v>
      </c>
      <c r="B53" t="s">
        <v>717</v>
      </c>
      <c r="D53" s="549">
        <v>3594</v>
      </c>
      <c r="E53" t="s">
        <v>880</v>
      </c>
    </row>
    <row r="54" spans="1:5" x14ac:dyDescent="0.25">
      <c r="A54" s="549">
        <v>2816</v>
      </c>
      <c r="B54" t="s">
        <v>718</v>
      </c>
      <c r="D54" s="549">
        <v>3596</v>
      </c>
      <c r="E54" t="s">
        <v>881</v>
      </c>
    </row>
    <row r="55" spans="1:5" x14ac:dyDescent="0.25">
      <c r="A55" s="549">
        <v>2819</v>
      </c>
      <c r="B55" t="s">
        <v>719</v>
      </c>
      <c r="D55" s="549">
        <v>3599</v>
      </c>
      <c r="E55" t="s">
        <v>882</v>
      </c>
    </row>
    <row r="56" spans="1:5" x14ac:dyDescent="0.25">
      <c r="A56" s="549">
        <v>2821</v>
      </c>
      <c r="B56" t="s">
        <v>720</v>
      </c>
      <c r="D56" s="549">
        <v>3612</v>
      </c>
      <c r="E56" t="s">
        <v>883</v>
      </c>
    </row>
    <row r="57" spans="1:5" x14ac:dyDescent="0.25">
      <c r="A57" s="549">
        <v>2822</v>
      </c>
      <c r="B57" t="s">
        <v>721</v>
      </c>
      <c r="D57" s="549">
        <v>3613</v>
      </c>
      <c r="E57" t="s">
        <v>884</v>
      </c>
    </row>
    <row r="58" spans="1:5" x14ac:dyDescent="0.25">
      <c r="A58" s="549">
        <v>2823</v>
      </c>
      <c r="B58" t="s">
        <v>722</v>
      </c>
      <c r="D58" s="549">
        <v>3621</v>
      </c>
      <c r="E58" t="s">
        <v>885</v>
      </c>
    </row>
    <row r="59" spans="1:5" x14ac:dyDescent="0.25">
      <c r="A59" s="549">
        <v>2824</v>
      </c>
      <c r="B59" t="s">
        <v>723</v>
      </c>
      <c r="D59" s="549">
        <v>3624</v>
      </c>
      <c r="E59" t="s">
        <v>886</v>
      </c>
    </row>
    <row r="60" spans="1:5" x14ac:dyDescent="0.25">
      <c r="A60" s="549">
        <v>2833</v>
      </c>
      <c r="B60" t="s">
        <v>724</v>
      </c>
      <c r="D60" s="549">
        <v>3625</v>
      </c>
      <c r="E60" t="s">
        <v>887</v>
      </c>
    </row>
    <row r="61" spans="1:5" x14ac:dyDescent="0.25">
      <c r="A61" s="549">
        <v>2834</v>
      </c>
      <c r="B61" t="s">
        <v>188</v>
      </c>
      <c r="D61" s="549">
        <v>3629</v>
      </c>
      <c r="E61" t="s">
        <v>888</v>
      </c>
    </row>
    <row r="62" spans="1:5" x14ac:dyDescent="0.25">
      <c r="A62" s="549">
        <v>2835</v>
      </c>
      <c r="B62" t="s">
        <v>725</v>
      </c>
      <c r="D62" s="549">
        <v>3631</v>
      </c>
      <c r="E62" t="s">
        <v>889</v>
      </c>
    </row>
    <row r="63" spans="1:5" x14ac:dyDescent="0.25">
      <c r="A63" s="549">
        <v>2836</v>
      </c>
      <c r="B63" t="s">
        <v>726</v>
      </c>
      <c r="D63" s="549">
        <v>3632</v>
      </c>
      <c r="E63" t="s">
        <v>890</v>
      </c>
    </row>
    <row r="64" spans="1:5" x14ac:dyDescent="0.25">
      <c r="A64" s="549">
        <v>2841</v>
      </c>
      <c r="B64" t="s">
        <v>727</v>
      </c>
      <c r="D64" s="549">
        <v>3633</v>
      </c>
      <c r="E64" t="s">
        <v>891</v>
      </c>
    </row>
    <row r="65" spans="1:5" x14ac:dyDescent="0.25">
      <c r="A65" s="549">
        <v>2842</v>
      </c>
      <c r="B65" t="s">
        <v>728</v>
      </c>
      <c r="D65" s="549">
        <v>3634</v>
      </c>
      <c r="E65" t="s">
        <v>892</v>
      </c>
    </row>
    <row r="66" spans="1:5" x14ac:dyDescent="0.25">
      <c r="A66" s="549">
        <v>2844</v>
      </c>
      <c r="B66" t="s">
        <v>729</v>
      </c>
      <c r="D66" s="549">
        <v>3635</v>
      </c>
      <c r="E66" t="s">
        <v>893</v>
      </c>
    </row>
    <row r="67" spans="1:5" x14ac:dyDescent="0.25">
      <c r="A67" s="549">
        <v>2851</v>
      </c>
      <c r="B67" t="s">
        <v>730</v>
      </c>
      <c r="D67" s="549">
        <v>3639</v>
      </c>
      <c r="E67" t="s">
        <v>894</v>
      </c>
    </row>
    <row r="68" spans="1:5" x14ac:dyDescent="0.25">
      <c r="A68" s="549">
        <v>2861</v>
      </c>
      <c r="B68" t="s">
        <v>731</v>
      </c>
      <c r="D68" s="549">
        <v>3641</v>
      </c>
      <c r="E68" t="s">
        <v>895</v>
      </c>
    </row>
    <row r="69" spans="1:5" x14ac:dyDescent="0.25">
      <c r="A69" s="549">
        <v>2865</v>
      </c>
      <c r="B69" t="s">
        <v>732</v>
      </c>
      <c r="D69" s="549">
        <v>3643</v>
      </c>
      <c r="E69" t="s">
        <v>896</v>
      </c>
    </row>
    <row r="70" spans="1:5" x14ac:dyDescent="0.25">
      <c r="A70" s="549">
        <v>2869</v>
      </c>
      <c r="B70" t="s">
        <v>733</v>
      </c>
      <c r="D70" s="549">
        <v>3644</v>
      </c>
      <c r="E70" t="s">
        <v>897</v>
      </c>
    </row>
    <row r="71" spans="1:5" x14ac:dyDescent="0.25">
      <c r="A71" s="549">
        <v>2873</v>
      </c>
      <c r="B71" t="s">
        <v>734</v>
      </c>
      <c r="D71" s="549">
        <v>3645</v>
      </c>
      <c r="E71" t="s">
        <v>898</v>
      </c>
    </row>
    <row r="72" spans="1:5" x14ac:dyDescent="0.25">
      <c r="A72" s="549">
        <v>2874</v>
      </c>
      <c r="B72" t="s">
        <v>735</v>
      </c>
      <c r="D72" s="549">
        <v>3646</v>
      </c>
      <c r="E72" t="s">
        <v>899</v>
      </c>
    </row>
    <row r="73" spans="1:5" x14ac:dyDescent="0.25">
      <c r="A73" s="549">
        <v>2875</v>
      </c>
      <c r="B73" t="s">
        <v>736</v>
      </c>
      <c r="D73" s="549">
        <v>3647</v>
      </c>
      <c r="E73" t="s">
        <v>900</v>
      </c>
    </row>
    <row r="74" spans="1:5" x14ac:dyDescent="0.25">
      <c r="A74" s="549">
        <v>2879</v>
      </c>
      <c r="B74" t="s">
        <v>737</v>
      </c>
      <c r="D74" s="549">
        <v>3648</v>
      </c>
      <c r="E74" t="s">
        <v>901</v>
      </c>
    </row>
    <row r="75" spans="1:5" x14ac:dyDescent="0.25">
      <c r="A75" s="549">
        <v>2891</v>
      </c>
      <c r="B75" t="s">
        <v>738</v>
      </c>
      <c r="D75" s="549">
        <v>3651</v>
      </c>
      <c r="E75" t="s">
        <v>902</v>
      </c>
    </row>
    <row r="76" spans="1:5" x14ac:dyDescent="0.25">
      <c r="A76" s="549">
        <v>2892</v>
      </c>
      <c r="B76" t="s">
        <v>739</v>
      </c>
      <c r="D76" s="549">
        <v>3652</v>
      </c>
      <c r="E76" t="s">
        <v>903</v>
      </c>
    </row>
    <row r="77" spans="1:5" x14ac:dyDescent="0.25">
      <c r="A77" s="549">
        <v>2893</v>
      </c>
      <c r="B77" t="s">
        <v>740</v>
      </c>
      <c r="D77" s="549">
        <v>3661</v>
      </c>
      <c r="E77" t="s">
        <v>904</v>
      </c>
    </row>
    <row r="78" spans="1:5" x14ac:dyDescent="0.25">
      <c r="A78" s="549">
        <v>2895</v>
      </c>
      <c r="B78" t="s">
        <v>741</v>
      </c>
      <c r="D78" s="549">
        <v>3663</v>
      </c>
      <c r="E78" t="s">
        <v>905</v>
      </c>
    </row>
    <row r="79" spans="1:5" x14ac:dyDescent="0.25">
      <c r="A79" s="549">
        <v>2899</v>
      </c>
      <c r="B79" t="s">
        <v>742</v>
      </c>
      <c r="D79" s="549">
        <v>3669</v>
      </c>
      <c r="E79" t="s">
        <v>906</v>
      </c>
    </row>
    <row r="80" spans="1:5" x14ac:dyDescent="0.25">
      <c r="A80" s="549">
        <v>2911</v>
      </c>
      <c r="B80" t="s">
        <v>189</v>
      </c>
      <c r="D80" s="549">
        <v>3671</v>
      </c>
      <c r="E80" t="s">
        <v>907</v>
      </c>
    </row>
    <row r="81" spans="1:5" x14ac:dyDescent="0.25">
      <c r="A81" s="549">
        <v>2951</v>
      </c>
      <c r="B81" t="s">
        <v>743</v>
      </c>
      <c r="D81" s="549">
        <v>3672</v>
      </c>
      <c r="E81" t="s">
        <v>203</v>
      </c>
    </row>
    <row r="82" spans="1:5" x14ac:dyDescent="0.25">
      <c r="A82" s="549">
        <v>2952</v>
      </c>
      <c r="B82" t="s">
        <v>744</v>
      </c>
      <c r="D82" s="549">
        <v>3674</v>
      </c>
      <c r="E82" t="s">
        <v>908</v>
      </c>
    </row>
    <row r="83" spans="1:5" x14ac:dyDescent="0.25">
      <c r="A83" s="549">
        <v>2999</v>
      </c>
      <c r="B83" t="s">
        <v>745</v>
      </c>
      <c r="D83" s="549">
        <v>3675</v>
      </c>
      <c r="E83" t="s">
        <v>909</v>
      </c>
    </row>
    <row r="84" spans="1:5" x14ac:dyDescent="0.25">
      <c r="A84" s="549">
        <v>3011</v>
      </c>
      <c r="B84" t="s">
        <v>746</v>
      </c>
      <c r="D84" s="549">
        <v>3676</v>
      </c>
      <c r="E84" t="s">
        <v>910</v>
      </c>
    </row>
    <row r="85" spans="1:5" x14ac:dyDescent="0.25">
      <c r="A85" s="549">
        <v>3021</v>
      </c>
      <c r="B85" t="s">
        <v>747</v>
      </c>
      <c r="D85" s="549">
        <v>3677</v>
      </c>
      <c r="E85" t="s">
        <v>911</v>
      </c>
    </row>
    <row r="86" spans="1:5" x14ac:dyDescent="0.25">
      <c r="A86" s="549">
        <v>3052</v>
      </c>
      <c r="B86" t="s">
        <v>748</v>
      </c>
      <c r="D86" s="549">
        <v>3678</v>
      </c>
      <c r="E86" t="s">
        <v>204</v>
      </c>
    </row>
    <row r="87" spans="1:5" x14ac:dyDescent="0.25">
      <c r="A87" s="549">
        <v>3053</v>
      </c>
      <c r="B87" t="s">
        <v>749</v>
      </c>
      <c r="D87" s="549">
        <v>3679</v>
      </c>
      <c r="E87" t="s">
        <v>912</v>
      </c>
    </row>
    <row r="88" spans="1:5" x14ac:dyDescent="0.25">
      <c r="A88" s="549">
        <v>3061</v>
      </c>
      <c r="B88" t="s">
        <v>750</v>
      </c>
      <c r="D88" s="549">
        <v>3691</v>
      </c>
      <c r="E88" t="s">
        <v>913</v>
      </c>
    </row>
    <row r="89" spans="1:5" x14ac:dyDescent="0.25">
      <c r="A89" s="549">
        <v>3069</v>
      </c>
      <c r="B89" t="s">
        <v>751</v>
      </c>
      <c r="D89" s="549">
        <v>3692</v>
      </c>
      <c r="E89" t="s">
        <v>914</v>
      </c>
    </row>
    <row r="90" spans="1:5" x14ac:dyDescent="0.25">
      <c r="A90" s="549">
        <v>3081</v>
      </c>
      <c r="B90" t="s">
        <v>752</v>
      </c>
      <c r="D90" s="549">
        <v>3694</v>
      </c>
      <c r="E90" t="s">
        <v>915</v>
      </c>
    </row>
    <row r="91" spans="1:5" x14ac:dyDescent="0.25">
      <c r="A91" s="549">
        <v>3082</v>
      </c>
      <c r="B91" t="s">
        <v>753</v>
      </c>
      <c r="D91" s="549">
        <v>3695</v>
      </c>
      <c r="E91" t="s">
        <v>916</v>
      </c>
    </row>
    <row r="92" spans="1:5" x14ac:dyDescent="0.25">
      <c r="A92" s="549">
        <v>3083</v>
      </c>
      <c r="B92" t="s">
        <v>754</v>
      </c>
      <c r="D92" s="549">
        <v>3699</v>
      </c>
      <c r="E92" t="s">
        <v>917</v>
      </c>
    </row>
    <row r="93" spans="1:5" x14ac:dyDescent="0.25">
      <c r="A93" s="549">
        <v>3084</v>
      </c>
      <c r="B93" t="s">
        <v>755</v>
      </c>
      <c r="D93" s="549">
        <v>3711</v>
      </c>
      <c r="E93" t="s">
        <v>918</v>
      </c>
    </row>
    <row r="94" spans="1:5" x14ac:dyDescent="0.25">
      <c r="A94" s="549">
        <v>3085</v>
      </c>
      <c r="B94" t="s">
        <v>756</v>
      </c>
      <c r="D94" s="549">
        <v>3713</v>
      </c>
      <c r="E94" t="s">
        <v>919</v>
      </c>
    </row>
    <row r="95" spans="1:5" x14ac:dyDescent="0.25">
      <c r="A95" s="549">
        <v>3086</v>
      </c>
      <c r="B95" t="s">
        <v>190</v>
      </c>
      <c r="D95" s="549">
        <v>3714</v>
      </c>
      <c r="E95" t="s">
        <v>920</v>
      </c>
    </row>
    <row r="96" spans="1:5" x14ac:dyDescent="0.25">
      <c r="A96" s="549">
        <v>3088</v>
      </c>
      <c r="B96" t="s">
        <v>757</v>
      </c>
      <c r="D96" s="549">
        <v>3715</v>
      </c>
      <c r="E96" t="s">
        <v>205</v>
      </c>
    </row>
    <row r="97" spans="1:5" x14ac:dyDescent="0.25">
      <c r="A97" s="549">
        <v>3089</v>
      </c>
      <c r="B97" t="s">
        <v>758</v>
      </c>
      <c r="D97" s="549">
        <v>3716</v>
      </c>
      <c r="E97" t="s">
        <v>206</v>
      </c>
    </row>
    <row r="98" spans="1:5" x14ac:dyDescent="0.25">
      <c r="A98" s="549">
        <v>3131</v>
      </c>
      <c r="B98" t="s">
        <v>759</v>
      </c>
      <c r="D98" s="549">
        <v>3721</v>
      </c>
      <c r="E98" t="s">
        <v>207</v>
      </c>
    </row>
    <row r="99" spans="1:5" x14ac:dyDescent="0.25">
      <c r="A99" s="549">
        <v>3142</v>
      </c>
      <c r="B99" t="s">
        <v>760</v>
      </c>
      <c r="D99" s="549">
        <v>3724</v>
      </c>
      <c r="E99" t="s">
        <v>921</v>
      </c>
    </row>
    <row r="100" spans="1:5" x14ac:dyDescent="0.25">
      <c r="A100" s="549">
        <v>3143</v>
      </c>
      <c r="B100" t="s">
        <v>761</v>
      </c>
      <c r="D100" s="549">
        <v>3728</v>
      </c>
      <c r="E100" t="s">
        <v>922</v>
      </c>
    </row>
    <row r="101" spans="1:5" x14ac:dyDescent="0.25">
      <c r="A101" s="549">
        <v>3144</v>
      </c>
      <c r="B101" t="s">
        <v>762</v>
      </c>
      <c r="D101" s="549">
        <v>3732</v>
      </c>
      <c r="E101" t="s">
        <v>923</v>
      </c>
    </row>
    <row r="102" spans="1:5" x14ac:dyDescent="0.25">
      <c r="A102" s="549">
        <v>3149</v>
      </c>
      <c r="B102" t="s">
        <v>763</v>
      </c>
      <c r="D102" s="549">
        <v>3743</v>
      </c>
      <c r="E102" t="s">
        <v>208</v>
      </c>
    </row>
    <row r="103" spans="1:5" x14ac:dyDescent="0.25">
      <c r="A103" s="549">
        <v>3151</v>
      </c>
      <c r="B103" t="s">
        <v>764</v>
      </c>
      <c r="D103" s="549">
        <v>3751</v>
      </c>
      <c r="E103" t="s">
        <v>924</v>
      </c>
    </row>
    <row r="104" spans="1:5" x14ac:dyDescent="0.25">
      <c r="A104" s="549">
        <v>3161</v>
      </c>
      <c r="B104" t="s">
        <v>765</v>
      </c>
      <c r="D104" s="549">
        <v>3761</v>
      </c>
      <c r="E104" t="s">
        <v>925</v>
      </c>
    </row>
    <row r="105" spans="1:5" x14ac:dyDescent="0.25">
      <c r="A105" s="549">
        <v>3171</v>
      </c>
      <c r="B105" t="s">
        <v>766</v>
      </c>
      <c r="D105" s="549">
        <v>3764</v>
      </c>
      <c r="E105" t="s">
        <v>926</v>
      </c>
    </row>
    <row r="106" spans="1:5" x14ac:dyDescent="0.25">
      <c r="A106" s="549">
        <v>3172</v>
      </c>
      <c r="B106" t="s">
        <v>767</v>
      </c>
      <c r="D106" s="549">
        <v>3769</v>
      </c>
      <c r="E106" t="s">
        <v>927</v>
      </c>
    </row>
    <row r="107" spans="1:5" x14ac:dyDescent="0.25">
      <c r="A107" s="549">
        <v>3199</v>
      </c>
      <c r="B107" t="s">
        <v>768</v>
      </c>
      <c r="D107" s="549">
        <v>3792</v>
      </c>
      <c r="E107" t="s">
        <v>928</v>
      </c>
    </row>
    <row r="108" spans="1:5" x14ac:dyDescent="0.25">
      <c r="A108" s="549">
        <v>3211</v>
      </c>
      <c r="B108" t="s">
        <v>191</v>
      </c>
      <c r="D108" s="549">
        <v>3795</v>
      </c>
      <c r="E108" t="s">
        <v>929</v>
      </c>
    </row>
    <row r="109" spans="1:5" x14ac:dyDescent="0.25">
      <c r="A109" s="549">
        <v>3221</v>
      </c>
      <c r="B109" t="s">
        <v>192</v>
      </c>
      <c r="D109" s="549">
        <v>3799</v>
      </c>
      <c r="E109" t="s">
        <v>930</v>
      </c>
    </row>
    <row r="110" spans="1:5" x14ac:dyDescent="0.25">
      <c r="A110" s="549">
        <v>3229</v>
      </c>
      <c r="B110" t="s">
        <v>769</v>
      </c>
      <c r="D110" s="549">
        <v>3812</v>
      </c>
      <c r="E110" t="s">
        <v>931</v>
      </c>
    </row>
    <row r="111" spans="1:5" x14ac:dyDescent="0.25">
      <c r="A111" s="549">
        <v>3231</v>
      </c>
      <c r="B111" t="s">
        <v>193</v>
      </c>
      <c r="D111" s="549">
        <v>3821</v>
      </c>
      <c r="E111" t="s">
        <v>932</v>
      </c>
    </row>
    <row r="112" spans="1:5" x14ac:dyDescent="0.25">
      <c r="A112" s="549">
        <v>3241</v>
      </c>
      <c r="B112" t="s">
        <v>194</v>
      </c>
      <c r="D112" s="549">
        <v>3822</v>
      </c>
      <c r="E112" t="s">
        <v>933</v>
      </c>
    </row>
    <row r="113" spans="1:5" x14ac:dyDescent="0.25">
      <c r="A113" s="549">
        <v>3251</v>
      </c>
      <c r="B113" t="s">
        <v>770</v>
      </c>
      <c r="D113" s="549">
        <v>3823</v>
      </c>
      <c r="E113" t="s">
        <v>934</v>
      </c>
    </row>
    <row r="114" spans="1:5" x14ac:dyDescent="0.25">
      <c r="A114" s="549">
        <v>3253</v>
      </c>
      <c r="B114" t="s">
        <v>771</v>
      </c>
      <c r="D114" s="549">
        <v>3824</v>
      </c>
      <c r="E114" t="s">
        <v>935</v>
      </c>
    </row>
    <row r="115" spans="1:5" x14ac:dyDescent="0.25">
      <c r="A115" s="549">
        <v>3255</v>
      </c>
      <c r="B115" t="s">
        <v>772</v>
      </c>
      <c r="D115" s="549">
        <v>3825</v>
      </c>
      <c r="E115" t="s">
        <v>936</v>
      </c>
    </row>
    <row r="116" spans="1:5" x14ac:dyDescent="0.25">
      <c r="A116" s="549">
        <v>3259</v>
      </c>
      <c r="B116" t="s">
        <v>773</v>
      </c>
      <c r="D116" s="549">
        <v>3826</v>
      </c>
      <c r="E116" t="s">
        <v>209</v>
      </c>
    </row>
    <row r="117" spans="1:5" x14ac:dyDescent="0.25">
      <c r="A117" s="549">
        <v>3261</v>
      </c>
      <c r="B117" t="s">
        <v>774</v>
      </c>
      <c r="D117" s="549">
        <v>3827</v>
      </c>
      <c r="E117" t="s">
        <v>937</v>
      </c>
    </row>
    <row r="118" spans="1:5" x14ac:dyDescent="0.25">
      <c r="A118" s="549">
        <v>3262</v>
      </c>
      <c r="B118" t="s">
        <v>775</v>
      </c>
      <c r="D118" s="549">
        <v>3829</v>
      </c>
      <c r="E118" t="s">
        <v>938</v>
      </c>
    </row>
    <row r="119" spans="1:5" x14ac:dyDescent="0.25">
      <c r="A119" s="549">
        <v>3263</v>
      </c>
      <c r="B119" t="s">
        <v>776</v>
      </c>
      <c r="D119" s="549">
        <v>3841</v>
      </c>
      <c r="E119" t="s">
        <v>939</v>
      </c>
    </row>
    <row r="120" spans="1:5" x14ac:dyDescent="0.25">
      <c r="A120" s="549">
        <v>3264</v>
      </c>
      <c r="B120" t="s">
        <v>777</v>
      </c>
      <c r="D120" s="549">
        <v>3842</v>
      </c>
      <c r="E120" t="s">
        <v>940</v>
      </c>
    </row>
    <row r="121" spans="1:5" x14ac:dyDescent="0.25">
      <c r="A121" s="549">
        <v>3269</v>
      </c>
      <c r="B121" t="s">
        <v>778</v>
      </c>
      <c r="D121" s="549">
        <v>3843</v>
      </c>
      <c r="E121" t="s">
        <v>941</v>
      </c>
    </row>
    <row r="122" spans="1:5" x14ac:dyDescent="0.25">
      <c r="A122" s="549">
        <v>3271</v>
      </c>
      <c r="B122" t="s">
        <v>779</v>
      </c>
      <c r="D122" s="549">
        <v>3844</v>
      </c>
      <c r="E122" t="s">
        <v>942</v>
      </c>
    </row>
    <row r="123" spans="1:5" x14ac:dyDescent="0.25">
      <c r="A123" s="549">
        <v>3272</v>
      </c>
      <c r="B123" t="s">
        <v>780</v>
      </c>
      <c r="D123" s="549">
        <v>3845</v>
      </c>
      <c r="E123" t="s">
        <v>943</v>
      </c>
    </row>
    <row r="124" spans="1:5" x14ac:dyDescent="0.25">
      <c r="A124" s="549">
        <v>3273</v>
      </c>
      <c r="B124" t="s">
        <v>781</v>
      </c>
      <c r="D124" s="549">
        <v>3851</v>
      </c>
      <c r="E124" t="s">
        <v>210</v>
      </c>
    </row>
    <row r="125" spans="1:5" x14ac:dyDescent="0.25">
      <c r="A125" s="549">
        <v>3274</v>
      </c>
      <c r="B125" t="s">
        <v>782</v>
      </c>
      <c r="D125" s="549">
        <v>3861</v>
      </c>
      <c r="E125" t="s">
        <v>944</v>
      </c>
    </row>
    <row r="126" spans="1:5" x14ac:dyDescent="0.25">
      <c r="A126" s="549">
        <v>3275</v>
      </c>
      <c r="B126" t="s">
        <v>783</v>
      </c>
      <c r="D126" s="549">
        <v>3873</v>
      </c>
      <c r="E126" t="s">
        <v>945</v>
      </c>
    </row>
    <row r="127" spans="1:5" x14ac:dyDescent="0.25">
      <c r="A127" s="549">
        <v>3291</v>
      </c>
      <c r="B127" t="s">
        <v>784</v>
      </c>
      <c r="D127" s="549">
        <v>3911</v>
      </c>
      <c r="E127" t="s">
        <v>211</v>
      </c>
    </row>
    <row r="128" spans="1:5" x14ac:dyDescent="0.25">
      <c r="A128" s="549">
        <v>3292</v>
      </c>
      <c r="B128" t="s">
        <v>785</v>
      </c>
      <c r="D128" s="549">
        <v>3914</v>
      </c>
      <c r="E128" t="s">
        <v>946</v>
      </c>
    </row>
    <row r="129" spans="1:5" x14ac:dyDescent="0.25">
      <c r="A129" s="549">
        <v>3296</v>
      </c>
      <c r="B129" t="s">
        <v>786</v>
      </c>
      <c r="D129" s="549">
        <v>3915</v>
      </c>
      <c r="E129" t="s">
        <v>947</v>
      </c>
    </row>
    <row r="130" spans="1:5" x14ac:dyDescent="0.25">
      <c r="A130" s="549">
        <v>3297</v>
      </c>
      <c r="B130" t="s">
        <v>787</v>
      </c>
      <c r="D130" s="549">
        <v>3931</v>
      </c>
      <c r="E130" t="s">
        <v>212</v>
      </c>
    </row>
    <row r="131" spans="1:5" x14ac:dyDescent="0.25">
      <c r="A131" s="549">
        <v>3299</v>
      </c>
      <c r="B131" t="s">
        <v>788</v>
      </c>
      <c r="D131" s="549">
        <v>3942</v>
      </c>
      <c r="E131" t="s">
        <v>948</v>
      </c>
    </row>
    <row r="132" spans="1:5" x14ac:dyDescent="0.25">
      <c r="A132" s="549">
        <v>3312</v>
      </c>
      <c r="B132" t="s">
        <v>789</v>
      </c>
      <c r="D132" s="549">
        <v>3944</v>
      </c>
      <c r="E132" t="s">
        <v>949</v>
      </c>
    </row>
    <row r="133" spans="1:5" x14ac:dyDescent="0.25">
      <c r="A133" s="549">
        <v>3313</v>
      </c>
      <c r="B133" t="s">
        <v>790</v>
      </c>
      <c r="D133" s="549">
        <v>3949</v>
      </c>
      <c r="E133" t="s">
        <v>950</v>
      </c>
    </row>
    <row r="134" spans="1:5" x14ac:dyDescent="0.25">
      <c r="A134" s="549">
        <v>3315</v>
      </c>
      <c r="B134" t="s">
        <v>791</v>
      </c>
      <c r="D134" s="549">
        <v>3951</v>
      </c>
      <c r="E134" t="s">
        <v>951</v>
      </c>
    </row>
    <row r="135" spans="1:5" x14ac:dyDescent="0.25">
      <c r="A135" s="549">
        <v>3321</v>
      </c>
      <c r="B135" t="s">
        <v>792</v>
      </c>
      <c r="D135" s="549">
        <v>3952</v>
      </c>
      <c r="E135" t="s">
        <v>952</v>
      </c>
    </row>
    <row r="136" spans="1:5" x14ac:dyDescent="0.25">
      <c r="A136" s="549">
        <v>3322</v>
      </c>
      <c r="B136" t="s">
        <v>793</v>
      </c>
      <c r="D136" s="549">
        <v>3953</v>
      </c>
      <c r="E136" t="s">
        <v>953</v>
      </c>
    </row>
    <row r="137" spans="1:5" x14ac:dyDescent="0.25">
      <c r="A137" s="549">
        <v>3324</v>
      </c>
      <c r="B137" t="s">
        <v>794</v>
      </c>
      <c r="D137" s="549">
        <v>3955</v>
      </c>
      <c r="E137" t="s">
        <v>954</v>
      </c>
    </row>
    <row r="138" spans="1:5" x14ac:dyDescent="0.25">
      <c r="A138" s="549">
        <v>3325</v>
      </c>
      <c r="B138" t="s">
        <v>795</v>
      </c>
      <c r="D138" s="549">
        <v>3961</v>
      </c>
      <c r="E138" t="s">
        <v>955</v>
      </c>
    </row>
    <row r="139" spans="1:5" x14ac:dyDescent="0.25">
      <c r="A139" s="549">
        <v>3356</v>
      </c>
      <c r="B139" t="s">
        <v>796</v>
      </c>
      <c r="D139" s="549">
        <v>3965</v>
      </c>
      <c r="E139" t="s">
        <v>956</v>
      </c>
    </row>
    <row r="140" spans="1:5" x14ac:dyDescent="0.25">
      <c r="A140" s="549">
        <v>3357</v>
      </c>
      <c r="B140" t="s">
        <v>797</v>
      </c>
      <c r="D140" s="549">
        <v>3991</v>
      </c>
      <c r="E140" t="s">
        <v>957</v>
      </c>
    </row>
    <row r="141" spans="1:5" x14ac:dyDescent="0.25">
      <c r="A141" s="549">
        <v>3363</v>
      </c>
      <c r="B141" t="s">
        <v>798</v>
      </c>
      <c r="D141" s="549">
        <v>3993</v>
      </c>
      <c r="E141" t="s">
        <v>958</v>
      </c>
    </row>
    <row r="142" spans="1:5" x14ac:dyDescent="0.25">
      <c r="A142" s="549">
        <v>3364</v>
      </c>
      <c r="B142" t="s">
        <v>799</v>
      </c>
      <c r="D142" s="549">
        <v>3995</v>
      </c>
      <c r="E142" t="s">
        <v>959</v>
      </c>
    </row>
    <row r="143" spans="1:5" x14ac:dyDescent="0.25">
      <c r="A143" s="549">
        <v>3365</v>
      </c>
      <c r="B143" t="s">
        <v>800</v>
      </c>
      <c r="D143" s="549">
        <v>3996</v>
      </c>
      <c r="E143" t="s">
        <v>960</v>
      </c>
    </row>
    <row r="144" spans="1:5" x14ac:dyDescent="0.25">
      <c r="A144" s="549">
        <v>3366</v>
      </c>
      <c r="B144" t="s">
        <v>801</v>
      </c>
      <c r="D144" s="549">
        <v>3999</v>
      </c>
      <c r="E144" t="s">
        <v>961</v>
      </c>
    </row>
    <row r="145" spans="1:5" x14ac:dyDescent="0.25">
      <c r="A145" s="549">
        <v>3369</v>
      </c>
      <c r="B145" t="s">
        <v>802</v>
      </c>
      <c r="D145" s="549">
        <v>4493</v>
      </c>
      <c r="E145" t="s">
        <v>962</v>
      </c>
    </row>
    <row r="146" spans="1:5" x14ac:dyDescent="0.25">
      <c r="A146" s="549">
        <v>3399</v>
      </c>
      <c r="B146" t="s">
        <v>803</v>
      </c>
      <c r="D146" s="549">
        <v>4581</v>
      </c>
      <c r="E146" t="s">
        <v>963</v>
      </c>
    </row>
    <row r="147" spans="1:5" x14ac:dyDescent="0.25">
      <c r="A147" s="549">
        <v>3411</v>
      </c>
      <c r="B147" t="s">
        <v>195</v>
      </c>
      <c r="D147" s="549">
        <v>5032</v>
      </c>
      <c r="E147" t="s">
        <v>964</v>
      </c>
    </row>
    <row r="148" spans="1:5" x14ac:dyDescent="0.25">
      <c r="A148" s="549">
        <v>3412</v>
      </c>
      <c r="B148" t="s">
        <v>804</v>
      </c>
      <c r="D148" s="549">
        <v>5084</v>
      </c>
      <c r="E148" t="s">
        <v>965</v>
      </c>
    </row>
    <row r="149" spans="1:5" x14ac:dyDescent="0.25">
      <c r="A149" s="549">
        <v>3421</v>
      </c>
      <c r="B149" t="s">
        <v>805</v>
      </c>
      <c r="D149" s="549">
        <v>5131</v>
      </c>
      <c r="E149" t="s">
        <v>966</v>
      </c>
    </row>
    <row r="150" spans="1:5" x14ac:dyDescent="0.25">
      <c r="A150" s="549">
        <v>3423</v>
      </c>
      <c r="B150" t="s">
        <v>806</v>
      </c>
      <c r="D150" s="549">
        <v>5141</v>
      </c>
      <c r="E150" t="s">
        <v>967</v>
      </c>
    </row>
    <row r="151" spans="1:5" x14ac:dyDescent="0.25">
      <c r="A151" s="549">
        <v>3425</v>
      </c>
      <c r="B151" t="s">
        <v>807</v>
      </c>
      <c r="D151" s="549">
        <v>5143</v>
      </c>
      <c r="E151" t="s">
        <v>968</v>
      </c>
    </row>
    <row r="152" spans="1:5" x14ac:dyDescent="0.25">
      <c r="A152" s="549">
        <v>3429</v>
      </c>
      <c r="B152" t="s">
        <v>808</v>
      </c>
      <c r="D152" s="549">
        <v>5144</v>
      </c>
      <c r="E152" t="s">
        <v>969</v>
      </c>
    </row>
    <row r="153" spans="1:5" x14ac:dyDescent="0.25">
      <c r="A153" s="549">
        <v>3431</v>
      </c>
      <c r="B153" t="s">
        <v>809</v>
      </c>
      <c r="D153" s="549">
        <v>5146</v>
      </c>
      <c r="E153" t="s">
        <v>970</v>
      </c>
    </row>
    <row r="154" spans="1:5" x14ac:dyDescent="0.25">
      <c r="A154" s="549">
        <v>3432</v>
      </c>
      <c r="B154" t="s">
        <v>810</v>
      </c>
      <c r="D154" s="549">
        <v>5149</v>
      </c>
      <c r="E154" t="s">
        <v>971</v>
      </c>
    </row>
    <row r="155" spans="1:5" x14ac:dyDescent="0.25">
      <c r="A155" s="549">
        <v>3433</v>
      </c>
      <c r="B155" t="s">
        <v>811</v>
      </c>
      <c r="D155" s="549">
        <v>5194</v>
      </c>
      <c r="E155" t="s">
        <v>972</v>
      </c>
    </row>
    <row r="156" spans="1:5" x14ac:dyDescent="0.25">
      <c r="A156" s="549">
        <v>3441</v>
      </c>
      <c r="B156" t="s">
        <v>812</v>
      </c>
      <c r="D156" s="549">
        <v>5451</v>
      </c>
      <c r="E156" t="s">
        <v>973</v>
      </c>
    </row>
    <row r="157" spans="1:5" x14ac:dyDescent="0.25">
      <c r="A157" s="549">
        <v>3442</v>
      </c>
      <c r="B157" t="s">
        <v>813</v>
      </c>
      <c r="D157" s="549">
        <v>5461</v>
      </c>
      <c r="E157" t="s">
        <v>974</v>
      </c>
    </row>
    <row r="158" spans="1:5" x14ac:dyDescent="0.25">
      <c r="A158" s="549">
        <v>3443</v>
      </c>
      <c r="B158" t="s">
        <v>196</v>
      </c>
      <c r="D158" s="549">
        <v>7216</v>
      </c>
      <c r="E158" t="s">
        <v>975</v>
      </c>
    </row>
    <row r="159" spans="1:5" x14ac:dyDescent="0.25">
      <c r="A159" s="549">
        <v>3444</v>
      </c>
      <c r="B159" t="s">
        <v>197</v>
      </c>
      <c r="D159" s="549">
        <v>7312</v>
      </c>
      <c r="E159" t="s">
        <v>976</v>
      </c>
    </row>
    <row r="160" spans="1:5" x14ac:dyDescent="0.25">
      <c r="A160" s="549">
        <v>3446</v>
      </c>
      <c r="B160" t="s">
        <v>814</v>
      </c>
      <c r="D160" s="549">
        <v>7331</v>
      </c>
      <c r="E160" t="s">
        <v>977</v>
      </c>
    </row>
    <row r="161" spans="1:5" x14ac:dyDescent="0.25">
      <c r="A161" s="549">
        <v>3448</v>
      </c>
      <c r="B161" t="s">
        <v>815</v>
      </c>
      <c r="D161" s="549">
        <v>7334</v>
      </c>
      <c r="E161" t="s">
        <v>978</v>
      </c>
    </row>
    <row r="162" spans="1:5" x14ac:dyDescent="0.25">
      <c r="A162" s="549">
        <v>3449</v>
      </c>
      <c r="B162" t="s">
        <v>816</v>
      </c>
      <c r="D162" s="549">
        <v>7359</v>
      </c>
      <c r="E162" t="s">
        <v>979</v>
      </c>
    </row>
    <row r="163" spans="1:5" x14ac:dyDescent="0.25">
      <c r="A163" s="549">
        <v>3451</v>
      </c>
      <c r="B163" t="s">
        <v>198</v>
      </c>
      <c r="D163" s="549">
        <v>7373</v>
      </c>
      <c r="E163" t="s">
        <v>980</v>
      </c>
    </row>
    <row r="164" spans="1:5" x14ac:dyDescent="0.25">
      <c r="A164" s="549">
        <v>3452</v>
      </c>
      <c r="B164" t="s">
        <v>817</v>
      </c>
      <c r="D164" s="549">
        <v>7377</v>
      </c>
      <c r="E164" t="s">
        <v>981</v>
      </c>
    </row>
    <row r="165" spans="1:5" x14ac:dyDescent="0.25">
      <c r="A165" s="549">
        <v>3462</v>
      </c>
      <c r="B165" t="s">
        <v>818</v>
      </c>
      <c r="D165" s="549">
        <v>7532</v>
      </c>
      <c r="E165" t="s">
        <v>982</v>
      </c>
    </row>
    <row r="166" spans="1:5" x14ac:dyDescent="0.25">
      <c r="A166" s="549">
        <v>3463</v>
      </c>
      <c r="B166" t="s">
        <v>819</v>
      </c>
      <c r="D166" s="549">
        <v>7631</v>
      </c>
      <c r="E166" t="s">
        <v>983</v>
      </c>
    </row>
    <row r="167" spans="1:5" x14ac:dyDescent="0.25">
      <c r="A167" s="549">
        <v>3465</v>
      </c>
      <c r="B167" t="s">
        <v>820</v>
      </c>
      <c r="D167" s="549">
        <v>7699</v>
      </c>
      <c r="E167" t="s">
        <v>984</v>
      </c>
    </row>
    <row r="168" spans="1:5" x14ac:dyDescent="0.25">
      <c r="A168" s="549">
        <v>3466</v>
      </c>
      <c r="B168" t="s">
        <v>821</v>
      </c>
      <c r="D168" s="549">
        <v>8071</v>
      </c>
      <c r="E168" t="s">
        <v>985</v>
      </c>
    </row>
    <row r="169" spans="1:5" x14ac:dyDescent="0.25">
      <c r="A169" s="549">
        <v>3469</v>
      </c>
      <c r="B169" t="s">
        <v>822</v>
      </c>
      <c r="D169" s="549">
        <v>8072</v>
      </c>
      <c r="E169" t="s">
        <v>986</v>
      </c>
    </row>
    <row r="170" spans="1:5" x14ac:dyDescent="0.25">
      <c r="A170" s="549">
        <v>3482</v>
      </c>
      <c r="B170" t="s">
        <v>823</v>
      </c>
      <c r="D170" s="549">
        <v>8731</v>
      </c>
      <c r="E170" t="s">
        <v>987</v>
      </c>
    </row>
    <row r="171" spans="1:5" x14ac:dyDescent="0.25">
      <c r="A171" s="549">
        <v>3483</v>
      </c>
      <c r="B171" t="s">
        <v>824</v>
      </c>
      <c r="D171" s="549">
        <v>8734</v>
      </c>
      <c r="E171" t="s">
        <v>988</v>
      </c>
    </row>
    <row r="172" spans="1:5" x14ac:dyDescent="0.25">
      <c r="A172" s="549">
        <v>3484</v>
      </c>
      <c r="B172" t="s">
        <v>825</v>
      </c>
      <c r="D172" s="549">
        <v>8742</v>
      </c>
      <c r="E172" t="s">
        <v>989</v>
      </c>
    </row>
    <row r="173" spans="1:5" x14ac:dyDescent="0.25">
      <c r="A173" s="549">
        <v>3489</v>
      </c>
      <c r="B173" t="s">
        <v>826</v>
      </c>
      <c r="D173" s="549">
        <v>9651</v>
      </c>
      <c r="E173" t="s">
        <v>990</v>
      </c>
    </row>
    <row r="174" spans="1:5" x14ac:dyDescent="0.25">
      <c r="A174" s="549">
        <v>3491</v>
      </c>
      <c r="B174" t="s">
        <v>827</v>
      </c>
      <c r="D174" s="549">
        <v>9711</v>
      </c>
      <c r="E174" t="s">
        <v>991</v>
      </c>
    </row>
    <row r="175" spans="1:5" x14ac:dyDescent="0.25">
      <c r="A175" s="549">
        <v>3492</v>
      </c>
      <c r="B175" t="s">
        <v>828</v>
      </c>
    </row>
    <row r="176" spans="1:5" x14ac:dyDescent="0.25">
      <c r="A176" s="549">
        <v>3493</v>
      </c>
      <c r="B176" t="s">
        <v>829</v>
      </c>
      <c r="D176" s="140"/>
      <c r="E176" s="140"/>
    </row>
    <row r="177" spans="1:5" x14ac:dyDescent="0.25">
      <c r="A177" s="549">
        <v>3494</v>
      </c>
      <c r="B177" t="s">
        <v>830</v>
      </c>
      <c r="D177" s="140"/>
      <c r="E177" s="140"/>
    </row>
    <row r="178" spans="1:5" x14ac:dyDescent="0.25">
      <c r="A178" s="549">
        <v>3495</v>
      </c>
      <c r="B178" t="s">
        <v>831</v>
      </c>
      <c r="D178" s="140"/>
      <c r="E178" s="140"/>
    </row>
    <row r="179" spans="1:5" x14ac:dyDescent="0.25">
      <c r="A179" s="549">
        <v>3496</v>
      </c>
      <c r="B179" t="s">
        <v>832</v>
      </c>
      <c r="D179" s="140"/>
      <c r="E179" s="140"/>
    </row>
    <row r="180" spans="1:5" x14ac:dyDescent="0.25">
      <c r="A180" s="549">
        <v>3497</v>
      </c>
      <c r="B180" t="s">
        <v>833</v>
      </c>
      <c r="D180" s="140"/>
      <c r="E180" s="140"/>
    </row>
    <row r="181" spans="1:5" x14ac:dyDescent="0.25">
      <c r="A181" s="549">
        <v>3498</v>
      </c>
      <c r="B181" t="s">
        <v>834</v>
      </c>
      <c r="D181" s="140"/>
      <c r="E181" s="140"/>
    </row>
    <row r="182" spans="1:5" x14ac:dyDescent="0.25">
      <c r="A182" s="549">
        <v>3499</v>
      </c>
      <c r="B182" t="s">
        <v>835</v>
      </c>
      <c r="D182" s="140"/>
      <c r="E182" s="140"/>
    </row>
    <row r="183" spans="1:5" x14ac:dyDescent="0.25">
      <c r="A183" s="549">
        <v>3511</v>
      </c>
      <c r="B183" t="s">
        <v>836</v>
      </c>
      <c r="D183" s="140"/>
      <c r="E183" s="140"/>
    </row>
    <row r="184" spans="1:5" x14ac:dyDescent="0.25">
      <c r="A184" s="549">
        <v>3519</v>
      </c>
      <c r="B184" t="s">
        <v>837</v>
      </c>
      <c r="D184" s="140"/>
      <c r="E184" s="140"/>
    </row>
    <row r="185" spans="1:5" x14ac:dyDescent="0.25">
      <c r="D185" s="140"/>
      <c r="E185" s="140"/>
    </row>
    <row r="186" spans="1:5" x14ac:dyDescent="0.25">
      <c r="A186" s="140"/>
      <c r="B186" s="140"/>
      <c r="D186" s="140"/>
      <c r="E186" s="140"/>
    </row>
    <row r="187" spans="1:5" x14ac:dyDescent="0.25">
      <c r="A187" s="140"/>
      <c r="B187" s="140"/>
      <c r="D187" s="140"/>
      <c r="E187" s="140"/>
    </row>
    <row r="188" spans="1:5" x14ac:dyDescent="0.25">
      <c r="A188" s="140"/>
      <c r="B188" s="140"/>
      <c r="D188" s="140"/>
      <c r="E188" s="140"/>
    </row>
    <row r="189" spans="1:5" x14ac:dyDescent="0.25">
      <c r="A189" s="140"/>
      <c r="B189" s="140"/>
      <c r="D189" s="140"/>
      <c r="E189" s="140"/>
    </row>
    <row r="190" spans="1:5" x14ac:dyDescent="0.25">
      <c r="A190" s="140"/>
      <c r="B190" s="140"/>
      <c r="D190" s="140"/>
      <c r="E190" s="140"/>
    </row>
    <row r="191" spans="1:5" x14ac:dyDescent="0.25">
      <c r="A191" s="140"/>
      <c r="B191" s="140"/>
      <c r="D191" s="140"/>
      <c r="E191" s="140"/>
    </row>
    <row r="192" spans="1:5" x14ac:dyDescent="0.25">
      <c r="A192" s="140"/>
      <c r="B192" s="140"/>
      <c r="D192" s="140"/>
      <c r="E192" s="140"/>
    </row>
    <row r="193" spans="1:5" x14ac:dyDescent="0.25">
      <c r="A193" s="140"/>
      <c r="B193" s="140"/>
      <c r="D193" s="140"/>
      <c r="E193" s="140"/>
    </row>
    <row r="194" spans="1:5" x14ac:dyDescent="0.25">
      <c r="A194" s="140"/>
      <c r="B194" s="140"/>
      <c r="D194" s="140"/>
      <c r="E194" s="140"/>
    </row>
    <row r="195" spans="1:5" x14ac:dyDescent="0.25">
      <c r="A195" s="140"/>
      <c r="B195" s="140"/>
      <c r="D195" s="140"/>
      <c r="E195" s="140"/>
    </row>
    <row r="196" spans="1:5" x14ac:dyDescent="0.25">
      <c r="A196" s="140"/>
      <c r="B196" s="140"/>
      <c r="D196" s="140"/>
      <c r="E196" s="140"/>
    </row>
    <row r="197" spans="1:5" x14ac:dyDescent="0.25">
      <c r="A197" s="140"/>
      <c r="B197" s="140"/>
      <c r="D197" s="140"/>
      <c r="E197" s="140"/>
    </row>
    <row r="198" spans="1:5" x14ac:dyDescent="0.25">
      <c r="A198" s="140"/>
      <c r="B198" s="140"/>
      <c r="D198" s="140"/>
      <c r="E198" s="140"/>
    </row>
    <row r="199" spans="1:5" x14ac:dyDescent="0.25">
      <c r="A199" s="140"/>
      <c r="B199" s="140"/>
      <c r="D199" s="140"/>
      <c r="E199" s="140"/>
    </row>
    <row r="200" spans="1:5" x14ac:dyDescent="0.25">
      <c r="A200" s="140"/>
      <c r="B200" s="140"/>
      <c r="D200" s="140"/>
      <c r="E200" s="140"/>
    </row>
    <row r="201" spans="1:5" x14ac:dyDescent="0.25">
      <c r="A201" s="140"/>
      <c r="B201" s="140"/>
      <c r="D201" s="140"/>
      <c r="E201" s="140"/>
    </row>
    <row r="202" spans="1:5" x14ac:dyDescent="0.25">
      <c r="A202" s="140"/>
      <c r="B202" s="140"/>
      <c r="D202" s="140"/>
      <c r="E202" s="140"/>
    </row>
    <row r="203" spans="1:5" x14ac:dyDescent="0.25">
      <c r="A203" s="140"/>
      <c r="B203" s="140"/>
      <c r="D203" s="140"/>
      <c r="E203" s="140"/>
    </row>
    <row r="204" spans="1:5" x14ac:dyDescent="0.25">
      <c r="A204" s="140"/>
      <c r="B204" s="140"/>
      <c r="D204" s="140"/>
      <c r="E204" s="140"/>
    </row>
    <row r="205" spans="1:5" x14ac:dyDescent="0.25">
      <c r="A205" s="140"/>
      <c r="B205" s="140"/>
      <c r="D205" s="140"/>
      <c r="E205" s="140"/>
    </row>
    <row r="206" spans="1:5" x14ac:dyDescent="0.25">
      <c r="A206" s="140"/>
      <c r="B206" s="140"/>
      <c r="D206" s="140"/>
      <c r="E206" s="140"/>
    </row>
    <row r="207" spans="1:5" x14ac:dyDescent="0.25">
      <c r="A207" s="140"/>
      <c r="B207" s="140"/>
      <c r="D207" s="140"/>
      <c r="E207" s="140"/>
    </row>
    <row r="208" spans="1:5" x14ac:dyDescent="0.25">
      <c r="A208" s="140"/>
      <c r="B208" s="140"/>
      <c r="D208" s="140"/>
      <c r="E208" s="140"/>
    </row>
    <row r="209" spans="1:5" x14ac:dyDescent="0.25">
      <c r="A209" s="140"/>
      <c r="B209" s="140"/>
      <c r="D209" s="140"/>
      <c r="E209" s="140"/>
    </row>
    <row r="210" spans="1:5" x14ac:dyDescent="0.25">
      <c r="A210" s="140"/>
      <c r="B210" s="140"/>
      <c r="D210" s="140"/>
      <c r="E210" s="140"/>
    </row>
    <row r="211" spans="1:5" x14ac:dyDescent="0.25">
      <c r="A211" s="140"/>
      <c r="B211" s="140"/>
      <c r="D211" s="140"/>
      <c r="E211" s="140"/>
    </row>
    <row r="212" spans="1:5" x14ac:dyDescent="0.25">
      <c r="A212" s="140"/>
      <c r="B212" s="140"/>
      <c r="D212" s="140"/>
      <c r="E212" s="140"/>
    </row>
    <row r="213" spans="1:5" x14ac:dyDescent="0.25">
      <c r="A213" s="140"/>
      <c r="B213" s="140"/>
      <c r="D213" s="140"/>
      <c r="E213" s="140"/>
    </row>
    <row r="214" spans="1:5" x14ac:dyDescent="0.25">
      <c r="A214" s="140"/>
      <c r="B214" s="140"/>
      <c r="D214" s="140"/>
      <c r="E214" s="140"/>
    </row>
    <row r="215" spans="1:5" x14ac:dyDescent="0.25">
      <c r="A215" s="140"/>
      <c r="B215" s="140"/>
      <c r="D215" s="140"/>
      <c r="E215" s="140"/>
    </row>
    <row r="216" spans="1:5" x14ac:dyDescent="0.25">
      <c r="A216" s="140"/>
      <c r="B216" s="140"/>
      <c r="D216" s="140"/>
      <c r="E216" s="140"/>
    </row>
    <row r="217" spans="1:5" x14ac:dyDescent="0.25">
      <c r="A217" s="140"/>
      <c r="B217" s="140"/>
      <c r="D217" s="140"/>
      <c r="E217" s="140"/>
    </row>
    <row r="218" spans="1:5" x14ac:dyDescent="0.25">
      <c r="A218" s="140"/>
      <c r="B218" s="140"/>
      <c r="D218" s="140"/>
      <c r="E218" s="140"/>
    </row>
    <row r="219" spans="1:5" x14ac:dyDescent="0.25">
      <c r="A219" s="140"/>
      <c r="B219" s="140"/>
      <c r="D219" s="140"/>
      <c r="E219" s="140"/>
    </row>
    <row r="220" spans="1:5" x14ac:dyDescent="0.25">
      <c r="A220" s="140"/>
      <c r="B220" s="140"/>
    </row>
    <row r="221" spans="1:5" x14ac:dyDescent="0.25">
      <c r="A221" s="140"/>
      <c r="B221" s="140"/>
    </row>
    <row r="222" spans="1:5" x14ac:dyDescent="0.25">
      <c r="A222" s="140"/>
      <c r="B222" s="140"/>
    </row>
    <row r="223" spans="1:5" x14ac:dyDescent="0.25">
      <c r="A223" s="140"/>
      <c r="B223" s="140"/>
    </row>
    <row r="224" spans="1:5" x14ac:dyDescent="0.25">
      <c r="A224" s="140"/>
      <c r="B224" s="140"/>
    </row>
    <row r="225" spans="1:2" x14ac:dyDescent="0.25">
      <c r="A225" s="140"/>
      <c r="B225" s="140"/>
    </row>
    <row r="226" spans="1:2" x14ac:dyDescent="0.25">
      <c r="A226" s="140"/>
      <c r="B226" s="140"/>
    </row>
    <row r="227" spans="1:2" x14ac:dyDescent="0.25">
      <c r="A227" s="140"/>
      <c r="B227" s="140"/>
    </row>
    <row r="228" spans="1:2" x14ac:dyDescent="0.25">
      <c r="A228" s="140"/>
      <c r="B228" s="140"/>
    </row>
    <row r="229" spans="1:2" x14ac:dyDescent="0.25">
      <c r="A229" s="140"/>
      <c r="B229" s="140"/>
    </row>
    <row r="230" spans="1:2" x14ac:dyDescent="0.25">
      <c r="A230" s="140"/>
      <c r="B230" s="140"/>
    </row>
    <row r="231" spans="1:2" x14ac:dyDescent="0.25">
      <c r="A231" s="140"/>
      <c r="B231" s="140"/>
    </row>
    <row r="232" spans="1:2" x14ac:dyDescent="0.25">
      <c r="A232" s="140"/>
      <c r="B232" s="140"/>
    </row>
    <row r="233" spans="1:2" x14ac:dyDescent="0.25">
      <c r="A233" s="140"/>
      <c r="B233" s="140"/>
    </row>
    <row r="234" spans="1:2" x14ac:dyDescent="0.25">
      <c r="A234" s="140"/>
      <c r="B234" s="140"/>
    </row>
    <row r="235" spans="1:2" x14ac:dyDescent="0.25">
      <c r="A235" s="140"/>
      <c r="B235" s="140"/>
    </row>
    <row r="236" spans="1:2" x14ac:dyDescent="0.25">
      <c r="A236" s="140"/>
      <c r="B236" s="140"/>
    </row>
    <row r="237" spans="1:2" x14ac:dyDescent="0.25">
      <c r="A237" s="140"/>
      <c r="B237" s="140"/>
    </row>
    <row r="238" spans="1:2" x14ac:dyDescent="0.25">
      <c r="A238" s="140"/>
      <c r="B238" s="140"/>
    </row>
    <row r="239" spans="1:2" x14ac:dyDescent="0.25">
      <c r="A239" s="140"/>
      <c r="B239" s="140"/>
    </row>
    <row r="240" spans="1:2" x14ac:dyDescent="0.25">
      <c r="A240" s="140"/>
      <c r="B240" s="140"/>
    </row>
    <row r="241" spans="1:2" x14ac:dyDescent="0.25">
      <c r="A241" s="140"/>
      <c r="B241" s="140"/>
    </row>
    <row r="242" spans="1:2" x14ac:dyDescent="0.25">
      <c r="A242" s="140"/>
      <c r="B242" s="140"/>
    </row>
    <row r="243" spans="1:2" x14ac:dyDescent="0.25">
      <c r="A243" s="140"/>
      <c r="B243" s="140"/>
    </row>
  </sheetData>
  <hyperlinks>
    <hyperlink ref="A7" r:id="rId1" tooltip="2421 Sawmills and Planing Mills, General" display="https://www.osha.gov/pls/imis/sic_manual.display?id=539&amp;tab=description"/>
    <hyperlink ref="A8" r:id="rId2" tooltip="2426 Hardwood Dimension and Flooring Mills" display="https://www.osha.gov/pls/imis/sic_manual.display?id=540&amp;tab=description"/>
    <hyperlink ref="A9" r:id="rId3" tooltip="2429 Special Product Sawmills, Not Elsewhere Classified" display="https://www.osha.gov/pls/imis/sic_manual.display?id=541&amp;tab=description"/>
    <hyperlink ref="A10" r:id="rId4" tooltip="2431 Millwork" display="https://www.osha.gov/pls/imis/sic_manual.display?id=542&amp;tab=description"/>
    <hyperlink ref="A11" r:id="rId5" tooltip="2434 Wood Kitchen Cabinets" display="https://www.osha.gov/pls/imis/sic_manual.display?id=543&amp;tab=description"/>
    <hyperlink ref="A12" r:id="rId6" tooltip="2435 Hardwood Veneer and Plywood" display="https://www.osha.gov/pls/imis/sic_manual.display?id=544&amp;tab=description"/>
    <hyperlink ref="A13" r:id="rId7" tooltip="2441 Nailed and Lock Corner Wood Boxes and Shook" display="https://www.osha.gov/pls/imis/sic_manual.display?id=547&amp;tab=description"/>
    <hyperlink ref="A14" r:id="rId8" tooltip="2448 Wood Pallets and Skids" display="https://www.osha.gov/pls/imis/sic_manual.display?id=548&amp;tab=description"/>
    <hyperlink ref="A15" r:id="rId9" tooltip="2449 Wood Containers, Not Elsewhere Classified" display="https://www.osha.gov/pls/imis/sic_manual.display?id=549&amp;tab=description"/>
    <hyperlink ref="A16" r:id="rId10" tooltip="2451 Mobile Homes" display="https://www.osha.gov/pls/imis/sic_manual.display?id=550&amp;tab=description"/>
    <hyperlink ref="A17" r:id="rId11" tooltip="2452 Prefabricated Wood Buildings and Components" display="https://www.osha.gov/pls/imis/sic_manual.display?id=551&amp;tab=description"/>
    <hyperlink ref="A18" r:id="rId12" tooltip="2491 Wood Preserving" display="https://www.osha.gov/pls/imis/sic_manual.display?id=552&amp;tab=description"/>
    <hyperlink ref="A19" r:id="rId13" tooltip="2493 Reconstituted Wood Products" display="https://www.osha.gov/pls/imis/sic_manual.display?id=553&amp;tab=description"/>
    <hyperlink ref="A20" r:id="rId14" tooltip="2499 Wood Products, Not Elsewhere Classified" display="https://www.osha.gov/pls/imis/sic_manual.display?id=554&amp;tab=description"/>
    <hyperlink ref="A21" r:id="rId15" tooltip="2511 Wood Household Furniture, Except Upholstered" display="https://www.osha.gov/pls/imis/sic_manual.display?id=555&amp;tab=description"/>
    <hyperlink ref="A22" r:id="rId16" tooltip="2512 Wood Household Furniture, Upholstered" display="https://www.osha.gov/pls/imis/sic_manual.display?id=556&amp;tab=description"/>
    <hyperlink ref="A23" r:id="rId17" tooltip="2514 Metal Household Furniture" display="https://www.osha.gov/pls/imis/sic_manual.display?id=557&amp;tab=description"/>
    <hyperlink ref="A24" r:id="rId18" tooltip="2515 Mattresses, Foundations, and Convertible Beds" display="https://www.osha.gov/pls/imis/sic_manual.display?id=558&amp;tab=description"/>
    <hyperlink ref="A25" r:id="rId19" tooltip="2517 Wood Television, Radio, Phonograph, and Sewing Machine Cabinets" display="https://www.osha.gov/pls/imis/sic_manual.display?id=559&amp;tab=description"/>
    <hyperlink ref="A26" r:id="rId20" tooltip="2519 Household Furniture, Not Elsewhere Classified" display="https://www.osha.gov/pls/imis/sic_manual.display?id=560&amp;tab=description"/>
    <hyperlink ref="A27" r:id="rId21" tooltip="2521 Wood Office Furniture" display="https://www.osha.gov/pls/imis/sic_manual.display?id=561&amp;tab=description"/>
    <hyperlink ref="A28" r:id="rId22" tooltip="2522 Office Furniture, Except Wood" display="https://www.osha.gov/pls/imis/sic_manual.display?id=562&amp;tab=description"/>
    <hyperlink ref="A29" r:id="rId23" tooltip="2531 Public Building and Related Furniture" display="https://www.osha.gov/pls/imis/sic_manual.display?id=563&amp;tab=description"/>
    <hyperlink ref="A30" r:id="rId24" tooltip="2541 Wood Office and Store Fixtures, Partitions, Shelving, and Lockers" display="https://www.osha.gov/pls/imis/sic_manual.display?id=564&amp;tab=description"/>
    <hyperlink ref="A31" r:id="rId25" tooltip="2542 Office and Store Fixtures, Partitions, Shelving, and Lockers, Except Wood" display="https://www.osha.gov/pls/imis/sic_manual.display?id=565&amp;tab=description"/>
    <hyperlink ref="A32" r:id="rId26" tooltip="2591 Drapery Hardware and Window Blinds and Shades" display="https://www.osha.gov/pls/imis/sic_manual.display?id=566&amp;tab=description"/>
    <hyperlink ref="A33" r:id="rId27" tooltip="2599 Furniture and Fixtures, Not Elsewhere Classified" display="https://www.osha.gov/pls/imis/sic_manual.display?id=567&amp;tab=description"/>
    <hyperlink ref="A34" r:id="rId28" tooltip="2611 Pulp Mills" display="https://www.osha.gov/pls/imis/sic_manual.display?id=568&amp;tab=description"/>
    <hyperlink ref="A35" r:id="rId29" tooltip="2621 Paper Mills" display="https://www.osha.gov/pls/imis/sic_manual.display?id=569&amp;tab=description"/>
    <hyperlink ref="A36" r:id="rId30" tooltip="2631 Paperboard Mills" display="https://www.osha.gov/pls/imis/sic_manual.display?id=570&amp;tab=description"/>
    <hyperlink ref="A37" r:id="rId31" tooltip="2652 Setup Paperboard Boxes" display="https://www.osha.gov/pls/imis/sic_manual.display?id=571&amp;tab=description"/>
    <hyperlink ref="A38" r:id="rId32" tooltip="2653 Corrugated and Solid Fiber Boxes" display="https://www.osha.gov/pls/imis/sic_manual.display?id=572&amp;tab=description"/>
    <hyperlink ref="A39" r:id="rId33" tooltip="2655 Fiber Cans, Tubes, Drums, and Similar Products" display="https://www.osha.gov/pls/imis/sic_manual.display?id=573&amp;tab=description"/>
    <hyperlink ref="A40" r:id="rId34" tooltip="2656 Sanitary Food Containers, Except Folding" display="https://www.osha.gov/pls/imis/sic_manual.display?id=574&amp;tab=description"/>
    <hyperlink ref="A41" r:id="rId35" tooltip="2657 Folding Paperboard Boxes, Including Sanitary" display="https://www.osha.gov/pls/imis/sic_manual.display?id=575&amp;tab=description"/>
    <hyperlink ref="A42" r:id="rId36" tooltip="2671 Packaging Paper and Plastics Film, Coated and Laminated" display="https://www.osha.gov/pls/imis/sic_manual.display?id=576&amp;tab=description"/>
    <hyperlink ref="A43" r:id="rId37" tooltip="2672 Coated and Laminated Paper, Not Elsewhere Classified" display="https://www.osha.gov/pls/imis/sic_manual.display?id=577&amp;tab=description"/>
    <hyperlink ref="A44" r:id="rId38" tooltip="2673 Plastics, Foil, and Coated Paper Bags" display="https://www.osha.gov/pls/imis/sic_manual.display?id=578&amp;tab=description"/>
    <hyperlink ref="A45" r:id="rId39" tooltip="2674 Uncoated Paper and Multiwall Bags" display="https://www.osha.gov/pls/imis/sic_manual.display?id=579&amp;tab=description"/>
    <hyperlink ref="A46" r:id="rId40" tooltip="2675 Die-Cut Paper and Paperboard and Cardboard" display="https://www.osha.gov/pls/imis/sic_manual.display?id=580&amp;tab=description"/>
    <hyperlink ref="A47" r:id="rId41" tooltip="2676 Sanitary Paper Products" display="https://www.osha.gov/pls/imis/sic_manual.display?id=581&amp;tab=description"/>
    <hyperlink ref="A48" r:id="rId42" tooltip="2677 Envelopes" display="https://www.osha.gov/pls/imis/sic_manual.display?id=582&amp;tab=description"/>
    <hyperlink ref="A49" r:id="rId43" tooltip="2678 Stationery, Tablets, and Related Products" display="https://www.osha.gov/pls/imis/sic_manual.display?id=583&amp;tab=description"/>
    <hyperlink ref="A50" r:id="rId44" tooltip="2679 Converted Paper and Paperboard Products, Not Elsewhere Classified" display="https://www.osha.gov/pls/imis/sic_manual.display?id=584&amp;tab=description"/>
    <hyperlink ref="A51" r:id="rId45" tooltip="2782 Blankbooks, Looseleaf Binders and Devices" display="https://www.osha.gov/pls/imis/sic_manual.display?id=595&amp;tab=description"/>
    <hyperlink ref="A52" r:id="rId46" tooltip="2812 Alkalies and Chlorine" display="https://www.osha.gov/pls/imis/sic_manual.display?id=599&amp;tab=description"/>
    <hyperlink ref="A53" r:id="rId47" tooltip="2813 Industrial Gases" display="https://www.osha.gov/pls/imis/sic_manual.display?id=600&amp;tab=description"/>
    <hyperlink ref="A54" r:id="rId48" tooltip="2816 Inorganic Pigments" display="https://www.osha.gov/pls/imis/sic_manual.display?id=601&amp;tab=description"/>
    <hyperlink ref="A55" r:id="rId49" tooltip="2819 Industrial Inorganic Chemicals, Not Elsewhere Classified" display="https://www.osha.gov/pls/imis/sic_manual.display?id=1003&amp;tab=description"/>
    <hyperlink ref="A56" r:id="rId50" tooltip="2821 Plastics Materials, Synthetic Resins, and Nonvulcanizable Elastomers" display="https://www.osha.gov/pls/imis/sic_manual.display?id=603&amp;tab=description"/>
    <hyperlink ref="A57" r:id="rId51" tooltip="2822 Synthetic Rubber (Vulcanizable Elastomers)" display="https://www.osha.gov/pls/imis/sic_manual.display?id=604&amp;tab=description"/>
    <hyperlink ref="A58" r:id="rId52" tooltip="2823 Cellulosic Manmade Fibers" display="https://www.osha.gov/pls/imis/sic_manual.display?id=605&amp;tab=description"/>
    <hyperlink ref="A59" r:id="rId53" tooltip="2824 Manmade Organic Fibers, Except Cellulosic" display="https://www.osha.gov/pls/imis/sic_manual.display?id=606&amp;tab=description"/>
    <hyperlink ref="A60" r:id="rId54" tooltip="2833 Medicinal Chemicals and Botanical Products" display="https://www.osha.gov/pls/imis/sic_manual.display?id=607&amp;tab=description"/>
    <hyperlink ref="A61" r:id="rId55" tooltip="2834 Pharmaceutical Preparations" display="https://www.osha.gov/pls/imis/sic_manual.display?id=608&amp;tab=description"/>
    <hyperlink ref="A62" r:id="rId56" tooltip="2835 In Vitro and In Vivo Diagnostic Substances" display="https://www.osha.gov/pls/imis/sic_manual.display?id=609&amp;tab=description"/>
    <hyperlink ref="A63" r:id="rId57" tooltip="2836 Biological Products, Except Diagnostic Substances" display="https://www.osha.gov/pls/imis/sic_manual.display?id=610&amp;tab=description"/>
    <hyperlink ref="A64" r:id="rId58" tooltip="2841 Soap and Other Detergents, Except Specialty Cleaners" display="https://www.osha.gov/pls/imis/sic_manual.display?id=611&amp;tab=description"/>
    <hyperlink ref="A65" r:id="rId59" tooltip="2842 Specialty Cleaning, Polishing, and Sanitation Preparations" display="https://www.osha.gov/pls/imis/sic_manual.display?id=612&amp;tab=description"/>
    <hyperlink ref="A66" r:id="rId60" tooltip="2844 Perfumes, Cosmetics, and Other Toilet Preparations" display="https://www.osha.gov/pls/imis/sic_manual.display?id=614&amp;tab=description"/>
    <hyperlink ref="A67" r:id="rId61" tooltip="2851 Paints, Varnishes, Lacquers, Enamels, and Allied Products" display="https://www.osha.gov/pls/imis/sic_manual.display?id=615&amp;tab=description"/>
    <hyperlink ref="A68" r:id="rId62" tooltip="2861 Gum and Wood Chemicals" display="https://www.osha.gov/pls/imis/sic_manual.display?id=616&amp;tab=description"/>
    <hyperlink ref="A69" r:id="rId63" tooltip="2865 Cyclic Organic Crudes and Intermediates, and Organic Dyes and Pigments" display="https://www.osha.gov/pls/imis/sic_manual.display?id=617&amp;tab=description"/>
    <hyperlink ref="A70" r:id="rId64" tooltip="2869 Industrial Organic Chemicals, Not Elsewhere Classified" display="https://www.osha.gov/pls/imis/sic_manual.display?id=1004&amp;tab=description"/>
    <hyperlink ref="A71" r:id="rId65" tooltip="2873 Nitrogenous Fertilizers" display="https://www.osha.gov/pls/imis/sic_manual.display?id=618&amp;tab=description"/>
    <hyperlink ref="A72" r:id="rId66" tooltip="2874 Phosphatic Fertilizers" display="https://www.osha.gov/pls/imis/sic_manual.display?id=619&amp;tab=description"/>
    <hyperlink ref="A73" r:id="rId67" tooltip="2875 Fertilizers, Mixing Only" display="https://www.osha.gov/pls/imis/sic_manual.display?id=620&amp;tab=description"/>
    <hyperlink ref="A74" r:id="rId68" tooltip="2879 Pesticides and Agricultural Chemicals, Not Elsewhere Classified" display="https://www.osha.gov/pls/imis/sic_manual.display?id=621&amp;tab=description"/>
    <hyperlink ref="A75" r:id="rId69" tooltip="2891 Adhesives and Sealants" display="https://www.osha.gov/pls/imis/sic_manual.display?id=622&amp;tab=description"/>
    <hyperlink ref="A76" r:id="rId70" tooltip="2892 Explosives" display="https://www.osha.gov/pls/imis/sic_manual.display?id=623&amp;tab=description"/>
    <hyperlink ref="A77" r:id="rId71" tooltip="2893 Printing Ink" display="https://www.osha.gov/pls/imis/sic_manual.display?id=624&amp;tab=description"/>
    <hyperlink ref="A78" r:id="rId72" tooltip="2895 Carbon Black" display="https://www.osha.gov/pls/imis/sic_manual.display?id=625&amp;tab=description"/>
    <hyperlink ref="A79" r:id="rId73" tooltip="2899 Chemicals and Chemical Preparations, Not Elsewhere Classified" display="https://www.osha.gov/pls/imis/sic_manual.display?id=626&amp;tab=description"/>
    <hyperlink ref="A80" r:id="rId74" tooltip="2911 Petroleum Refining" display="https://www.osha.gov/pls/imis/sic_manual.display?id=627&amp;tab=description"/>
    <hyperlink ref="A81" r:id="rId75" tooltip="2951 Asphalt Paving Mixtures and Blocks" display="https://www.osha.gov/pls/imis/sic_manual.display?id=628&amp;tab=description"/>
    <hyperlink ref="A82" r:id="rId76" tooltip="2952 Asphalt Felts and Coatings" display="https://www.osha.gov/pls/imis/sic_manual.display?id=629&amp;tab=description"/>
    <hyperlink ref="A83" r:id="rId77" tooltip="2999 Products of Petroleum and Coal, Not Elsewhere Classified" display="https://www.osha.gov/pls/imis/sic_manual.display?id=631&amp;tab=description"/>
    <hyperlink ref="A84" r:id="rId78" tooltip="3011 Tires and Inner Tubes" display="https://www.osha.gov/pls/imis/sic_manual.display?id=632&amp;tab=description"/>
    <hyperlink ref="A85" r:id="rId79" tooltip="3021 Rubber and Plastics Footwear" display="https://www.osha.gov/pls/imis/sic_manual.display?id=633&amp;tab=description"/>
    <hyperlink ref="A86" r:id="rId80" tooltip="3052 Rubber and Plastics Hose and Belting" display="https://www.osha.gov/pls/imis/sic_manual.display?id=634&amp;tab=description"/>
    <hyperlink ref="A87" r:id="rId81" tooltip="3053 Gaskets, Packing, and Sealing Devices" display="https://www.osha.gov/pls/imis/sic_manual.display?id=635&amp;tab=description"/>
    <hyperlink ref="A88" r:id="rId82" tooltip="3061 Molded, Extruded, and Lathe-Cut Mechanical Rubber Goods" display="https://www.osha.gov/pls/imis/sic_manual.display?id=636&amp;tab=description"/>
    <hyperlink ref="A89" r:id="rId83" tooltip="3069 Fabricated Rubber Products, Not Elsewhere Classified" display="https://www.osha.gov/pls/imis/sic_manual.display?id=1005&amp;tab=description"/>
    <hyperlink ref="A90" r:id="rId84" tooltip="3081 Unsupported Plastics Film and Sheet" display="https://www.osha.gov/pls/imis/sic_manual.display?id=638&amp;tab=description"/>
    <hyperlink ref="A91" r:id="rId85" tooltip="3082 Unsupported Plastics Profile Shapes" display="https://www.osha.gov/pls/imis/sic_manual.display?id=639&amp;tab=description"/>
    <hyperlink ref="A92" r:id="rId86" tooltip="3083 Laminated Plastics Plate, Sheet, and Profile Shapes" display="https://www.osha.gov/pls/imis/sic_manual.display?id=640&amp;tab=description"/>
    <hyperlink ref="A93" r:id="rId87" tooltip="3084 Plastics Pipe" display="https://www.osha.gov/pls/imis/sic_manual.display?id=641&amp;tab=description"/>
    <hyperlink ref="A94" r:id="rId88" tooltip="3085 Plastics Bottles" display="https://www.osha.gov/pls/imis/sic_manual.display?id=642&amp;tab=description"/>
    <hyperlink ref="A95" r:id="rId89" tooltip="3086 Plastics Foam Products" display="https://www.osha.gov/pls/imis/sic_manual.display?id=643&amp;tab=description"/>
    <hyperlink ref="A96" r:id="rId90" tooltip="3088 Plastics Plumbing Fixtures" display="https://www.osha.gov/pls/imis/sic_manual.display?id=645&amp;tab=description"/>
    <hyperlink ref="A97" r:id="rId91" tooltip="3089 Plastics Products, Not Elsewhere Classified" display="https://www.osha.gov/pls/imis/sic_manual.display?id=1006&amp;tab=description"/>
    <hyperlink ref="A98" r:id="rId92" tooltip="3131 Boot and Shoe Cut Stock and Findings" display="https://www.osha.gov/pls/imis/sic_manual.display?id=647&amp;tab=description"/>
    <hyperlink ref="A99" r:id="rId93" tooltip="3142 House Slippers" display="https://www.osha.gov/pls/imis/sic_manual.display?id=648&amp;tab=description"/>
    <hyperlink ref="A100" r:id="rId94" tooltip="3143 Men's Footwear, Except Athletic" display="https://www.osha.gov/pls/imis/sic_manual.display?id=649&amp;tab=description"/>
    <hyperlink ref="A101" r:id="rId95" tooltip="3144 Women's Footwear, Except Athletic" display="https://www.osha.gov/pls/imis/sic_manual.display?id=650&amp;tab=description"/>
    <hyperlink ref="A102" r:id="rId96" tooltip="3149 Footwear, Except Rubber, Not Elsewhere Classified" display="https://www.osha.gov/pls/imis/sic_manual.display?id=651&amp;tab=description"/>
    <hyperlink ref="A103" r:id="rId97" tooltip="3151 Leather Gloves and Mittens" display="https://www.osha.gov/pls/imis/sic_manual.display?id=652&amp;tab=description"/>
    <hyperlink ref="A104" r:id="rId98" tooltip="3161 Luggage" display="https://www.osha.gov/pls/imis/sic_manual.display?id=653&amp;tab=description"/>
    <hyperlink ref="A105" r:id="rId99" tooltip="3171 Women's Handbags and Purses" display="https://www.osha.gov/pls/imis/sic_manual.display?id=654&amp;tab=description"/>
    <hyperlink ref="A106" r:id="rId100" tooltip="3172 Personal Leather Goods, Except Women's Handbags and Purses" display="https://www.osha.gov/pls/imis/sic_manual.display?id=655&amp;tab=description"/>
    <hyperlink ref="A107" r:id="rId101" tooltip="3199 Leather Goods, Not Elsewhere Classified" display="https://www.osha.gov/pls/imis/sic_manual.display?id=656&amp;tab=description"/>
    <hyperlink ref="A108" r:id="rId102" tooltip="3211 Flat Glass" display="https://www.osha.gov/pls/imis/sic_manual.display?id=657&amp;tab=description"/>
    <hyperlink ref="A109" r:id="rId103" tooltip="3221 Glass Containers" display="https://www.osha.gov/pls/imis/sic_manual.display?id=658&amp;tab=description"/>
    <hyperlink ref="A110" r:id="rId104" tooltip="3229 Pressed and Blown Glass and Glassware, Not Elsewhere Classified" display="https://www.osha.gov/pls/imis/sic_manual.display?id=659&amp;tab=description"/>
    <hyperlink ref="A111" r:id="rId105" tooltip="3231 Glass Products, Made of Purchased Glass" display="https://www.osha.gov/pls/imis/sic_manual.display?id=660&amp;tab=description"/>
    <hyperlink ref="A112" r:id="rId106" tooltip="3241 Cement, Hydraulic" display="https://www.osha.gov/pls/imis/sic_manual.display?id=661&amp;tab=description"/>
    <hyperlink ref="A113" r:id="rId107" tooltip="3251 Brick and Structural Clay Tile" display="https://www.osha.gov/pls/imis/sic_manual.display?id=662&amp;tab=description"/>
    <hyperlink ref="A114" r:id="rId108" tooltip="3253 Ceramic Wall and Floor Tile" display="https://www.osha.gov/pls/imis/sic_manual.display?id=663&amp;tab=description"/>
    <hyperlink ref="A115" r:id="rId109" tooltip="3255 Clay Refractories" display="https://www.osha.gov/pls/imis/sic_manual.display?id=664&amp;tab=description"/>
    <hyperlink ref="A116" r:id="rId110" tooltip="3259 Structural Clay Products, Not Elsewhere Classified" display="https://www.osha.gov/pls/imis/sic_manual.display?id=665&amp;tab=description"/>
    <hyperlink ref="A117" r:id="rId111" tooltip="3261 Vitreous China Plumbing Fixtures and China and Earthenware Fittings and Bathroom Accessories" display="https://www.osha.gov/pls/imis/sic_manual.display?id=666&amp;tab=description"/>
    <hyperlink ref="A118" r:id="rId112" tooltip="3262 Vitreous China Table and Kitchen Articles" display="https://www.osha.gov/pls/imis/sic_manual.display?id=667&amp;tab=description"/>
    <hyperlink ref="A119" r:id="rId113" tooltip="3263 Fine Earthenware (Whiteware) Table and Kitchen Articles" display="https://www.osha.gov/pls/imis/sic_manual.display?id=668&amp;tab=description"/>
    <hyperlink ref="A120" r:id="rId114" tooltip="3264 Porcelain Electrical Supplies" display="https://www.osha.gov/pls/imis/sic_manual.display?id=669&amp;tab=description"/>
    <hyperlink ref="A121" r:id="rId115" tooltip="3269 Pottery Products, Not Elsewhere Classified" display="https://www.osha.gov/pls/imis/sic_manual.display?id=670&amp;tab=description"/>
    <hyperlink ref="A122" r:id="rId116" tooltip="3271 Concrete Block and Brick" display="https://www.osha.gov/pls/imis/sic_manual.display?id=671&amp;tab=description"/>
    <hyperlink ref="A123" r:id="rId117" tooltip="3272 Concrete Products, Except Block and Brick" display="https://www.osha.gov/pls/imis/sic_manual.display?id=672&amp;tab=description"/>
    <hyperlink ref="A124" r:id="rId118" tooltip="3273 Ready-Mixed Concrete" display="https://www.osha.gov/pls/imis/sic_manual.display?id=673&amp;tab=description"/>
    <hyperlink ref="A125" r:id="rId119" tooltip="3274 Lime" display="https://www.osha.gov/pls/imis/sic_manual.display?id=674&amp;tab=description"/>
    <hyperlink ref="A126" r:id="rId120" tooltip="3275 Gypsum Products" display="https://www.osha.gov/pls/imis/sic_manual.display?id=675&amp;tab=description"/>
    <hyperlink ref="A127" r:id="rId121" tooltip="3291 Abrasive Products" display="https://www.osha.gov/pls/imis/sic_manual.display?id=677&amp;tab=description"/>
    <hyperlink ref="A128" r:id="rId122" tooltip="3292 Asbestos Products" display="https://www.osha.gov/pls/imis/sic_manual.display?id=678&amp;tab=description"/>
    <hyperlink ref="A129" r:id="rId123" tooltip="3296 Mineral Wool" display="https://www.osha.gov/pls/imis/sic_manual.display?id=680&amp;tab=description"/>
    <hyperlink ref="A130" r:id="rId124" tooltip="3297 Nonclay Refractories" display="https://www.osha.gov/pls/imis/sic_manual.display?id=681&amp;tab=description"/>
    <hyperlink ref="A131" r:id="rId125" tooltip="3299 Nonmetallic Mineral Products, Not Elsewhere Classified" display="https://www.osha.gov/pls/imis/sic_manual.display?id=682&amp;tab=description"/>
    <hyperlink ref="A132" r:id="rId126" tooltip="3312 Steel Works, Blast Furnaces (Including Coke Ovens), and Rolling Mills" display="https://www.osha.gov/pls/imis/sic_manual.display?id=683&amp;tab=description"/>
    <hyperlink ref="A133" r:id="rId127" tooltip="3313 Electrometallurgical Products, Except Steel" display="https://www.osha.gov/pls/imis/sic_manual.display?id=684&amp;tab=description"/>
    <hyperlink ref="A134" r:id="rId128" tooltip="3315 Steel Wiredrawing and Steel Nails and Spikes" display="https://www.osha.gov/pls/imis/sic_manual.display?id=685&amp;tab=description"/>
    <hyperlink ref="A135" r:id="rId129" tooltip="3321 Gray and Ductile Iron Foundries" display="https://www.osha.gov/pls/imis/sic_manual.display?id=688&amp;tab=description"/>
    <hyperlink ref="A136" r:id="rId130" tooltip="3322 Malleable Iron Foundries" display="https://www.osha.gov/pls/imis/sic_manual.display?id=689&amp;tab=description"/>
    <hyperlink ref="A137" r:id="rId131" tooltip="3324 Steel Investment Foundries" display="https://www.osha.gov/pls/imis/sic_manual.display?id=690&amp;tab=description"/>
    <hyperlink ref="A138" r:id="rId132" tooltip="3325 Steel Foundries, Not Elsewhere Classified" display="https://www.osha.gov/pls/imis/sic_manual.display?id=691&amp;tab=description"/>
    <hyperlink ref="A139" r:id="rId133" tooltip="3356 Rolling, Drawing, and Extruding of Nonferrous Metals, Except Copper and Aluminum" display="https://www.osha.gov/pls/imis/sic_manual.display?id=705&amp;tab=description"/>
    <hyperlink ref="A140" r:id="rId134" tooltip="3357 Drawing and Insulating of Nonferrous Wire" display="https://www.osha.gov/pls/imis/sic_manual.display?id=706&amp;tab=description"/>
    <hyperlink ref="A141" r:id="rId135" tooltip="3363 Aluminum Die-Castings" display="https://www.osha.gov/pls/imis/sic_manual.display?id=707&amp;tab=description"/>
    <hyperlink ref="A142" r:id="rId136" tooltip="3364 Nonferrous Die-Castings, Except Aluminum" display="https://www.osha.gov/pls/imis/sic_manual.display?id=708&amp;tab=description"/>
    <hyperlink ref="A143" r:id="rId137" tooltip="3365 Aluminum Foundries" display="https://www.osha.gov/pls/imis/sic_manual.display?id=709&amp;tab=description"/>
    <hyperlink ref="A144" r:id="rId138" tooltip="3366 Copper Foundries" display="https://www.osha.gov/pls/imis/sic_manual.display?id=710&amp;tab=description"/>
    <hyperlink ref="A145" r:id="rId139" tooltip="3369 Nonferrous Foundries, Except Aluminum and Copper" display="https://www.osha.gov/pls/imis/sic_manual.display?id=711&amp;tab=description"/>
    <hyperlink ref="A146" r:id="rId140" tooltip="3399 Primary Metal Products, Not Elsewhere Classified" display="https://www.osha.gov/pls/imis/sic_manual.display?id=713&amp;tab=description"/>
    <hyperlink ref="A147" r:id="rId141" tooltip="3411 Metal Cans" display="https://www.osha.gov/pls/imis/sic_manual.display?id=714&amp;tab=description"/>
    <hyperlink ref="A148" r:id="rId142" tooltip="3412 Metal Shipping Barrels, Drums, Kegs, and Pails" display="https://www.osha.gov/pls/imis/sic_manual.display?id=715&amp;tab=description"/>
    <hyperlink ref="A149" r:id="rId143" tooltip="3421 Cutlery" display="https://www.osha.gov/pls/imis/sic_manual.display?id=716&amp;tab=description"/>
    <hyperlink ref="A150" r:id="rId144" tooltip="3423 Hand and Edge Tools, Except Machine Tools and Handsaws" display="https://www.osha.gov/pls/imis/sic_manual.display?id=717&amp;tab=description"/>
    <hyperlink ref="A151" r:id="rId145" tooltip="3425 Saw Blades and Handsaws" display="https://www.osha.gov/pls/imis/sic_manual.display?id=718&amp;tab=description"/>
    <hyperlink ref="A152" r:id="rId146" tooltip="3429 Hardware, Not Elsewhere Classified" display="https://www.osha.gov/pls/imis/sic_manual.display?id=719&amp;tab=description"/>
    <hyperlink ref="A153" r:id="rId147" tooltip="3431 Enameled Iron and Metal Sanitary Ware" display="https://www.osha.gov/pls/imis/sic_manual.display?id=720&amp;tab=description"/>
    <hyperlink ref="A154" r:id="rId148" tooltip="3432 Plumbing Fixture Fittings and Trim" display="https://www.osha.gov/pls/imis/sic_manual.display?id=721&amp;tab=description"/>
    <hyperlink ref="A155" r:id="rId149" tooltip="3433 Heating Equipment, Except Electric and Warm Air Furnaces" display="https://www.osha.gov/pls/imis/sic_manual.display?id=722&amp;tab=description"/>
    <hyperlink ref="A156" r:id="rId150" tooltip="3441 Fabricated Structural Metal" display="https://www.osha.gov/pls/imis/sic_manual.display?id=723&amp;tab=description"/>
    <hyperlink ref="A157" r:id="rId151" tooltip="3442 Metal Doors, Sash, Frames, Molding, and Trim Manufacturing" display="https://www.osha.gov/pls/imis/sic_manual.display?id=724&amp;tab=description"/>
    <hyperlink ref="A158" r:id="rId152" tooltip="3443 Fabricated Plate Work (Boiler Shops)" display="https://www.osha.gov/pls/imis/sic_manual.display?id=1007&amp;tab=description"/>
    <hyperlink ref="A159" r:id="rId153" tooltip="3444 Sheet Metal Work" display="https://www.osha.gov/pls/imis/sic_manual.display?id=726&amp;tab=description"/>
    <hyperlink ref="A160" r:id="rId154" tooltip="3446 Architectural and Ornamental Metal Work" display="https://www.osha.gov/pls/imis/sic_manual.display?id=727&amp;tab=description"/>
    <hyperlink ref="A161" r:id="rId155" tooltip="3448 Prefabricated Metal Buildings and Components" display="https://www.osha.gov/pls/imis/sic_manual.display?id=728&amp;tab=description"/>
    <hyperlink ref="A162" r:id="rId156" tooltip="3449 Miscellaneous Structural Metal Work" display="https://www.osha.gov/pls/imis/sic_manual.display?id=729&amp;tab=description"/>
    <hyperlink ref="A163" r:id="rId157" tooltip="3451 Screw Machine Products" display="https://www.osha.gov/pls/imis/sic_manual.display?id=730&amp;tab=description"/>
    <hyperlink ref="A164" r:id="rId158" tooltip="3452 Bolts, Nuts, Screws, Rivets, and Washers" display="https://www.osha.gov/pls/imis/sic_manual.display?id=731&amp;tab=description"/>
    <hyperlink ref="A165" r:id="rId159" tooltip="3462 Iron and Steel Forgings" display="https://www.osha.gov/pls/imis/sic_manual.display?id=732&amp;tab=description"/>
    <hyperlink ref="A166" r:id="rId160" tooltip="3463 Nonferrous Forgings" display="https://www.osha.gov/pls/imis/sic_manual.display?id=733&amp;tab=description"/>
    <hyperlink ref="A167" r:id="rId161" tooltip="3465 Automotive Stampings" display="https://www.osha.gov/pls/imis/sic_manual.display?id=734&amp;tab=description"/>
    <hyperlink ref="A168" r:id="rId162" tooltip="3466 Crowns and Closures" display="https://www.osha.gov/pls/imis/sic_manual.display?id=735&amp;tab=description"/>
    <hyperlink ref="A169" r:id="rId163" tooltip="3469 Metal Stampings, Not Elsewhere Classified" display="https://www.osha.gov/pls/imis/sic_manual.display?id=736&amp;tab=description"/>
    <hyperlink ref="A170" r:id="rId164" tooltip="3482 Small Arms Ammunition" display="https://www.osha.gov/pls/imis/sic_manual.display?id=739&amp;tab=description"/>
    <hyperlink ref="A171" r:id="rId165" tooltip="3483 Ammunition, Except for Small Arms" display="https://www.osha.gov/pls/imis/sic_manual.display?id=740&amp;tab=description"/>
    <hyperlink ref="A172" r:id="rId166" tooltip="3484 Small Arms" display="https://www.osha.gov/pls/imis/sic_manual.display?id=741&amp;tab=description"/>
    <hyperlink ref="A173" r:id="rId167" tooltip="3489 Ordnance and Accessories, Not Elsewhere Classified" display="https://www.osha.gov/pls/imis/sic_manual.display?id=742&amp;tab=description"/>
    <hyperlink ref="A174" r:id="rId168" tooltip="3491 Industrial Valves" display="https://www.osha.gov/pls/imis/sic_manual.display?id=743&amp;tab=description"/>
    <hyperlink ref="A175" r:id="rId169" tooltip="3492 Fluid Power Valves and Hose Fittings" display="https://www.osha.gov/pls/imis/sic_manual.display?id=744&amp;tab=description"/>
    <hyperlink ref="A176" r:id="rId170" tooltip="3493 Steel Springs, Except Wire" display="https://www.osha.gov/pls/imis/sic_manual.display?id=745&amp;tab=description"/>
    <hyperlink ref="A177" r:id="rId171" tooltip="3494 Valves and Pipe Fittings, Not Elsewhere Classified" display="https://www.osha.gov/pls/imis/sic_manual.display?id=746&amp;tab=description"/>
    <hyperlink ref="A178" r:id="rId172" tooltip="3495 Wire Springs" display="https://www.osha.gov/pls/imis/sic_manual.display?id=747&amp;tab=description"/>
    <hyperlink ref="A179" r:id="rId173" tooltip="3496 Miscellaneous Fabricated Wire Products" display="https://www.osha.gov/pls/imis/sic_manual.display?id=748&amp;tab=description"/>
    <hyperlink ref="A180" r:id="rId174" tooltip="3497 Metal Foil and Leaf" display="https://www.osha.gov/pls/imis/sic_manual.display?id=749&amp;tab=description"/>
    <hyperlink ref="A181" r:id="rId175" tooltip="3498 Fabricated Pipe and Pipe Fittings" display="https://www.osha.gov/pls/imis/sic_manual.display?id=750&amp;tab=description"/>
    <hyperlink ref="A182" r:id="rId176" tooltip="3499 Fabricated Metal Products, Not Elsewhere Classified" display="https://www.osha.gov/pls/imis/sic_manual.display?id=751&amp;tab=description"/>
    <hyperlink ref="A183" r:id="rId177" tooltip="3511 Steam, Gas, and Hydraulic Turbines, and Turbine Generator Set Units" display="https://www.osha.gov/pls/imis/sic_manual.display?id=752&amp;tab=description"/>
    <hyperlink ref="A184" r:id="rId178" tooltip="3519 Internal Combustion Engines, Not Elsewhere Classified" display="https://www.osha.gov/pls/imis/sic_manual.display?id=753&amp;tab=description"/>
    <hyperlink ref="D7" r:id="rId179" tooltip="3523 Farm Machinery and Equipment" display="https://www.osha.gov/pls/imis/sic_manual.display?id=1008&amp;tab=description"/>
    <hyperlink ref="D8" r:id="rId180" tooltip="3524 Lawn and Garden Tractors and Home Lawn and Garden Equipment" display="https://www.osha.gov/pls/imis/sic_manual.display?id=755&amp;tab=description"/>
    <hyperlink ref="D9" r:id="rId181" tooltip="3531 Construction Machinery and Equipment" display="https://www.osha.gov/pls/imis/sic_manual.display?id=1009&amp;tab=description"/>
    <hyperlink ref="D10" r:id="rId182" tooltip="3532 Mining Machinery and Equipment, Except Oil and Gas Field Machinery and Equipment" display="https://www.osha.gov/pls/imis/sic_manual.display?id=757&amp;tab=description"/>
    <hyperlink ref="D11" r:id="rId183" tooltip="3533 Oil and Gas Field Machinery and Equipment" display="https://www.osha.gov/pls/imis/sic_manual.display?id=758&amp;tab=description"/>
    <hyperlink ref="D12" r:id="rId184" tooltip="3534 Elevators and Moving Stairways" display="https://www.osha.gov/pls/imis/sic_manual.display?id=759&amp;tab=description"/>
    <hyperlink ref="D13" r:id="rId185" tooltip="3535 Conveyors and Conveying Equipment" display="https://www.osha.gov/pls/imis/sic_manual.display?id=760&amp;tab=description"/>
    <hyperlink ref="D14" r:id="rId186" tooltip="3536 Overhead Traveling Cranes, Hoists, and Monorail Systems" display="https://www.osha.gov/pls/imis/sic_manual.display?id=761&amp;tab=description"/>
    <hyperlink ref="D15" r:id="rId187" tooltip="3537 Industrial Trucks, Tractors, Trailers, and Stackers" display="https://www.osha.gov/pls/imis/sic_manual.display?id=762&amp;tab=description"/>
    <hyperlink ref="D16" r:id="rId188" tooltip="3541 Machine Tools, Metal Cutting Types" display="https://www.osha.gov/pls/imis/sic_manual.display?id=763&amp;tab=description"/>
    <hyperlink ref="D17" r:id="rId189" tooltip="3542 Machine Tools, Metal Forming Types" display="https://www.osha.gov/pls/imis/sic_manual.display?id=764&amp;tab=description"/>
    <hyperlink ref="D18" r:id="rId190" tooltip="3543 Industrial Patterns" display="https://www.osha.gov/pls/imis/sic_manual.display?id=765&amp;tab=description"/>
    <hyperlink ref="D19" r:id="rId191" tooltip="3544 Special Dies and Tools, Die Sets, Jigs and Fixtures, and Industrial Molds" display="https://www.osha.gov/pls/imis/sic_manual.display?id=766&amp;tab=description"/>
    <hyperlink ref="D20" r:id="rId192" tooltip="3545 Cutting Tools, Machine Tool Accessories, and Machinists' Precision Measuring Devices" display="https://www.osha.gov/pls/imis/sic_manual.display?id=767&amp;tab=description"/>
    <hyperlink ref="D21" r:id="rId193" tooltip="3546 Power-Driven Handtools" display="https://www.osha.gov/pls/imis/sic_manual.display?id=768&amp;tab=description"/>
    <hyperlink ref="D22" r:id="rId194" tooltip="3547 Rolling Mill Machinery and Equipment" display="https://www.osha.gov/pls/imis/sic_manual.display?id=769&amp;tab=description"/>
    <hyperlink ref="D23" r:id="rId195" tooltip="3548 Electric and Gas Welding and Soldering Equipment" display="https://www.osha.gov/pls/imis/sic_manual.display?id=770&amp;tab=description"/>
    <hyperlink ref="D24" r:id="rId196" tooltip="3549 Metalworking Machinery, Not Elsewhere Classified" display="https://www.osha.gov/pls/imis/sic_manual.display?id=771&amp;tab=description"/>
    <hyperlink ref="D25" r:id="rId197" tooltip="3552 Textile Machinery" display="https://www.osha.gov/pls/imis/sic_manual.display?id=772&amp;tab=description"/>
    <hyperlink ref="D26" r:id="rId198" tooltip="3553 Woodworking Machinery" display="https://www.osha.gov/pls/imis/sic_manual.display?id=773&amp;tab=description"/>
    <hyperlink ref="D27" r:id="rId199" tooltip="3554 Paper Industries Machinery" display="https://www.osha.gov/pls/imis/sic_manual.display?id=774&amp;tab=description"/>
    <hyperlink ref="D28" r:id="rId200" tooltip="3555 Printing Trades Machinery and Equipment" display="https://www.osha.gov/pls/imis/sic_manual.display?id=775&amp;tab=description"/>
    <hyperlink ref="D29" r:id="rId201" tooltip="3556 Food Products Machinery" display="https://www.osha.gov/pls/imis/sic_manual.display?id=776&amp;tab=description"/>
    <hyperlink ref="D30" r:id="rId202" tooltip="3559 Special Industry Machinery, Not Elsewhere Classified" display="https://www.osha.gov/pls/imis/sic_manual.display?id=777&amp;tab=description"/>
    <hyperlink ref="D31" r:id="rId203" tooltip="3561 Pumps and Pumping Equipment" display="https://www.osha.gov/pls/imis/sic_manual.display?id=778&amp;tab=description"/>
    <hyperlink ref="D32" r:id="rId204" tooltip="3562 Ball and Roller Bearings" display="https://www.osha.gov/pls/imis/sic_manual.display?id=779&amp;tab=description"/>
    <hyperlink ref="D33" r:id="rId205" tooltip="3563 Air and Gas Compressors" display="https://www.osha.gov/pls/imis/sic_manual.display?id=780&amp;tab=description"/>
    <hyperlink ref="D34" r:id="rId206" tooltip="3564 Industrial and Commercial Fans and Blowers and Air Purification Equipment" display="https://www.osha.gov/pls/imis/sic_manual.display?id=781&amp;tab=description"/>
    <hyperlink ref="D35" r:id="rId207" tooltip="3565 Packaging Machinery" display="https://www.osha.gov/pls/imis/sic_manual.display?id=782&amp;tab=description"/>
    <hyperlink ref="D36" r:id="rId208" tooltip="3566 Speed Changers, Industrial High-Speed Drives, and Gears" display="https://www.osha.gov/pls/imis/sic_manual.display?id=783&amp;tab=description"/>
    <hyperlink ref="D37" r:id="rId209" tooltip="3567 Industrial Process Furnaces and Ovens" display="https://www.osha.gov/pls/imis/sic_manual.display?id=784&amp;tab=description"/>
    <hyperlink ref="D38" r:id="rId210" tooltip="3568 Mechanical Power Transmission Equipment, Not Elsewhere Classified" display="https://www.osha.gov/pls/imis/sic_manual.display?id=785&amp;tab=description"/>
    <hyperlink ref="D39" r:id="rId211" tooltip="3569 General Industrial Machinery and Equipment, Not Elsewhere" display="https://www.osha.gov/pls/imis/sic_manual.display?id=786&amp;tab=description"/>
    <hyperlink ref="D40" r:id="rId212" tooltip="3571 Electronic Computers" display="https://www.osha.gov/pls/imis/sic_manual.display?id=787&amp;tab=description"/>
    <hyperlink ref="D41" r:id="rId213" tooltip="3572 Computer Storage Devices" display="https://www.osha.gov/pls/imis/sic_manual.display?id=788&amp;tab=description"/>
    <hyperlink ref="D42" r:id="rId214" tooltip="3575 Computer Terminals" display="https://www.osha.gov/pls/imis/sic_manual.display?id=789&amp;tab=description"/>
    <hyperlink ref="D43" r:id="rId215" tooltip="3577 Computer Peripheral Equipment, Not Elsewhere Classified" display="https://www.osha.gov/pls/imis/sic_manual.display?id=790&amp;tab=description"/>
    <hyperlink ref="D44" r:id="rId216" tooltip="3578 Calculating and Accounting Machines, Except Electronic Computers" display="https://www.osha.gov/pls/imis/sic_manual.display?id=791&amp;tab=description"/>
    <hyperlink ref="D45" r:id="rId217" tooltip="3579 Office Machines, Not Elsewhere Classified" display="https://www.osha.gov/pls/imis/sic_manual.display?id=792&amp;tab=description"/>
    <hyperlink ref="D46" r:id="rId218" tooltip="3581 Automatic Vending Machines" display="https://www.osha.gov/pls/imis/sic_manual.display?id=793&amp;tab=description"/>
    <hyperlink ref="D47" r:id="rId219" tooltip="3582 Commercial Laundry, Drycleaning, and Pressing Machines" display="https://www.osha.gov/pls/imis/sic_manual.display?id=794&amp;tab=description"/>
    <hyperlink ref="D48" r:id="rId220" tooltip="3585 Air-Conditioning and Warm Air Heating Equipment and Commercial and Industrial Refrigeration Equipment" display="https://www.osha.gov/pls/imis/sic_manual.display?id=795&amp;tab=description"/>
    <hyperlink ref="D49" r:id="rId221" tooltip="3586 Measuring and Dispensing Pumps" display="https://www.osha.gov/pls/imis/sic_manual.display?id=796&amp;tab=description"/>
    <hyperlink ref="D50" r:id="rId222" tooltip="3589 Service Industry Machinery, Not Elsewhere Classified" display="https://www.osha.gov/pls/imis/sic_manual.display?id=797&amp;tab=description"/>
    <hyperlink ref="D51" r:id="rId223" tooltip="3592 Carburetors, Pistons, Piston Rings, and Valves" display="https://www.osha.gov/pls/imis/sic_manual.display?id=798&amp;tab=description"/>
    <hyperlink ref="D52" r:id="rId224" tooltip="3593 Fluid Power Cylinders and Actuators" display="https://www.osha.gov/pls/imis/sic_manual.display?id=799&amp;tab=description"/>
    <hyperlink ref="D53" r:id="rId225" tooltip="3594 Fluid Power Pumps and Motors" display="https://www.osha.gov/pls/imis/sic_manual.display?id=800&amp;tab=description"/>
    <hyperlink ref="D54" r:id="rId226" tooltip="3596 Scales and Balances, Except Laboratory" display="https://www.osha.gov/pls/imis/sic_manual.display?id=801&amp;tab=description"/>
    <hyperlink ref="D55" r:id="rId227" tooltip="3599 Industrial and Commercial Machinery and Equipment, Not Elsewhere Classified" display="https://www.osha.gov/pls/imis/sic_manual.display?id=802&amp;tab=description"/>
    <hyperlink ref="D56" r:id="rId228" tooltip="3612 Power, Distribution, and Specialty Transformers" display="https://www.osha.gov/pls/imis/sic_manual.display?id=803&amp;tab=description"/>
    <hyperlink ref="D57" r:id="rId229" tooltip="3613 Switchgear and Switchboard Apparatus" display="https://www.osha.gov/pls/imis/sic_manual.display?id=804&amp;tab=description"/>
    <hyperlink ref="D58" r:id="rId230" tooltip="3621 Motors and Generators" display="https://www.osha.gov/pls/imis/sic_manual.display?id=805&amp;tab=description"/>
    <hyperlink ref="D59" r:id="rId231" tooltip="3624 Carbon and Graphite Products" display="https://www.osha.gov/pls/imis/sic_manual.display?id=806&amp;tab=description"/>
    <hyperlink ref="D60" r:id="rId232" tooltip="3625 Relays and Industrial Controls" display="https://www.osha.gov/pls/imis/sic_manual.display?id=807&amp;tab=description"/>
    <hyperlink ref="D61" r:id="rId233" tooltip="3629 Electrical Industrial Apparatus, Not Elsewhere Classified" display="https://www.osha.gov/pls/imis/sic_manual.display?id=808&amp;tab=description"/>
    <hyperlink ref="D62" r:id="rId234" tooltip="3631 Household Cooking Equipment" display="https://www.osha.gov/pls/imis/sic_manual.display?id=809&amp;tab=description"/>
    <hyperlink ref="D63" r:id="rId235" tooltip="3632 Household Refrigerators and HOme and Farm Freezers" display="https://www.osha.gov/pls/imis/sic_manual.display?id=810&amp;tab=description"/>
    <hyperlink ref="D64" r:id="rId236" tooltip="3633 Household Laundry Equipment" display="https://www.osha.gov/pls/imis/sic_manual.display?id=811&amp;tab=description"/>
    <hyperlink ref="D65" r:id="rId237" tooltip="3634 Electric Housewares and Fans" display="https://www.osha.gov/pls/imis/sic_manual.display?id=812&amp;tab=description"/>
    <hyperlink ref="D66" r:id="rId238" tooltip="3635 Household Vacuum Cleaners" display="https://www.osha.gov/pls/imis/sic_manual.display?id=813&amp;tab=description"/>
    <hyperlink ref="D67" r:id="rId239" tooltip="3639 Household Appliances, Not Elsewhere Classified" display="https://www.osha.gov/pls/imis/sic_manual.display?id=814&amp;tab=description"/>
    <hyperlink ref="D68" r:id="rId240" tooltip="3641 Electric Lamp Bulbs and Tubes" display="https://www.osha.gov/pls/imis/sic_manual.display?id=815&amp;tab=description"/>
    <hyperlink ref="D69" r:id="rId241" tooltip="3643 Current-Carrying Wiring Devices" display="https://www.osha.gov/pls/imis/sic_manual.display?id=816&amp;tab=description"/>
    <hyperlink ref="D70" r:id="rId242" tooltip="3644 Noncurrent-Carrying Wiring Devices" display="https://www.osha.gov/pls/imis/sic_manual.display?id=817&amp;tab=description"/>
    <hyperlink ref="D71" r:id="rId243" tooltip="3645 Residential Electric Lighting Fixtures" display="https://www.osha.gov/pls/imis/sic_manual.display?id=818&amp;tab=description"/>
    <hyperlink ref="D72" r:id="rId244" tooltip="3646 Commercial, Industrial, and Institutional Electric Lighting Fixtures" display="https://www.osha.gov/pls/imis/sic_manual.display?id=819&amp;tab=description"/>
    <hyperlink ref="D73" r:id="rId245" tooltip="3647 Vehicular Lighting Equipment" display="https://www.osha.gov/pls/imis/sic_manual.display?id=820&amp;tab=description"/>
    <hyperlink ref="D74" r:id="rId246" tooltip="3648 Lighting Equipment, Not Elsewhere Classified" display="https://www.osha.gov/pls/imis/sic_manual.display?id=821&amp;tab=description"/>
    <hyperlink ref="D75" r:id="rId247" tooltip="3651 Household Audio and Video Equipment" display="https://www.osha.gov/pls/imis/sic_manual.display?id=822&amp;tab=description"/>
    <hyperlink ref="D76" r:id="rId248" tooltip="3652 Phonograph Records and Prerecorded Audio Tapes and Disks" display="https://www.osha.gov/pls/imis/sic_manual.display?id=823&amp;tab=description"/>
    <hyperlink ref="D77" r:id="rId249" tooltip="3661 Telephone and Telegraph Apparatus" display="https://www.osha.gov/pls/imis/sic_manual.display?id=824&amp;tab=description"/>
    <hyperlink ref="D78" r:id="rId250" tooltip="3663 Radio and Television Broadcasting and Communications Equipment" display="https://www.osha.gov/pls/imis/sic_manual.display?id=825&amp;tab=description"/>
    <hyperlink ref="D79" r:id="rId251" tooltip="3669 Communications Equipment, Not Elsewhere Classified" display="https://www.osha.gov/pls/imis/sic_manual.display?id=826&amp;tab=description"/>
    <hyperlink ref="D80" r:id="rId252" tooltip="3671 Electron Tubes" display="https://www.osha.gov/pls/imis/sic_manual.display?id=827&amp;tab=description"/>
    <hyperlink ref="D81" r:id="rId253" tooltip="3672 Printed Circuit Boards" display="https://www.osha.gov/pls/imis/sic_manual.display?id=828&amp;tab=description"/>
    <hyperlink ref="D82" r:id="rId254" tooltip="3674 Semiconductors and Related Devices" display="https://www.osha.gov/pls/imis/sic_manual.display?id=829&amp;tab=description"/>
    <hyperlink ref="D83" r:id="rId255" tooltip="3675 Electronic Capacitors" display="https://www.osha.gov/pls/imis/sic_manual.display?id=830&amp;tab=description"/>
    <hyperlink ref="D84" r:id="rId256" tooltip="3676 Electronic Resistors" display="https://www.osha.gov/pls/imis/sic_manual.display?id=831&amp;tab=description"/>
    <hyperlink ref="D85" r:id="rId257" tooltip="3677 Electronic Coils, Transformers, and Other Inductors" display="https://www.osha.gov/pls/imis/sic_manual.display?id=832&amp;tab=description"/>
    <hyperlink ref="D86" r:id="rId258" tooltip="3678 Electronic Connectors" display="https://www.osha.gov/pls/imis/sic_manual.display?id=833&amp;tab=description"/>
    <hyperlink ref="D87" r:id="rId259" tooltip="3679 Electronic Components, Not Elsewhere Classified" display="https://www.osha.gov/pls/imis/sic_manual.display?id=834&amp;tab=description"/>
    <hyperlink ref="D88" r:id="rId260" tooltip="3691 Storage Batteries" display="https://www.osha.gov/pls/imis/sic_manual.display?id=835&amp;tab=description"/>
    <hyperlink ref="D89" r:id="rId261" tooltip="3692 Primary Batteries, Dry and Wet" display="https://www.osha.gov/pls/imis/sic_manual.display?id=836&amp;tab=description"/>
    <hyperlink ref="D90" r:id="rId262" tooltip="3694 Electrical Equipment for Internal Combustion Engines" display="https://www.osha.gov/pls/imis/sic_manual.display?id=837&amp;tab=description"/>
    <hyperlink ref="D91" r:id="rId263" tooltip="3695 Magnetic And Optical Recording Media" display="https://www.osha.gov/pls/imis/sic_manual.display?id=838&amp;tab=description"/>
    <hyperlink ref="D92" r:id="rId264" tooltip="3699 Electrical Machinery, Equipment, and Supplies, Not Elsewhere" display="https://www.osha.gov/pls/imis/sic_manual.display?id=839&amp;tab=description"/>
    <hyperlink ref="D93" r:id="rId265" tooltip="3711 Motor Vehicles and Passenger Car Bodies" display="https://www.osha.gov/pls/imis/sic_manual.display?id=840&amp;tab=description"/>
    <hyperlink ref="D94" r:id="rId266" tooltip="3713 Truck and Bus Bodies" display="https://www.osha.gov/pls/imis/sic_manual.display?id=841&amp;tab=description"/>
    <hyperlink ref="D95" r:id="rId267" tooltip="3714 Motor Vehicle Parts and Accessories" display="https://www.osha.gov/pls/imis/sic_manual.display?id=842&amp;tab=description"/>
    <hyperlink ref="D96" r:id="rId268" tooltip="3715 Truck Trailers" display="https://www.osha.gov/pls/imis/sic_manual.display?id=843&amp;tab=description"/>
    <hyperlink ref="D97" r:id="rId269" tooltip="3716 Motor Homes" display="https://www.osha.gov/pls/imis/sic_manual.display?id=844&amp;tab=description"/>
    <hyperlink ref="D98" r:id="rId270" tooltip="3721 Aircraft" display="https://www.osha.gov/pls/imis/sic_manual.display?id=845&amp;tab=description"/>
    <hyperlink ref="D99" r:id="rId271" tooltip="3724 Aircraft Engines and Engine Parts" display="https://www.osha.gov/pls/imis/sic_manual.display?id=846&amp;tab=description"/>
    <hyperlink ref="D100" r:id="rId272" tooltip="3728 Aircraft Parts and Auxiliary Equipment, Not Elsewhere Classified" display="https://www.osha.gov/pls/imis/sic_manual.display?id=847&amp;tab=description"/>
    <hyperlink ref="D101" r:id="rId273" tooltip="3732 Boat Building and Repairing" display="https://www.osha.gov/pls/imis/sic_manual.display?id=849&amp;tab=description"/>
    <hyperlink ref="D102" r:id="rId274" tooltip="3743 Railroad Equipment" display="https://www.osha.gov/pls/imis/sic_manual.display?id=850&amp;tab=description"/>
    <hyperlink ref="D103" r:id="rId275" tooltip="3751 Motorcycles, Bicycles, and Parts" display="https://www.osha.gov/pls/imis/sic_manual.display?id=851&amp;tab=description"/>
    <hyperlink ref="D104" r:id="rId276" tooltip="3761 Guided Missiles and Space Vehicles" display="https://www.osha.gov/pls/imis/sic_manual.display?id=852&amp;tab=description"/>
    <hyperlink ref="D105" r:id="rId277" tooltip="3764 Guided Missile and Space Vehicle Propulsion Units and Propulsion Unit Parts" display="https://www.osha.gov/pls/imis/sic_manual.display?id=853&amp;tab=description"/>
    <hyperlink ref="D106" r:id="rId278" tooltip="3769 Guided Missile Space Vehicle Parts and Auxiliary Equipment, Not Elsewhere Classified" display="https://www.osha.gov/pls/imis/sic_manual.display?id=854&amp;tab=description"/>
    <hyperlink ref="D107" r:id="rId279" tooltip="3792 Travel Trailers and Campers" display="https://www.osha.gov/pls/imis/sic_manual.display?id=855&amp;tab=description"/>
    <hyperlink ref="D108" r:id="rId280" tooltip="3795 Tanks and Tank Components" display="https://www.osha.gov/pls/imis/sic_manual.display?id=856&amp;tab=description"/>
    <hyperlink ref="D109" r:id="rId281" tooltip="3799 Transportation Equipment, Not Elsewhere Classified" display="https://www.osha.gov/pls/imis/sic_manual.display?id=857&amp;tab=description"/>
    <hyperlink ref="D110" r:id="rId282" tooltip="3812 Search, Detection, Navigation, Guidance, Aeronautical, and Nautical Systems and Instruments" display="https://www.osha.gov/pls/imis/sic_manual.display?id=858&amp;tab=description"/>
    <hyperlink ref="D111" r:id="rId283" tooltip="3821 Laboratory Apparatus and Furniture" display="https://www.osha.gov/pls/imis/sic_manual.display?id=859&amp;tab=description"/>
    <hyperlink ref="D112" r:id="rId284" tooltip="3822 Automatic Controls for Regulating Residential and Commercial Environments and Appliances" display="https://www.osha.gov/pls/imis/sic_manual.display?id=860&amp;tab=description"/>
    <hyperlink ref="D113" r:id="rId285" tooltip="3823 Industrial Instruments for Measurement, Display, and Control of Process Variables; and Related Products" display="https://www.osha.gov/pls/imis/sic_manual.display?id=1010&amp;tab=description"/>
    <hyperlink ref="D114" r:id="rId286" tooltip="3824 Totalizing Fluid Meters and Counting Devices" display="https://www.osha.gov/pls/imis/sic_manual.display?id=862&amp;tab=description"/>
    <hyperlink ref="D115" r:id="rId287" tooltip="3825 Instruments for Measuring and Testing of Electricity and Electrical Signals" display="https://www.osha.gov/pls/imis/sic_manual.display?id=1011&amp;tab=description"/>
    <hyperlink ref="D116" r:id="rId288" tooltip="3826 Laboratory Analytical Instruments" display="https://www.osha.gov/pls/imis/sic_manual.display?id=863&amp;tab=description"/>
    <hyperlink ref="D117" r:id="rId289" tooltip="3827 Optical Instruments and Lenses" display="https://www.osha.gov/pls/imis/sic_manual.display?id=864&amp;tab=description"/>
    <hyperlink ref="D118" r:id="rId290" tooltip="3829 Measuring and Controlling Devices, Not Elsewhere Classified" display="https://www.osha.gov/pls/imis/sic_manual.display?id=865&amp;tab=description"/>
    <hyperlink ref="D119" r:id="rId291" tooltip="3841 Surgical and Medical Instruments and Apparatus" display="https://www.osha.gov/pls/imis/sic_manual.display?id=866&amp;tab=description"/>
    <hyperlink ref="D120" r:id="rId292" tooltip="3842 Orthopedic, Prosthetic, and Surgical Appliances and Supplies" display="https://www.osha.gov/pls/imis/sic_manual.display?id=867&amp;tab=description"/>
    <hyperlink ref="D121" r:id="rId293" tooltip="3843 Dental Equipment and Supplies" display="https://www.osha.gov/pls/imis/sic_manual.display?id=868&amp;tab=description"/>
    <hyperlink ref="D122" r:id="rId294" tooltip="3844 X-Ray Apparatus and Tubes and Related Irradiation Apparatus" display="https://www.osha.gov/pls/imis/sic_manual.display?id=869&amp;tab=description"/>
    <hyperlink ref="D123" r:id="rId295" tooltip="3845 Electromedical and Electrotherapeutic Apparatus" display="https://www.osha.gov/pls/imis/sic_manual.display?id=870&amp;tab=description"/>
    <hyperlink ref="D124" r:id="rId296" tooltip="3851 Ophthalmic Goods" display="https://www.osha.gov/pls/imis/sic_manual.display?id=871&amp;tab=description"/>
    <hyperlink ref="D125" r:id="rId297" tooltip="3861 Photographic Equipment and Supplies" display="https://www.osha.gov/pls/imis/sic_manual.display?id=872&amp;tab=description"/>
    <hyperlink ref="D126" r:id="rId298" tooltip="3873 Watches, Clocks, Clockwork Operated Devices, and Parts" display="https://www.osha.gov/pls/imis/sic_manual.display?id=873&amp;tab=description"/>
    <hyperlink ref="D127" r:id="rId299" tooltip="3911 Jewelry, Precious Metal" display="https://www.osha.gov/pls/imis/sic_manual.display?id=874&amp;tab=description"/>
    <hyperlink ref="D128" r:id="rId300" tooltip="3914 Silverware, Plated Ware, and Stainless Steel Ware" display="https://www.osha.gov/pls/imis/sic_manual.display?id=875&amp;tab=description"/>
    <hyperlink ref="D129" r:id="rId301" tooltip="3915 Jewelers' Findings and Materials, and Lapidary Work" display="https://www.osha.gov/pls/imis/sic_manual.display?id=876&amp;tab=description"/>
    <hyperlink ref="D130" r:id="rId302" tooltip="3931 Musical Instruments" display="https://www.osha.gov/pls/imis/sic_manual.display?id=877&amp;tab=description"/>
    <hyperlink ref="D131" r:id="rId303" tooltip="3942 Dolls and Stuffed Toys" display="https://www.osha.gov/pls/imis/sic_manual.display?id=878&amp;tab=description"/>
    <hyperlink ref="D132" r:id="rId304" tooltip="3944 Games, Toys, and Children's Vehicles, Except Dolls and Bicycles" display="https://www.osha.gov/pls/imis/sic_manual.display?id=879&amp;tab=description"/>
    <hyperlink ref="D133" r:id="rId305" tooltip="3949 Sporting and Athletic Goods, Not Elsewhere Classified" display="https://www.osha.gov/pls/imis/sic_manual.display?id=880&amp;tab=description"/>
    <hyperlink ref="D134" r:id="rId306" tooltip="3951 Pens, Mechanical Pencils, and Parts" display="https://www.osha.gov/pls/imis/sic_manual.display?id=881&amp;tab=description"/>
    <hyperlink ref="D135" r:id="rId307" tooltip="3952 Lead Pencils, Crayons, and Artists' Materials" display="https://www.osha.gov/pls/imis/sic_manual.display?id=882&amp;tab=description"/>
    <hyperlink ref="D136" r:id="rId308" tooltip="3953 Marking Devices" display="https://www.osha.gov/pls/imis/sic_manual.display?id=883&amp;tab=description"/>
    <hyperlink ref="D137" r:id="rId309" tooltip="3955 Carbon Paper and Inked Ribbons" display="https://www.osha.gov/pls/imis/sic_manual.display?id=884&amp;tab=description"/>
    <hyperlink ref="D138" r:id="rId310" tooltip="3961 Costume Jewelry and Costume Novelties, Except Precious Metal" display="https://www.osha.gov/pls/imis/sic_manual.display?id=885&amp;tab=description"/>
    <hyperlink ref="D139" r:id="rId311" tooltip="3965 Fasteners, Buttons, Needles, and Pins" display="https://www.osha.gov/pls/imis/sic_manual.display?id=886&amp;tab=description"/>
    <hyperlink ref="D140" r:id="rId312" tooltip="3991 Brooms and Brushes" display="https://www.osha.gov/pls/imis/sic_manual.display?id=887&amp;tab=description"/>
    <hyperlink ref="D141" r:id="rId313" tooltip="3993 Signs and Advertising Specialties" display="https://www.osha.gov/pls/imis/sic_manual.display?id=888&amp;tab=description"/>
    <hyperlink ref="D142" r:id="rId314" tooltip="3995 Burial Caskets" display="https://www.osha.gov/pls/imis/sic_manual.display?id=889&amp;tab=description"/>
    <hyperlink ref="D143" r:id="rId315" tooltip="3996 Linoleum, Asphalted-Felt-Base, and Other Hard Surface Floor Coverings, Not Elsewhere Classified" display="https://www.osha.gov/pls/imis/sic_manual.display?id=890&amp;tab=description"/>
    <hyperlink ref="D144" r:id="rId316" tooltip="3999 Manufacturing Industries, Not Elsewhere Classified" display="https://www.osha.gov/pls/imis/sic_manual.display?id=1012&amp;tab=description"/>
    <hyperlink ref="D145" r:id="rId317" tooltip="4493 Marinas" display="https://www.osha.gov/pls/imis/sic_manual.display?id=921&amp;tab=description"/>
    <hyperlink ref="D146" r:id="rId318" tooltip="4581 Airports, Flying Fields, and Airport Terminal Services" display="https://www.osha.gov/pls/imis/sic_manual.display?id=926&amp;tab=description"/>
    <hyperlink ref="D147" r:id="rId319" tooltip="5032 Brick, Stone, and Related Construction Materials" display="https://www.osha.gov/pls/imis/sic_manual.display?id=966&amp;tab=description"/>
    <hyperlink ref="D148" r:id="rId320" tooltip="5084 Industrial Machinery and Equipment" display="https://www.osha.gov/pls/imis/sic_manual.display?id=987&amp;tab=description"/>
    <hyperlink ref="D149" r:id="rId321" tooltip="5131 Piece Goods, Notions, and Other Dry Good" display="https://www.osha.gov/pls/imis/sic_manual.display?id=695&amp;tab=description"/>
    <hyperlink ref="D150" r:id="rId322" tooltip="5141 Groceries, General Line" display="https://www.osha.gov/pls/imis/sic_manual.display?id=699&amp;tab=description"/>
    <hyperlink ref="D151" r:id="rId323" tooltip="5143 Dairy Products, Except Dried or Canned" display="https://www.osha.gov/pls/imis/sic_manual.display?id=296&amp;tab=description"/>
    <hyperlink ref="D152" r:id="rId324" tooltip="5144 Poultry and Poultry Products" display="https://www.osha.gov/pls/imis/sic_manual.display?id=297&amp;tab=description"/>
    <hyperlink ref="D153" r:id="rId325" tooltip="5146 Fish and Seafoods" display="https://www.osha.gov/pls/imis/sic_manual.display?id=299&amp;tab=description"/>
    <hyperlink ref="D154" r:id="rId326" tooltip="5149 Groceries and Related Products, Not Elsewhere Classified" display="https://www.osha.gov/pls/imis/sic_manual.display?id=302&amp;tab=description"/>
    <hyperlink ref="D155" r:id="rId327" tooltip="5194 Tobacco and Tobacco Products" display="https://www.osha.gov/pls/imis/sic_manual.display?id=11&amp;tab=description"/>
    <hyperlink ref="D156" r:id="rId328" tooltip="5451 Dairy Products Stores" display="https://www.osha.gov/pls/imis/sic_manual.display?id=23&amp;tab=description"/>
    <hyperlink ref="D157" r:id="rId329" tooltip="5461 Retail Bakeries" display="https://www.osha.gov/pls/imis/sic_manual.display?id=24&amp;tab=description"/>
    <hyperlink ref="D158" r:id="rId330" tooltip="7216 Drycleaning Plants, Except Rug Cleaning" display="https://www.osha.gov/pls/imis/sic_manual.display?id=119&amp;tab=description"/>
    <hyperlink ref="D159" r:id="rId331" tooltip="7312 Outdoor Advertising Services" display="https://www.osha.gov/pls/imis/sic_manual.display?id=127&amp;tab=description"/>
    <hyperlink ref="D160" r:id="rId332" tooltip="7331 Direct Mail Advertising Services" display="https://www.osha.gov/pls/imis/sic_manual.display?id=139&amp;tab=description"/>
    <hyperlink ref="D161" r:id="rId333" tooltip="7334 Photocopying and Duplicating Services" display="https://www.osha.gov/pls/imis/sic_manual.display?id=140&amp;tab=description"/>
    <hyperlink ref="D162" r:id="rId334" tooltip="7359 Equipment Rental and Leasing, Not Elsewhere Classified" display="https://www.osha.gov/pls/imis/sic_manual.display?id=270&amp;tab=description"/>
    <hyperlink ref="D163" r:id="rId335" tooltip="7373 Computer Integrated Systems Design" display="https://www.osha.gov/pls/imis/sic_manual.display?id=150&amp;tab=description"/>
    <hyperlink ref="D164" r:id="rId336" tooltip="7377 Computer Rental and Leasing" display="https://www.osha.gov/pls/imis/sic_manual.display?id=272&amp;tab=description"/>
    <hyperlink ref="D165" r:id="rId337" tooltip="7532 Top, Body, and Upholstery Repair Shops and Paint Shops" display="https://www.osha.gov/pls/imis/sic_manual.display?id=133&amp;tab=description"/>
    <hyperlink ref="D166" r:id="rId338" tooltip="7631 Watch, Clock, and Jewelry Repair" display="https://www.osha.gov/pls/imis/sic_manual.display?id=167&amp;tab=description"/>
    <hyperlink ref="D167" r:id="rId339" tooltip="7699 Repair Shops and Related Services, Not Elsewhere Classified" display="https://www.osha.gov/pls/imis/sic_manual.display?id=170&amp;tab=description"/>
    <hyperlink ref="D168" r:id="rId340" tooltip="8071 Medical Laboratories" display="https://www.osha.gov/pls/imis/sic_manual.display?id=199&amp;tab=description"/>
    <hyperlink ref="D169" r:id="rId341" tooltip="8072 Dental Laboratories" display="https://www.osha.gov/pls/imis/sic_manual.display?id=200&amp;tab=description"/>
    <hyperlink ref="D170" r:id="rId342" tooltip="8731 Commercial Physical and Biological Research" display="https://www.osha.gov/pls/imis/sic_manual.display?id=224&amp;tab=description"/>
    <hyperlink ref="D171" r:id="rId343" tooltip="8734 Testing Laboratories" display="https://www.osha.gov/pls/imis/sic_manual.display?id=227&amp;tab=description"/>
    <hyperlink ref="D172" r:id="rId344" tooltip="8742 Management Consulting Services" display="https://www.osha.gov/pls/imis/sic_manual.display?id=229&amp;tab=description"/>
    <hyperlink ref="D173" r:id="rId345" tooltip="9651 Regulation, Licensing, and Inspection of Miscellaneous Commercial Sectors" display="https://www.osha.gov/pls/imis/sic_manual.display?id=343&amp;tab=description"/>
    <hyperlink ref="D174" r:id="rId346" tooltip="9711 National Security" display="https://www.osha.gov/pls/imis/sic_manual.display?id=345&amp;tab=description"/>
  </hyperlinks>
  <pageMargins left="0.7" right="0.7" top="0.75" bottom="0.75" header="0.3" footer="0.3"/>
  <pageSetup scale="79" orientation="landscape" horizontalDpi="4294967293" verticalDpi="0" r:id="rId347"/>
  <drawing r:id="rId34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M204"/>
  <sheetViews>
    <sheetView workbookViewId="0">
      <selection activeCell="C3" sqref="C3"/>
    </sheetView>
  </sheetViews>
  <sheetFormatPr defaultColWidth="9.140625" defaultRowHeight="15" x14ac:dyDescent="0.25"/>
  <cols>
    <col min="1" max="1" width="32.42578125" style="290" customWidth="1"/>
    <col min="2" max="2" width="108.5703125" style="279" customWidth="1"/>
    <col min="3" max="3" width="9.140625" style="279"/>
    <col min="4" max="4" width="0.85546875" style="279" customWidth="1"/>
    <col min="5" max="8" width="9.140625" style="279" hidden="1" customWidth="1"/>
    <col min="9" max="16384" width="9.140625" style="279"/>
  </cols>
  <sheetData>
    <row r="1" spans="1:2" customFormat="1" x14ac:dyDescent="0.25"/>
    <row r="2" spans="1:2" customFormat="1" x14ac:dyDescent="0.25"/>
    <row r="3" spans="1:2" customFormat="1" x14ac:dyDescent="0.25"/>
    <row r="5" spans="1:2" x14ac:dyDescent="0.25">
      <c r="A5" s="280" t="s">
        <v>254</v>
      </c>
      <c r="B5" s="281" t="s">
        <v>255</v>
      </c>
    </row>
    <row r="6" spans="1:2" x14ac:dyDescent="0.25">
      <c r="A6" s="280"/>
      <c r="B6" s="281"/>
    </row>
    <row r="7" spans="1:2" ht="30" x14ac:dyDescent="0.25">
      <c r="A7" s="280" t="s">
        <v>256</v>
      </c>
      <c r="B7" s="282" t="s">
        <v>257</v>
      </c>
    </row>
    <row r="8" spans="1:2" x14ac:dyDescent="0.25">
      <c r="A8" s="280"/>
      <c r="B8" s="281"/>
    </row>
    <row r="9" spans="1:2" x14ac:dyDescent="0.25">
      <c r="A9" s="280" t="s">
        <v>258</v>
      </c>
      <c r="B9" s="278" t="s">
        <v>259</v>
      </c>
    </row>
    <row r="10" spans="1:2" x14ac:dyDescent="0.25">
      <c r="A10" s="280"/>
      <c r="B10" s="281"/>
    </row>
    <row r="11" spans="1:2" x14ac:dyDescent="0.25">
      <c r="A11" s="280" t="s">
        <v>260</v>
      </c>
      <c r="B11" s="281" t="s">
        <v>261</v>
      </c>
    </row>
    <row r="13" spans="1:2" ht="45" x14ac:dyDescent="0.25">
      <c r="A13" s="283" t="s">
        <v>262</v>
      </c>
      <c r="B13" s="282" t="s">
        <v>263</v>
      </c>
    </row>
    <row r="14" spans="1:2" x14ac:dyDescent="0.25">
      <c r="A14" s="280"/>
      <c r="B14" s="282"/>
    </row>
    <row r="15" spans="1:2" ht="45" x14ac:dyDescent="0.25">
      <c r="A15" s="283" t="s">
        <v>264</v>
      </c>
      <c r="B15" s="282" t="s">
        <v>265</v>
      </c>
    </row>
    <row r="17" spans="1:13" ht="60" x14ac:dyDescent="0.25">
      <c r="A17" s="283" t="s">
        <v>266</v>
      </c>
      <c r="B17" s="282" t="s">
        <v>267</v>
      </c>
    </row>
    <row r="19" spans="1:13" ht="90" x14ac:dyDescent="0.25">
      <c r="A19" s="280" t="s">
        <v>268</v>
      </c>
      <c r="B19" s="278" t="s">
        <v>269</v>
      </c>
    </row>
    <row r="21" spans="1:13" ht="30" x14ac:dyDescent="0.25">
      <c r="A21" s="280" t="s">
        <v>270</v>
      </c>
      <c r="B21" s="278" t="s">
        <v>271</v>
      </c>
    </row>
    <row r="22" spans="1:13" ht="60" x14ac:dyDescent="0.25">
      <c r="A22" s="280"/>
      <c r="B22" s="284" t="s">
        <v>272</v>
      </c>
    </row>
    <row r="23" spans="1:13" x14ac:dyDescent="0.25">
      <c r="A23" s="280"/>
      <c r="B23" s="278" t="s">
        <v>273</v>
      </c>
    </row>
    <row r="24" spans="1:13" x14ac:dyDescent="0.25">
      <c r="A24" s="280"/>
      <c r="B24" s="278" t="s">
        <v>274</v>
      </c>
    </row>
    <row r="25" spans="1:13" x14ac:dyDescent="0.25">
      <c r="A25" s="280"/>
      <c r="B25" s="278" t="s">
        <v>275</v>
      </c>
      <c r="D25" s="285"/>
      <c r="E25" s="285"/>
      <c r="F25" s="281"/>
      <c r="G25" s="286"/>
      <c r="H25" s="287"/>
      <c r="I25" s="287"/>
      <c r="J25" s="287"/>
      <c r="K25" s="288"/>
      <c r="L25" s="288"/>
      <c r="M25" s="289"/>
    </row>
    <row r="26" spans="1:13" x14ac:dyDescent="0.25">
      <c r="C26" s="282"/>
      <c r="D26" s="285"/>
      <c r="E26" s="285"/>
      <c r="F26" s="281"/>
      <c r="G26" s="286"/>
      <c r="H26" s="287"/>
      <c r="I26" s="287"/>
      <c r="J26" s="287"/>
      <c r="K26" s="288"/>
      <c r="L26" s="288"/>
      <c r="M26" s="289"/>
    </row>
    <row r="27" spans="1:13" x14ac:dyDescent="0.25">
      <c r="A27" s="280" t="s">
        <v>276</v>
      </c>
      <c r="B27" s="281" t="s">
        <v>277</v>
      </c>
      <c r="D27" s="285"/>
      <c r="E27" s="285"/>
      <c r="F27" s="281"/>
      <c r="G27" s="286"/>
      <c r="H27" s="287"/>
      <c r="I27" s="287"/>
      <c r="J27" s="287"/>
      <c r="K27" s="288"/>
      <c r="L27" s="288"/>
      <c r="M27" s="289"/>
    </row>
    <row r="28" spans="1:13" x14ac:dyDescent="0.25">
      <c r="A28" s="280" t="s">
        <v>278</v>
      </c>
      <c r="B28" s="281" t="s">
        <v>279</v>
      </c>
      <c r="C28" s="281"/>
      <c r="D28" s="285"/>
      <c r="E28" s="285"/>
      <c r="F28" s="281"/>
      <c r="G28" s="286"/>
      <c r="H28" s="287"/>
      <c r="I28" s="287"/>
      <c r="J28" s="287"/>
      <c r="K28" s="288"/>
      <c r="L28" s="288"/>
      <c r="M28" s="289"/>
    </row>
    <row r="29" spans="1:13" x14ac:dyDescent="0.25">
      <c r="A29" s="280"/>
      <c r="B29" s="281" t="s">
        <v>280</v>
      </c>
      <c r="D29" s="285"/>
      <c r="E29" s="285"/>
      <c r="F29" s="281"/>
      <c r="G29" s="286"/>
      <c r="H29" s="287"/>
      <c r="I29" s="287"/>
      <c r="J29" s="287"/>
      <c r="K29" s="288"/>
      <c r="L29" s="288"/>
      <c r="M29" s="289"/>
    </row>
    <row r="30" spans="1:13" x14ac:dyDescent="0.25">
      <c r="C30" s="281"/>
      <c r="D30" s="285"/>
      <c r="E30" s="285"/>
      <c r="F30" s="281"/>
      <c r="G30" s="286"/>
      <c r="H30" s="287"/>
      <c r="I30" s="287"/>
      <c r="J30" s="287"/>
      <c r="K30" s="288"/>
      <c r="L30" s="288"/>
      <c r="M30" s="289"/>
    </row>
    <row r="31" spans="1:13" ht="75" x14ac:dyDescent="0.25">
      <c r="A31" s="280" t="s">
        <v>139</v>
      </c>
      <c r="B31" s="278" t="s">
        <v>281</v>
      </c>
      <c r="C31" s="281"/>
      <c r="D31" s="285"/>
      <c r="E31" s="285"/>
      <c r="F31" s="281"/>
      <c r="G31" s="286"/>
      <c r="H31" s="287"/>
      <c r="I31" s="287"/>
      <c r="J31" s="287"/>
      <c r="K31" s="288"/>
      <c r="L31" s="288"/>
      <c r="M31" s="289"/>
    </row>
    <row r="32" spans="1:13" x14ac:dyDescent="0.25">
      <c r="C32" s="285"/>
      <c r="D32" s="285"/>
      <c r="E32" s="281"/>
      <c r="F32" s="286"/>
      <c r="G32" s="287"/>
      <c r="H32" s="287"/>
      <c r="I32" s="287"/>
      <c r="J32" s="288"/>
      <c r="K32" s="288"/>
      <c r="L32" s="289"/>
    </row>
    <row r="33" spans="1:13" ht="30" x14ac:dyDescent="0.25">
      <c r="A33" s="283" t="s">
        <v>282</v>
      </c>
      <c r="B33" s="282" t="s">
        <v>283</v>
      </c>
      <c r="C33" s="285"/>
      <c r="D33" s="285"/>
      <c r="E33" s="281"/>
      <c r="F33" s="286"/>
      <c r="G33" s="287"/>
      <c r="H33" s="287"/>
      <c r="I33" s="287"/>
      <c r="J33" s="288"/>
      <c r="K33" s="288"/>
      <c r="L33" s="289"/>
    </row>
    <row r="34" spans="1:13" x14ac:dyDescent="0.25">
      <c r="A34" s="280"/>
      <c r="B34" s="281" t="s">
        <v>284</v>
      </c>
      <c r="C34" s="285"/>
      <c r="D34" s="285"/>
      <c r="E34" s="281"/>
      <c r="F34" s="286"/>
      <c r="G34" s="287"/>
      <c r="H34" s="287"/>
      <c r="I34" s="287"/>
      <c r="J34" s="288"/>
      <c r="K34" s="288"/>
      <c r="L34" s="289"/>
    </row>
    <row r="35" spans="1:13" x14ac:dyDescent="0.25">
      <c r="A35" s="280"/>
      <c r="B35" s="527" t="s">
        <v>285</v>
      </c>
      <c r="C35" s="285"/>
      <c r="D35" s="285"/>
      <c r="E35" s="281"/>
      <c r="F35" s="286"/>
      <c r="G35" s="287"/>
      <c r="H35" s="287"/>
      <c r="I35" s="287"/>
      <c r="J35" s="288"/>
      <c r="K35" s="288"/>
      <c r="L35" s="289"/>
    </row>
    <row r="36" spans="1:13" x14ac:dyDescent="0.25">
      <c r="A36" s="280"/>
      <c r="B36" s="282" t="s">
        <v>286</v>
      </c>
      <c r="C36" s="285"/>
      <c r="D36" s="285"/>
      <c r="E36" s="281"/>
      <c r="F36" s="286"/>
      <c r="G36" s="287"/>
      <c r="H36" s="287"/>
      <c r="I36" s="287"/>
      <c r="J36" s="288"/>
      <c r="K36" s="288"/>
      <c r="L36" s="289"/>
    </row>
    <row r="37" spans="1:13" x14ac:dyDescent="0.25">
      <c r="A37" s="280"/>
      <c r="B37" s="281"/>
      <c r="D37" s="285"/>
      <c r="E37" s="285"/>
      <c r="F37" s="281"/>
      <c r="G37" s="286"/>
      <c r="H37" s="287"/>
      <c r="I37" s="287"/>
      <c r="J37" s="287"/>
      <c r="K37" s="288"/>
      <c r="L37" s="288"/>
      <c r="M37" s="289"/>
    </row>
    <row r="38" spans="1:13" ht="45" x14ac:dyDescent="0.25">
      <c r="A38" s="283" t="s">
        <v>287</v>
      </c>
      <c r="B38" s="291" t="s">
        <v>288</v>
      </c>
      <c r="D38" s="285"/>
      <c r="E38" s="285"/>
      <c r="F38" s="281"/>
      <c r="G38" s="286"/>
      <c r="H38" s="287"/>
      <c r="I38" s="287"/>
      <c r="J38" s="287"/>
      <c r="K38" s="288"/>
      <c r="L38" s="288"/>
      <c r="M38" s="289"/>
    </row>
    <row r="39" spans="1:13" x14ac:dyDescent="0.25">
      <c r="A39" s="280"/>
      <c r="B39" s="292" t="s">
        <v>289</v>
      </c>
      <c r="D39" s="285"/>
      <c r="E39" s="285"/>
      <c r="F39" s="281"/>
      <c r="G39" s="286"/>
      <c r="H39" s="287"/>
      <c r="I39" s="287"/>
      <c r="J39" s="287"/>
      <c r="K39" s="288"/>
      <c r="L39" s="288"/>
      <c r="M39" s="289"/>
    </row>
    <row r="40" spans="1:13" ht="16.5" customHeight="1" x14ac:dyDescent="0.25">
      <c r="A40" s="280"/>
      <c r="B40" s="292" t="s">
        <v>290</v>
      </c>
      <c r="C40" s="281"/>
      <c r="D40" s="285"/>
      <c r="E40" s="285"/>
      <c r="F40" s="281"/>
      <c r="G40" s="286"/>
      <c r="H40" s="287"/>
      <c r="I40" s="287"/>
      <c r="J40" s="287"/>
      <c r="K40" s="288"/>
      <c r="L40" s="288"/>
      <c r="M40" s="289"/>
    </row>
    <row r="41" spans="1:13" x14ac:dyDescent="0.25">
      <c r="A41" s="280"/>
      <c r="B41" s="292"/>
      <c r="D41" s="285"/>
      <c r="E41" s="285"/>
      <c r="F41" s="281"/>
      <c r="G41" s="286"/>
      <c r="H41" s="287"/>
      <c r="I41" s="287"/>
      <c r="J41" s="287"/>
      <c r="K41" s="288"/>
      <c r="L41" s="288"/>
      <c r="M41" s="289"/>
    </row>
    <row r="42" spans="1:13" ht="30" x14ac:dyDescent="0.25">
      <c r="A42" s="283" t="s">
        <v>291</v>
      </c>
      <c r="B42" s="278" t="s">
        <v>283</v>
      </c>
      <c r="D42" s="285"/>
      <c r="E42" s="285"/>
      <c r="F42" s="281"/>
      <c r="G42" s="286"/>
      <c r="H42" s="287"/>
      <c r="I42" s="287"/>
      <c r="J42" s="287"/>
      <c r="K42" s="288"/>
      <c r="L42" s="288"/>
      <c r="M42" s="289"/>
    </row>
    <row r="43" spans="1:13" x14ac:dyDescent="0.25">
      <c r="A43" s="280" t="s">
        <v>292</v>
      </c>
      <c r="B43" s="292" t="s">
        <v>293</v>
      </c>
      <c r="D43" s="285"/>
      <c r="E43" s="285"/>
      <c r="F43" s="281"/>
      <c r="G43" s="286"/>
      <c r="H43" s="287"/>
      <c r="I43" s="287"/>
      <c r="J43" s="287"/>
      <c r="K43" s="288"/>
      <c r="L43" s="288"/>
      <c r="M43" s="289"/>
    </row>
    <row r="44" spans="1:13" x14ac:dyDescent="0.25">
      <c r="A44" s="280"/>
      <c r="B44" s="292" t="s">
        <v>294</v>
      </c>
      <c r="D44" s="285"/>
      <c r="E44" s="285"/>
      <c r="F44" s="281"/>
      <c r="G44" s="286"/>
      <c r="H44" s="287"/>
      <c r="I44" s="287"/>
      <c r="J44" s="287"/>
      <c r="K44" s="288"/>
      <c r="L44" s="288"/>
      <c r="M44" s="289"/>
    </row>
    <row r="45" spans="1:13" x14ac:dyDescent="0.25">
      <c r="A45" s="280"/>
      <c r="B45" s="278" t="s">
        <v>295</v>
      </c>
      <c r="D45" s="285"/>
      <c r="E45" s="285"/>
      <c r="F45" s="281"/>
      <c r="G45" s="286"/>
      <c r="H45" s="287"/>
      <c r="I45" s="287"/>
      <c r="J45" s="287"/>
      <c r="K45" s="288"/>
      <c r="L45" s="288"/>
      <c r="M45" s="289"/>
    </row>
    <row r="46" spans="1:13" x14ac:dyDescent="0.25">
      <c r="D46" s="285"/>
      <c r="E46" s="285"/>
      <c r="F46" s="281"/>
      <c r="G46" s="286"/>
      <c r="H46" s="287"/>
      <c r="I46" s="287"/>
      <c r="J46" s="287"/>
      <c r="K46" s="288"/>
      <c r="L46" s="288"/>
      <c r="M46" s="289"/>
    </row>
    <row r="47" spans="1:13" ht="30" x14ac:dyDescent="0.25">
      <c r="A47" s="280" t="s">
        <v>296</v>
      </c>
      <c r="B47" s="282" t="s">
        <v>297</v>
      </c>
      <c r="C47" s="282"/>
      <c r="D47" s="285"/>
      <c r="E47" s="285"/>
      <c r="F47" s="281"/>
      <c r="G47" s="286"/>
      <c r="H47" s="287"/>
      <c r="I47" s="287"/>
      <c r="J47" s="287"/>
      <c r="K47" s="288"/>
      <c r="L47" s="288"/>
      <c r="M47" s="289"/>
    </row>
    <row r="48" spans="1:13" x14ac:dyDescent="0.25">
      <c r="A48" s="280"/>
      <c r="B48" s="280"/>
      <c r="D48" s="285"/>
      <c r="E48" s="285"/>
      <c r="F48" s="281"/>
      <c r="G48" s="286"/>
      <c r="H48" s="287"/>
      <c r="I48" s="287"/>
      <c r="J48" s="287"/>
      <c r="K48" s="288"/>
      <c r="L48" s="288"/>
      <c r="M48" s="289"/>
    </row>
    <row r="49" spans="1:2" ht="30" x14ac:dyDescent="0.25">
      <c r="A49" s="280" t="s">
        <v>92</v>
      </c>
      <c r="B49" s="278" t="s">
        <v>298</v>
      </c>
    </row>
    <row r="50" spans="1:2" x14ac:dyDescent="0.25">
      <c r="A50" s="280"/>
      <c r="B50" s="280"/>
    </row>
    <row r="51" spans="1:2" ht="30" x14ac:dyDescent="0.25">
      <c r="A51" s="283" t="s">
        <v>299</v>
      </c>
      <c r="B51" s="278" t="s">
        <v>300</v>
      </c>
    </row>
    <row r="52" spans="1:2" x14ac:dyDescent="0.25">
      <c r="A52" s="280"/>
      <c r="B52" s="280"/>
    </row>
    <row r="53" spans="1:2" ht="30" x14ac:dyDescent="0.25">
      <c r="A53" s="283" t="s">
        <v>301</v>
      </c>
      <c r="B53" s="282" t="s">
        <v>302</v>
      </c>
    </row>
    <row r="54" spans="1:2" x14ac:dyDescent="0.25">
      <c r="A54" s="280"/>
      <c r="B54" s="281" t="s">
        <v>303</v>
      </c>
    </row>
    <row r="55" spans="1:2" x14ac:dyDescent="0.25">
      <c r="A55" s="280"/>
      <c r="B55" s="281" t="s">
        <v>304</v>
      </c>
    </row>
    <row r="56" spans="1:2" x14ac:dyDescent="0.25">
      <c r="A56" s="280"/>
      <c r="B56" s="281" t="s">
        <v>305</v>
      </c>
    </row>
    <row r="57" spans="1:2" x14ac:dyDescent="0.25">
      <c r="A57" s="280"/>
      <c r="B57" s="280"/>
    </row>
    <row r="58" spans="1:2" x14ac:dyDescent="0.25">
      <c r="A58" s="277" t="s">
        <v>27</v>
      </c>
      <c r="B58" s="279" t="s">
        <v>306</v>
      </c>
    </row>
    <row r="59" spans="1:2" x14ac:dyDescent="0.25">
      <c r="A59" s="277"/>
      <c r="B59" s="293" t="s">
        <v>307</v>
      </c>
    </row>
    <row r="60" spans="1:2" x14ac:dyDescent="0.25">
      <c r="A60" s="277"/>
      <c r="B60" s="293"/>
    </row>
    <row r="61" spans="1:2" x14ac:dyDescent="0.25">
      <c r="A61" s="277" t="s">
        <v>34</v>
      </c>
      <c r="B61" s="279" t="s">
        <v>308</v>
      </c>
    </row>
    <row r="62" spans="1:2" x14ac:dyDescent="0.25">
      <c r="A62" s="277"/>
      <c r="B62" s="293" t="s">
        <v>309</v>
      </c>
    </row>
    <row r="63" spans="1:2" x14ac:dyDescent="0.25">
      <c r="A63" s="277"/>
      <c r="B63" s="293"/>
    </row>
    <row r="64" spans="1:2" x14ac:dyDescent="0.25">
      <c r="A64" s="277" t="s">
        <v>39</v>
      </c>
      <c r="B64" s="279" t="s">
        <v>310</v>
      </c>
    </row>
    <row r="65" spans="1:2" x14ac:dyDescent="0.25">
      <c r="A65" s="277"/>
      <c r="B65" s="293" t="s">
        <v>311</v>
      </c>
    </row>
    <row r="66" spans="1:2" x14ac:dyDescent="0.25">
      <c r="A66" s="277"/>
      <c r="B66" s="293"/>
    </row>
    <row r="67" spans="1:2" ht="30" x14ac:dyDescent="0.25">
      <c r="A67" s="277" t="s">
        <v>44</v>
      </c>
      <c r="B67" s="294" t="s">
        <v>312</v>
      </c>
    </row>
    <row r="68" spans="1:2" x14ac:dyDescent="0.25">
      <c r="A68" s="277"/>
    </row>
    <row r="69" spans="1:2" x14ac:dyDescent="0.25">
      <c r="A69" s="277" t="s">
        <v>313</v>
      </c>
      <c r="B69" s="295" t="s">
        <v>314</v>
      </c>
    </row>
    <row r="70" spans="1:2" x14ac:dyDescent="0.25">
      <c r="A70" s="296"/>
      <c r="B70" s="297" t="s">
        <v>315</v>
      </c>
    </row>
    <row r="71" spans="1:2" x14ac:dyDescent="0.25">
      <c r="A71" s="296"/>
      <c r="B71" s="297"/>
    </row>
    <row r="72" spans="1:2" ht="30" x14ac:dyDescent="0.25">
      <c r="A72" s="283" t="s">
        <v>316</v>
      </c>
      <c r="B72" s="278" t="s">
        <v>317</v>
      </c>
    </row>
    <row r="73" spans="1:2" x14ac:dyDescent="0.25">
      <c r="A73" s="296"/>
      <c r="B73" s="278" t="s">
        <v>318</v>
      </c>
    </row>
    <row r="74" spans="1:2" x14ac:dyDescent="0.25">
      <c r="A74" s="296"/>
      <c r="B74" s="278" t="s">
        <v>319</v>
      </c>
    </row>
    <row r="75" spans="1:2" x14ac:dyDescent="0.25">
      <c r="A75" s="296"/>
      <c r="B75" s="278" t="s">
        <v>320</v>
      </c>
    </row>
    <row r="76" spans="1:2" ht="45" x14ac:dyDescent="0.25">
      <c r="A76" s="296"/>
      <c r="B76" s="282" t="s">
        <v>321</v>
      </c>
    </row>
    <row r="77" spans="1:2" x14ac:dyDescent="0.25">
      <c r="A77" s="296"/>
      <c r="B77" s="296"/>
    </row>
    <row r="78" spans="1:2" ht="30" x14ac:dyDescent="0.25">
      <c r="A78" s="283" t="s">
        <v>322</v>
      </c>
      <c r="B78" s="278" t="s">
        <v>323</v>
      </c>
    </row>
    <row r="80" spans="1:2" ht="45" x14ac:dyDescent="0.25">
      <c r="A80" s="280" t="s">
        <v>140</v>
      </c>
      <c r="B80" s="278" t="s">
        <v>324</v>
      </c>
    </row>
    <row r="81" spans="1:2" x14ac:dyDescent="0.25">
      <c r="A81" s="296"/>
      <c r="B81" s="281"/>
    </row>
    <row r="82" spans="1:2" ht="30" x14ac:dyDescent="0.25">
      <c r="A82" s="280" t="s">
        <v>73</v>
      </c>
      <c r="B82" s="278" t="s">
        <v>325</v>
      </c>
    </row>
    <row r="83" spans="1:2" x14ac:dyDescent="0.25">
      <c r="A83" s="296"/>
      <c r="B83" s="281"/>
    </row>
    <row r="84" spans="1:2" ht="45" x14ac:dyDescent="0.25">
      <c r="A84" s="280" t="s">
        <v>326</v>
      </c>
      <c r="B84" s="278" t="s">
        <v>327</v>
      </c>
    </row>
    <row r="85" spans="1:2" x14ac:dyDescent="0.25">
      <c r="A85" s="296"/>
      <c r="B85" s="281"/>
    </row>
    <row r="86" spans="1:2" ht="30" x14ac:dyDescent="0.25">
      <c r="A86" s="280" t="s">
        <v>328</v>
      </c>
      <c r="B86" s="282" t="s">
        <v>329</v>
      </c>
    </row>
    <row r="88" spans="1:2" ht="60" x14ac:dyDescent="0.25">
      <c r="A88" s="280" t="s">
        <v>330</v>
      </c>
      <c r="B88" s="282" t="s">
        <v>331</v>
      </c>
    </row>
    <row r="89" spans="1:2" x14ac:dyDescent="0.25">
      <c r="A89" s="296"/>
      <c r="B89" s="281"/>
    </row>
    <row r="90" spans="1:2" ht="30" x14ac:dyDescent="0.25">
      <c r="A90" s="280" t="s">
        <v>332</v>
      </c>
      <c r="B90" s="282" t="s">
        <v>333</v>
      </c>
    </row>
    <row r="91" spans="1:2" x14ac:dyDescent="0.25">
      <c r="A91" s="296"/>
      <c r="B91" s="281"/>
    </row>
    <row r="92" spans="1:2" ht="45" x14ac:dyDescent="0.25">
      <c r="A92" s="280" t="s">
        <v>334</v>
      </c>
      <c r="B92" s="282" t="s">
        <v>335</v>
      </c>
    </row>
    <row r="93" spans="1:2" x14ac:dyDescent="0.25">
      <c r="A93" s="296"/>
      <c r="B93" s="281"/>
    </row>
    <row r="94" spans="1:2" ht="30" x14ac:dyDescent="0.25">
      <c r="A94" s="296"/>
      <c r="B94" s="282" t="s">
        <v>336</v>
      </c>
    </row>
    <row r="96" spans="1:2" ht="30" x14ac:dyDescent="0.25">
      <c r="A96" s="280" t="s">
        <v>337</v>
      </c>
      <c r="B96" s="282" t="s">
        <v>338</v>
      </c>
    </row>
    <row r="97" spans="1:2" x14ac:dyDescent="0.25">
      <c r="A97" s="280"/>
      <c r="B97" s="282"/>
    </row>
    <row r="98" spans="1:2" ht="30" x14ac:dyDescent="0.25">
      <c r="A98" s="280" t="s">
        <v>339</v>
      </c>
      <c r="B98" s="282" t="s">
        <v>340</v>
      </c>
    </row>
    <row r="99" spans="1:2" x14ac:dyDescent="0.25">
      <c r="A99" s="280"/>
      <c r="B99" s="282"/>
    </row>
    <row r="100" spans="1:2" ht="45" x14ac:dyDescent="0.25">
      <c r="A100" s="280" t="s">
        <v>341</v>
      </c>
      <c r="B100" s="282" t="s">
        <v>342</v>
      </c>
    </row>
    <row r="102" spans="1:2" ht="60" x14ac:dyDescent="0.25">
      <c r="A102" s="280" t="s">
        <v>343</v>
      </c>
      <c r="B102" s="282" t="s">
        <v>344</v>
      </c>
    </row>
    <row r="104" spans="1:2" ht="30" x14ac:dyDescent="0.25">
      <c r="A104" s="280" t="s">
        <v>345</v>
      </c>
      <c r="B104" s="278" t="s">
        <v>346</v>
      </c>
    </row>
    <row r="105" spans="1:2" x14ac:dyDescent="0.25">
      <c r="A105" s="280"/>
      <c r="B105" s="282"/>
    </row>
    <row r="106" spans="1:2" x14ac:dyDescent="0.25">
      <c r="A106" s="280" t="s">
        <v>347</v>
      </c>
      <c r="B106" s="282" t="s">
        <v>348</v>
      </c>
    </row>
    <row r="108" spans="1:2" x14ac:dyDescent="0.25">
      <c r="A108" s="296" t="s">
        <v>349</v>
      </c>
      <c r="B108" s="281" t="s">
        <v>350</v>
      </c>
    </row>
    <row r="109" spans="1:2" x14ac:dyDescent="0.25">
      <c r="A109" s="296"/>
      <c r="B109" s="281"/>
    </row>
    <row r="110" spans="1:2" x14ac:dyDescent="0.25">
      <c r="A110" s="296" t="s">
        <v>98</v>
      </c>
      <c r="B110" s="281" t="s">
        <v>351</v>
      </c>
    </row>
    <row r="112" spans="1:2" x14ac:dyDescent="0.25">
      <c r="A112" s="290" t="s">
        <v>352</v>
      </c>
      <c r="B112" s="279" t="s">
        <v>353</v>
      </c>
    </row>
    <row r="113" spans="1:2" x14ac:dyDescent="0.25">
      <c r="B113" s="279" t="s">
        <v>354</v>
      </c>
    </row>
    <row r="114" spans="1:2" x14ac:dyDescent="0.25">
      <c r="B114" s="279" t="s">
        <v>355</v>
      </c>
    </row>
    <row r="115" spans="1:2" x14ac:dyDescent="0.25">
      <c r="B115" s="279" t="s">
        <v>356</v>
      </c>
    </row>
    <row r="117" spans="1:2" x14ac:dyDescent="0.25">
      <c r="A117" s="290" t="s">
        <v>357</v>
      </c>
      <c r="B117" s="279" t="s">
        <v>358</v>
      </c>
    </row>
    <row r="118" spans="1:2" x14ac:dyDescent="0.25">
      <c r="B118" s="279" t="s">
        <v>359</v>
      </c>
    </row>
    <row r="120" spans="1:2" x14ac:dyDescent="0.25">
      <c r="A120" s="290" t="s">
        <v>360</v>
      </c>
      <c r="B120" s="279" t="s">
        <v>361</v>
      </c>
    </row>
    <row r="121" spans="1:2" x14ac:dyDescent="0.25">
      <c r="B121" s="279" t="s">
        <v>362</v>
      </c>
    </row>
    <row r="123" spans="1:2" x14ac:dyDescent="0.25">
      <c r="A123" s="290" t="s">
        <v>363</v>
      </c>
      <c r="B123" s="279" t="s">
        <v>364</v>
      </c>
    </row>
    <row r="124" spans="1:2" x14ac:dyDescent="0.25">
      <c r="B124" s="279" t="s">
        <v>365</v>
      </c>
    </row>
    <row r="126" spans="1:2" x14ac:dyDescent="0.25">
      <c r="A126" s="290" t="s">
        <v>366</v>
      </c>
      <c r="B126" s="279" t="s">
        <v>367</v>
      </c>
    </row>
    <row r="127" spans="1:2" x14ac:dyDescent="0.25">
      <c r="B127" s="279" t="s">
        <v>368</v>
      </c>
    </row>
    <row r="129" spans="1:2" x14ac:dyDescent="0.25">
      <c r="A129" s="290" t="s">
        <v>369</v>
      </c>
      <c r="B129" s="279" t="s">
        <v>370</v>
      </c>
    </row>
    <row r="130" spans="1:2" x14ac:dyDescent="0.25">
      <c r="B130" s="279" t="s">
        <v>371</v>
      </c>
    </row>
    <row r="132" spans="1:2" x14ac:dyDescent="0.25">
      <c r="A132" s="290" t="s">
        <v>372</v>
      </c>
      <c r="B132" s="279" t="s">
        <v>373</v>
      </c>
    </row>
    <row r="133" spans="1:2" x14ac:dyDescent="0.25">
      <c r="B133" s="279" t="s">
        <v>374</v>
      </c>
    </row>
    <row r="135" spans="1:2" x14ac:dyDescent="0.25">
      <c r="A135" s="290" t="s">
        <v>375</v>
      </c>
      <c r="B135" s="279" t="s">
        <v>376</v>
      </c>
    </row>
    <row r="137" spans="1:2" x14ac:dyDescent="0.25">
      <c r="A137" s="290" t="s">
        <v>377</v>
      </c>
      <c r="B137" s="279" t="s">
        <v>378</v>
      </c>
    </row>
    <row r="138" spans="1:2" x14ac:dyDescent="0.25">
      <c r="B138" s="279" t="s">
        <v>379</v>
      </c>
    </row>
    <row r="140" spans="1:2" x14ac:dyDescent="0.25">
      <c r="A140" s="290" t="s">
        <v>380</v>
      </c>
      <c r="B140" s="279" t="s">
        <v>381</v>
      </c>
    </row>
    <row r="141" spans="1:2" x14ac:dyDescent="0.25">
      <c r="B141" s="279" t="s">
        <v>382</v>
      </c>
    </row>
    <row r="142" spans="1:2" x14ac:dyDescent="0.25">
      <c r="B142" s="279" t="s">
        <v>383</v>
      </c>
    </row>
    <row r="144" spans="1:2" x14ac:dyDescent="0.25">
      <c r="A144" s="290" t="s">
        <v>384</v>
      </c>
      <c r="B144" s="279" t="s">
        <v>385</v>
      </c>
    </row>
    <row r="145" spans="1:2" x14ac:dyDescent="0.25">
      <c r="B145" s="279" t="s">
        <v>386</v>
      </c>
    </row>
    <row r="147" spans="1:2" x14ac:dyDescent="0.25">
      <c r="A147" s="290" t="s">
        <v>387</v>
      </c>
      <c r="B147" s="279" t="s">
        <v>388</v>
      </c>
    </row>
    <row r="149" spans="1:2" x14ac:dyDescent="0.25">
      <c r="A149" s="290" t="s">
        <v>389</v>
      </c>
      <c r="B149" s="279" t="s">
        <v>390</v>
      </c>
    </row>
    <row r="151" spans="1:2" x14ac:dyDescent="0.25">
      <c r="A151" s="290" t="s">
        <v>391</v>
      </c>
      <c r="B151" s="279" t="s">
        <v>392</v>
      </c>
    </row>
    <row r="152" spans="1:2" x14ac:dyDescent="0.25">
      <c r="B152" s="279" t="s">
        <v>393</v>
      </c>
    </row>
    <row r="153" spans="1:2" x14ac:dyDescent="0.25">
      <c r="B153" s="279" t="s">
        <v>394</v>
      </c>
    </row>
    <row r="155" spans="1:2" x14ac:dyDescent="0.25">
      <c r="A155" s="290" t="s">
        <v>395</v>
      </c>
      <c r="B155" s="279" t="s">
        <v>396</v>
      </c>
    </row>
    <row r="156" spans="1:2" x14ac:dyDescent="0.25">
      <c r="B156" s="279" t="s">
        <v>397</v>
      </c>
    </row>
    <row r="158" spans="1:2" x14ac:dyDescent="0.25">
      <c r="A158" s="290" t="s">
        <v>398</v>
      </c>
      <c r="B158" s="279" t="s">
        <v>399</v>
      </c>
    </row>
    <row r="159" spans="1:2" x14ac:dyDescent="0.25">
      <c r="B159" s="279" t="s">
        <v>400</v>
      </c>
    </row>
    <row r="160" spans="1:2" x14ac:dyDescent="0.25">
      <c r="B160" s="279" t="s">
        <v>401</v>
      </c>
    </row>
    <row r="162" spans="1:2" x14ac:dyDescent="0.25">
      <c r="A162" s="290" t="s">
        <v>402</v>
      </c>
      <c r="B162" s="279" t="s">
        <v>403</v>
      </c>
    </row>
    <row r="163" spans="1:2" x14ac:dyDescent="0.25">
      <c r="B163" s="279" t="s">
        <v>404</v>
      </c>
    </row>
    <row r="165" spans="1:2" x14ac:dyDescent="0.25">
      <c r="A165" s="290" t="s">
        <v>405</v>
      </c>
      <c r="B165" s="279" t="s">
        <v>406</v>
      </c>
    </row>
    <row r="166" spans="1:2" x14ac:dyDescent="0.25">
      <c r="B166" s="279" t="s">
        <v>407</v>
      </c>
    </row>
    <row r="168" spans="1:2" x14ac:dyDescent="0.25">
      <c r="A168" s="290" t="s">
        <v>408</v>
      </c>
      <c r="B168" s="279" t="s">
        <v>409</v>
      </c>
    </row>
    <row r="169" spans="1:2" x14ac:dyDescent="0.25">
      <c r="B169" s="279" t="s">
        <v>410</v>
      </c>
    </row>
    <row r="171" spans="1:2" x14ac:dyDescent="0.25">
      <c r="A171" s="290" t="s">
        <v>411</v>
      </c>
      <c r="B171" s="279" t="s">
        <v>412</v>
      </c>
    </row>
    <row r="172" spans="1:2" x14ac:dyDescent="0.25">
      <c r="B172" s="279" t="s">
        <v>413</v>
      </c>
    </row>
    <row r="174" spans="1:2" x14ac:dyDescent="0.25">
      <c r="A174" s="290" t="s">
        <v>414</v>
      </c>
      <c r="B174" s="279" t="s">
        <v>415</v>
      </c>
    </row>
    <row r="175" spans="1:2" x14ac:dyDescent="0.25">
      <c r="B175" s="279" t="s">
        <v>416</v>
      </c>
    </row>
    <row r="177" spans="1:2" x14ac:dyDescent="0.25">
      <c r="A177" s="290" t="s">
        <v>417</v>
      </c>
      <c r="B177" s="279" t="s">
        <v>418</v>
      </c>
    </row>
    <row r="178" spans="1:2" x14ac:dyDescent="0.25">
      <c r="B178" s="279" t="s">
        <v>419</v>
      </c>
    </row>
    <row r="180" spans="1:2" x14ac:dyDescent="0.25">
      <c r="A180" s="290" t="s">
        <v>420</v>
      </c>
      <c r="B180" s="279" t="s">
        <v>421</v>
      </c>
    </row>
    <row r="182" spans="1:2" x14ac:dyDescent="0.25">
      <c r="A182" s="290" t="s">
        <v>422</v>
      </c>
      <c r="B182" s="279" t="s">
        <v>423</v>
      </c>
    </row>
    <row r="183" spans="1:2" x14ac:dyDescent="0.25">
      <c r="B183" s="279" t="s">
        <v>424</v>
      </c>
    </row>
    <row r="184" spans="1:2" x14ac:dyDescent="0.25">
      <c r="B184" s="279" t="s">
        <v>425</v>
      </c>
    </row>
    <row r="186" spans="1:2" x14ac:dyDescent="0.25">
      <c r="A186" s="290" t="s">
        <v>426</v>
      </c>
      <c r="B186" s="279" t="s">
        <v>427</v>
      </c>
    </row>
    <row r="187" spans="1:2" x14ac:dyDescent="0.25">
      <c r="B187" s="279" t="s">
        <v>428</v>
      </c>
    </row>
    <row r="188" spans="1:2" x14ac:dyDescent="0.25">
      <c r="B188" s="279" t="s">
        <v>429</v>
      </c>
    </row>
    <row r="190" spans="1:2" x14ac:dyDescent="0.25">
      <c r="A190" s="290" t="s">
        <v>430</v>
      </c>
      <c r="B190" s="279" t="s">
        <v>431</v>
      </c>
    </row>
    <row r="191" spans="1:2" x14ac:dyDescent="0.25">
      <c r="B191" s="279" t="s">
        <v>432</v>
      </c>
    </row>
    <row r="193" spans="1:2" x14ac:dyDescent="0.25">
      <c r="A193" s="290" t="s">
        <v>433</v>
      </c>
      <c r="B193" s="279" t="s">
        <v>434</v>
      </c>
    </row>
    <row r="195" spans="1:2" x14ac:dyDescent="0.25">
      <c r="A195" s="290" t="s">
        <v>435</v>
      </c>
      <c r="B195" s="279" t="s">
        <v>436</v>
      </c>
    </row>
    <row r="196" spans="1:2" x14ac:dyDescent="0.25">
      <c r="B196" s="279" t="s">
        <v>437</v>
      </c>
    </row>
    <row r="198" spans="1:2" x14ac:dyDescent="0.25">
      <c r="A198" s="290" t="s">
        <v>326</v>
      </c>
      <c r="B198" s="279" t="s">
        <v>438</v>
      </c>
    </row>
    <row r="199" spans="1:2" x14ac:dyDescent="0.25">
      <c r="B199" s="279" t="s">
        <v>439</v>
      </c>
    </row>
    <row r="200" spans="1:2" x14ac:dyDescent="0.25">
      <c r="B200" s="279" t="s">
        <v>440</v>
      </c>
    </row>
    <row r="201" spans="1:2" x14ac:dyDescent="0.25">
      <c r="B201" s="279" t="s">
        <v>441</v>
      </c>
    </row>
    <row r="203" spans="1:2" x14ac:dyDescent="0.25">
      <c r="A203" s="290" t="s">
        <v>442</v>
      </c>
      <c r="B203" s="279" t="s">
        <v>443</v>
      </c>
    </row>
    <row r="204" spans="1:2" x14ac:dyDescent="0.25">
      <c r="B204" s="279" t="s">
        <v>444</v>
      </c>
    </row>
  </sheetData>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50"/>
    <pageSetUpPr fitToPage="1"/>
  </sheetPr>
  <dimension ref="A5:U120"/>
  <sheetViews>
    <sheetView showGridLines="0" topLeftCell="A46" zoomScale="85" zoomScaleNormal="85" workbookViewId="0">
      <selection activeCell="Q10" sqref="Q10:T10"/>
    </sheetView>
  </sheetViews>
  <sheetFormatPr defaultColWidth="9.140625" defaultRowHeight="15" x14ac:dyDescent="0.25"/>
  <cols>
    <col min="1" max="16384" width="9.140625" style="14"/>
  </cols>
  <sheetData>
    <row r="5" spans="1:20" ht="13.5" customHeight="1" x14ac:dyDescent="0.25">
      <c r="J5" s="65"/>
    </row>
    <row r="6" spans="1:20" ht="22.5" customHeight="1" x14ac:dyDescent="0.25">
      <c r="A6" s="629" t="s">
        <v>121</v>
      </c>
      <c r="B6" s="610" t="s">
        <v>20</v>
      </c>
      <c r="C6" s="611"/>
      <c r="D6" s="611"/>
      <c r="E6" s="611"/>
      <c r="F6" s="611"/>
      <c r="G6" s="611"/>
      <c r="H6" s="611"/>
      <c r="I6" s="612"/>
    </row>
    <row r="7" spans="1:20" ht="35.25" customHeight="1" x14ac:dyDescent="0.25">
      <c r="A7" s="630"/>
      <c r="B7" s="613" t="s">
        <v>468</v>
      </c>
      <c r="C7" s="611"/>
      <c r="D7" s="611"/>
      <c r="E7" s="611"/>
      <c r="F7" s="611"/>
      <c r="G7" s="611"/>
      <c r="H7" s="611"/>
      <c r="I7" s="612"/>
    </row>
    <row r="9" spans="1:20" x14ac:dyDescent="0.25">
      <c r="P9" s="68" t="s">
        <v>110</v>
      </c>
      <c r="Q9" s="614" t="s">
        <v>111</v>
      </c>
      <c r="R9" s="615"/>
      <c r="S9" s="615"/>
      <c r="T9" s="616"/>
    </row>
    <row r="10" spans="1:20" ht="15" customHeight="1" x14ac:dyDescent="0.25">
      <c r="O10" s="68" t="s">
        <v>654</v>
      </c>
      <c r="P10" s="68">
        <f>Table_Query_from_Global_PLA_3[RU_YEAR]</f>
        <v>2015</v>
      </c>
      <c r="Q10" s="598">
        <f>SALES_RU!X3</f>
        <v>1.8506184995964534</v>
      </c>
      <c r="R10" s="626"/>
      <c r="S10" s="626"/>
      <c r="T10" s="627"/>
    </row>
    <row r="11" spans="1:20" x14ac:dyDescent="0.25">
      <c r="O11" s="68" t="s">
        <v>655</v>
      </c>
      <c r="P11" s="68">
        <f>Table_Query_from_Global_PLA_4[RU_YEAR]</f>
        <v>2016</v>
      </c>
      <c r="Q11" s="598">
        <f>SALES_RU!AF3</f>
        <v>7.3392431339854042E-2</v>
      </c>
      <c r="R11" s="599"/>
      <c r="S11" s="599"/>
      <c r="T11" s="600"/>
    </row>
    <row r="12" spans="1:20" x14ac:dyDescent="0.25">
      <c r="P12" s="68" t="s">
        <v>112</v>
      </c>
      <c r="Q12" s="601">
        <v>0.9</v>
      </c>
      <c r="R12" s="602"/>
      <c r="S12" s="602"/>
      <c r="T12" s="603"/>
    </row>
    <row r="13" spans="1:20" x14ac:dyDescent="0.25">
      <c r="P13" s="68" t="s">
        <v>113</v>
      </c>
      <c r="Q13" s="628">
        <f>Q11/Q12</f>
        <v>8.1547145933171153E-2</v>
      </c>
      <c r="R13" s="626"/>
      <c r="S13" s="626"/>
      <c r="T13" s="627"/>
    </row>
    <row r="14" spans="1:20" x14ac:dyDescent="0.25">
      <c r="P14" s="68" t="s">
        <v>114</v>
      </c>
      <c r="Q14" s="607" t="s">
        <v>115</v>
      </c>
      <c r="R14" s="608"/>
      <c r="S14" s="608"/>
      <c r="T14" s="609"/>
    </row>
    <row r="15" spans="1:20" ht="15" customHeight="1" x14ac:dyDescent="0.25"/>
    <row r="28" spans="1:21" x14ac:dyDescent="0.25">
      <c r="A28" s="631" t="s">
        <v>507</v>
      </c>
      <c r="B28" s="631"/>
      <c r="C28" s="631"/>
      <c r="D28" s="631"/>
      <c r="E28" s="631"/>
      <c r="F28" s="631"/>
      <c r="G28" s="631"/>
      <c r="H28" s="631"/>
      <c r="I28" s="631"/>
    </row>
    <row r="29" spans="1:21" ht="22.5" customHeight="1" x14ac:dyDescent="0.25">
      <c r="A29" s="629" t="s">
        <v>122</v>
      </c>
      <c r="B29" s="610" t="s">
        <v>82</v>
      </c>
      <c r="C29" s="611"/>
      <c r="D29" s="611"/>
      <c r="E29" s="611"/>
      <c r="F29" s="611"/>
      <c r="G29" s="611"/>
      <c r="H29" s="611"/>
      <c r="I29" s="612"/>
    </row>
    <row r="30" spans="1:21" ht="35.25" customHeight="1" x14ac:dyDescent="0.25">
      <c r="A30" s="630"/>
      <c r="B30" s="613" t="s">
        <v>102</v>
      </c>
      <c r="C30" s="611"/>
      <c r="D30" s="611"/>
      <c r="E30" s="611"/>
      <c r="F30" s="611"/>
      <c r="G30" s="611"/>
      <c r="H30" s="611"/>
      <c r="I30" s="612"/>
    </row>
    <row r="31" spans="1:21" ht="15" customHeight="1" x14ac:dyDescent="0.25">
      <c r="P31" s="68" t="s">
        <v>110</v>
      </c>
      <c r="Q31" s="614" t="s">
        <v>515</v>
      </c>
      <c r="R31" s="615"/>
      <c r="S31" s="615"/>
      <c r="T31" s="616"/>
    </row>
    <row r="32" spans="1:21" ht="15" customHeight="1" x14ac:dyDescent="0.25">
      <c r="O32" s="68" t="s">
        <v>654</v>
      </c>
      <c r="P32" s="68">
        <f>'Sales PVT'!S3</f>
        <v>2015</v>
      </c>
      <c r="Q32" s="617" t="e">
        <f>#REF!</f>
        <v>#REF!</v>
      </c>
      <c r="R32" s="618"/>
      <c r="S32" s="618"/>
      <c r="T32" s="619"/>
      <c r="U32" s="14" t="s">
        <v>1312</v>
      </c>
    </row>
    <row r="33" spans="15:21" x14ac:dyDescent="0.25">
      <c r="O33" s="68" t="s">
        <v>655</v>
      </c>
      <c r="P33" s="68">
        <f>'Sales PVT'!W3</f>
        <v>2016</v>
      </c>
      <c r="Q33" s="620" t="e">
        <f>#REF!</f>
        <v>#REF!</v>
      </c>
      <c r="R33" s="621"/>
      <c r="S33" s="621"/>
      <c r="T33" s="622"/>
      <c r="U33" s="14" t="s">
        <v>1313</v>
      </c>
    </row>
    <row r="34" spans="15:21" x14ac:dyDescent="0.25">
      <c r="P34" s="68" t="s">
        <v>112</v>
      </c>
      <c r="Q34" s="623">
        <v>25000</v>
      </c>
      <c r="R34" s="624"/>
      <c r="S34" s="624"/>
      <c r="T34" s="625"/>
      <c r="U34" s="14" t="s">
        <v>1314</v>
      </c>
    </row>
    <row r="35" spans="15:21" x14ac:dyDescent="0.25">
      <c r="P35" s="68" t="s">
        <v>113</v>
      </c>
      <c r="Q35" s="604" t="e">
        <f>Q33/Q34</f>
        <v>#REF!</v>
      </c>
      <c r="R35" s="605"/>
      <c r="S35" s="605"/>
      <c r="T35" s="606"/>
    </row>
    <row r="36" spans="15:21" ht="15" customHeight="1" x14ac:dyDescent="0.25">
      <c r="P36" s="68" t="s">
        <v>114</v>
      </c>
      <c r="Q36" s="607" t="s">
        <v>115</v>
      </c>
      <c r="R36" s="608"/>
      <c r="S36" s="608"/>
      <c r="T36" s="609"/>
    </row>
    <row r="37" spans="15:21" ht="15" customHeight="1" x14ac:dyDescent="0.25"/>
    <row r="52" spans="1:20" ht="21.75" customHeight="1" x14ac:dyDescent="0.25">
      <c r="A52" s="629" t="s">
        <v>123</v>
      </c>
      <c r="B52" s="610" t="s">
        <v>103</v>
      </c>
      <c r="C52" s="611"/>
      <c r="D52" s="611"/>
      <c r="E52" s="611"/>
      <c r="F52" s="611"/>
      <c r="G52" s="611"/>
      <c r="H52" s="611"/>
      <c r="I52" s="612"/>
    </row>
    <row r="53" spans="1:20" ht="42.75" customHeight="1" x14ac:dyDescent="0.25">
      <c r="A53" s="630"/>
      <c r="B53" s="613" t="s">
        <v>104</v>
      </c>
      <c r="C53" s="611"/>
      <c r="D53" s="611"/>
      <c r="E53" s="611"/>
      <c r="F53" s="611"/>
      <c r="G53" s="611"/>
      <c r="H53" s="611"/>
      <c r="I53" s="612"/>
    </row>
    <row r="54" spans="1:20" ht="15" customHeight="1" x14ac:dyDescent="0.25">
      <c r="P54" s="68" t="s">
        <v>110</v>
      </c>
      <c r="Q54" s="614" t="s">
        <v>116</v>
      </c>
      <c r="R54" s="615"/>
      <c r="S54" s="615"/>
      <c r="T54" s="616"/>
    </row>
    <row r="55" spans="1:20" ht="15" customHeight="1" x14ac:dyDescent="0.25">
      <c r="O55" s="68" t="s">
        <v>654</v>
      </c>
      <c r="P55" s="68">
        <f>Table_Query_from_Global_PLA_6[RU_YEAR]</f>
        <v>2015</v>
      </c>
      <c r="Q55" s="598">
        <f>SALES_RU!AR3/100</f>
        <v>0.82</v>
      </c>
      <c r="R55" s="599"/>
      <c r="S55" s="599"/>
      <c r="T55" s="600"/>
    </row>
    <row r="56" spans="1:20" x14ac:dyDescent="0.25">
      <c r="O56" s="68" t="s">
        <v>655</v>
      </c>
      <c r="P56" s="68">
        <f>Table_Query_from_Global_PLA_7[RU_YEAR]</f>
        <v>2016</v>
      </c>
      <c r="Q56" s="598">
        <f>SALES_RU!AZ3/100</f>
        <v>0.74</v>
      </c>
      <c r="R56" s="599"/>
      <c r="S56" s="599"/>
      <c r="T56" s="600"/>
    </row>
    <row r="57" spans="1:20" x14ac:dyDescent="0.25">
      <c r="P57" s="68" t="s">
        <v>112</v>
      </c>
      <c r="Q57" s="601">
        <v>0.6</v>
      </c>
      <c r="R57" s="602"/>
      <c r="S57" s="602"/>
      <c r="T57" s="603"/>
    </row>
    <row r="58" spans="1:20" x14ac:dyDescent="0.25">
      <c r="P58" s="68" t="s">
        <v>113</v>
      </c>
      <c r="Q58" s="604">
        <f>Q56/Q57</f>
        <v>1.2333333333333334</v>
      </c>
      <c r="R58" s="605"/>
      <c r="S58" s="605"/>
      <c r="T58" s="606"/>
    </row>
    <row r="59" spans="1:20" ht="15" customHeight="1" x14ac:dyDescent="0.25">
      <c r="P59" s="68" t="s">
        <v>114</v>
      </c>
      <c r="Q59" s="607" t="s">
        <v>117</v>
      </c>
      <c r="R59" s="608"/>
      <c r="S59" s="608"/>
      <c r="T59" s="609"/>
    </row>
    <row r="60" spans="1:20" ht="15" customHeight="1" x14ac:dyDescent="0.25"/>
    <row r="74" spans="1:20" x14ac:dyDescent="0.25">
      <c r="A74" s="631" t="s">
        <v>506</v>
      </c>
      <c r="B74" s="631"/>
      <c r="C74" s="631"/>
      <c r="D74" s="631"/>
      <c r="E74" s="631"/>
      <c r="F74" s="631"/>
      <c r="G74" s="631"/>
      <c r="H74" s="631"/>
      <c r="I74" s="631"/>
    </row>
    <row r="75" spans="1:20" ht="21.75" customHeight="1" x14ac:dyDescent="0.25">
      <c r="A75" s="629" t="s">
        <v>124</v>
      </c>
      <c r="B75" s="610" t="s">
        <v>83</v>
      </c>
      <c r="C75" s="611"/>
      <c r="D75" s="611"/>
      <c r="E75" s="611"/>
      <c r="F75" s="611"/>
      <c r="G75" s="611"/>
      <c r="H75" s="611"/>
      <c r="I75" s="612"/>
    </row>
    <row r="76" spans="1:20" ht="27.75" customHeight="1" x14ac:dyDescent="0.25">
      <c r="A76" s="630"/>
      <c r="B76" s="613" t="s">
        <v>105</v>
      </c>
      <c r="C76" s="611"/>
      <c r="D76" s="611"/>
      <c r="E76" s="611"/>
      <c r="F76" s="611"/>
      <c r="G76" s="611"/>
      <c r="H76" s="611"/>
      <c r="I76" s="612"/>
    </row>
    <row r="78" spans="1:20" ht="15" customHeight="1" x14ac:dyDescent="0.25">
      <c r="P78" s="68" t="s">
        <v>110</v>
      </c>
      <c r="Q78" s="614" t="s">
        <v>118</v>
      </c>
      <c r="R78" s="615"/>
      <c r="S78" s="615"/>
      <c r="T78" s="616"/>
    </row>
    <row r="79" spans="1:20" ht="15" customHeight="1" x14ac:dyDescent="0.25">
      <c r="O79" s="68" t="s">
        <v>654</v>
      </c>
      <c r="P79" s="68">
        <f>'GL Data'!AJ2</f>
        <v>2015</v>
      </c>
      <c r="Q79" s="598">
        <f>'GL Data'!AL2</f>
        <v>0.43302969688507514</v>
      </c>
      <c r="R79" s="599"/>
      <c r="S79" s="599"/>
      <c r="T79" s="600"/>
    </row>
    <row r="80" spans="1:20" x14ac:dyDescent="0.25">
      <c r="O80" s="68" t="s">
        <v>655</v>
      </c>
      <c r="P80" s="68">
        <f>'GL Data'!AN2</f>
        <v>2016</v>
      </c>
      <c r="Q80" s="598">
        <f>'GL Data'!AP2</f>
        <v>0.48135584620704464</v>
      </c>
      <c r="R80" s="599"/>
      <c r="S80" s="599"/>
      <c r="T80" s="600"/>
    </row>
    <row r="81" spans="15:20" x14ac:dyDescent="0.25">
      <c r="P81" s="68" t="s">
        <v>112</v>
      </c>
      <c r="Q81" s="601">
        <v>0.03</v>
      </c>
      <c r="R81" s="602"/>
      <c r="S81" s="602"/>
      <c r="T81" s="603"/>
    </row>
    <row r="82" spans="15:20" x14ac:dyDescent="0.25">
      <c r="P82" s="68" t="s">
        <v>113</v>
      </c>
      <c r="Q82" s="604">
        <f>Q80/Q81</f>
        <v>16.045194873568157</v>
      </c>
      <c r="R82" s="605"/>
      <c r="S82" s="605"/>
      <c r="T82" s="606"/>
    </row>
    <row r="83" spans="15:20" ht="15" customHeight="1" x14ac:dyDescent="0.25">
      <c r="P83" s="68" t="s">
        <v>114</v>
      </c>
      <c r="Q83" s="607" t="s">
        <v>119</v>
      </c>
      <c r="R83" s="608"/>
      <c r="S83" s="608"/>
      <c r="T83" s="609"/>
    </row>
    <row r="84" spans="15:20" ht="15" customHeight="1" x14ac:dyDescent="0.25"/>
    <row r="86" spans="15:20" x14ac:dyDescent="0.25">
      <c r="P86" s="68" t="s">
        <v>110</v>
      </c>
      <c r="Q86" s="614" t="s">
        <v>508</v>
      </c>
      <c r="R86" s="615"/>
      <c r="S86" s="615"/>
      <c r="T86" s="616"/>
    </row>
    <row r="87" spans="15:20" x14ac:dyDescent="0.25">
      <c r="O87" s="68" t="s">
        <v>654</v>
      </c>
      <c r="P87" s="68">
        <f>'GL Data'!AJ2</f>
        <v>2015</v>
      </c>
      <c r="Q87" s="598">
        <f>'GL Data'!AK2</f>
        <v>0</v>
      </c>
      <c r="R87" s="599"/>
      <c r="S87" s="599"/>
      <c r="T87" s="600"/>
    </row>
    <row r="88" spans="15:20" x14ac:dyDescent="0.25">
      <c r="O88" s="68" t="s">
        <v>655</v>
      </c>
      <c r="P88" s="68">
        <f>'GL Data'!AN2</f>
        <v>2016</v>
      </c>
      <c r="Q88" s="598">
        <f>'GL Data'!AO2</f>
        <v>0</v>
      </c>
      <c r="R88" s="599"/>
      <c r="S88" s="599"/>
      <c r="T88" s="600"/>
    </row>
    <row r="89" spans="15:20" x14ac:dyDescent="0.25">
      <c r="P89" s="68" t="s">
        <v>112</v>
      </c>
      <c r="Q89" s="601">
        <v>0.55000000000000004</v>
      </c>
      <c r="R89" s="602"/>
      <c r="S89" s="602"/>
      <c r="T89" s="603"/>
    </row>
    <row r="90" spans="15:20" x14ac:dyDescent="0.25">
      <c r="P90" s="68" t="s">
        <v>113</v>
      </c>
      <c r="Q90" s="604">
        <f>Q88/Q89</f>
        <v>0</v>
      </c>
      <c r="R90" s="605"/>
      <c r="S90" s="605"/>
      <c r="T90" s="606"/>
    </row>
    <row r="91" spans="15:20" x14ac:dyDescent="0.25">
      <c r="P91" s="68" t="s">
        <v>114</v>
      </c>
      <c r="Q91" s="607" t="s">
        <v>119</v>
      </c>
      <c r="R91" s="608"/>
      <c r="S91" s="608"/>
      <c r="T91" s="609"/>
    </row>
    <row r="96" spans="15:20" ht="9" customHeight="1" x14ac:dyDescent="0.25"/>
    <row r="97" spans="1:20" x14ac:dyDescent="0.25">
      <c r="A97" s="631" t="s">
        <v>618</v>
      </c>
      <c r="B97" s="631"/>
      <c r="C97" s="631"/>
      <c r="D97" s="631"/>
      <c r="E97" s="631"/>
      <c r="F97" s="631"/>
      <c r="G97" s="631"/>
      <c r="H97" s="631"/>
      <c r="I97" s="631"/>
    </row>
    <row r="98" spans="1:20" ht="21.75" customHeight="1" x14ac:dyDescent="0.25">
      <c r="A98" s="629" t="s">
        <v>510</v>
      </c>
      <c r="B98" s="610" t="s">
        <v>511</v>
      </c>
      <c r="C98" s="611"/>
      <c r="D98" s="611"/>
      <c r="E98" s="611"/>
      <c r="F98" s="611"/>
      <c r="G98" s="611"/>
      <c r="H98" s="611"/>
      <c r="I98" s="612"/>
    </row>
    <row r="99" spans="1:20" ht="42.75" customHeight="1" x14ac:dyDescent="0.25">
      <c r="A99" s="630"/>
      <c r="B99" s="613" t="s">
        <v>102</v>
      </c>
      <c r="C99" s="611"/>
      <c r="D99" s="611"/>
      <c r="E99" s="611"/>
      <c r="F99" s="611"/>
      <c r="G99" s="611"/>
      <c r="H99" s="611"/>
      <c r="I99" s="612"/>
    </row>
    <row r="101" spans="1:20" ht="15" customHeight="1" x14ac:dyDescent="0.25">
      <c r="P101" s="68" t="s">
        <v>110</v>
      </c>
      <c r="Q101" s="614" t="s">
        <v>513</v>
      </c>
      <c r="R101" s="615"/>
      <c r="S101" s="615"/>
      <c r="T101" s="616"/>
    </row>
    <row r="102" spans="1:20" ht="15" customHeight="1" x14ac:dyDescent="0.25">
      <c r="O102" s="68" t="s">
        <v>654</v>
      </c>
      <c r="P102" s="68">
        <f>Table_Query_from_GLOBAL_RDS_3[RU_YEAR]</f>
        <v>2015</v>
      </c>
      <c r="Q102" s="633">
        <f>SALES_RU!CL3</f>
        <v>37546.639999999999</v>
      </c>
      <c r="R102" s="634"/>
      <c r="S102" s="634"/>
      <c r="T102" s="635"/>
    </row>
    <row r="103" spans="1:20" x14ac:dyDescent="0.25">
      <c r="O103" s="68" t="s">
        <v>655</v>
      </c>
      <c r="P103" s="68">
        <f>Table_Query_from_GLOBAL_RDS_4[RU_YEAR]</f>
        <v>2016</v>
      </c>
      <c r="Q103" s="633">
        <f>SALES_RU!CS3</f>
        <v>10768.75</v>
      </c>
      <c r="R103" s="634"/>
      <c r="S103" s="634"/>
      <c r="T103" s="635"/>
    </row>
    <row r="104" spans="1:20" x14ac:dyDescent="0.25">
      <c r="P104" s="68" t="s">
        <v>112</v>
      </c>
      <c r="Q104" s="636">
        <v>500</v>
      </c>
      <c r="R104" s="637"/>
      <c r="S104" s="637"/>
      <c r="T104" s="638"/>
    </row>
    <row r="105" spans="1:20" x14ac:dyDescent="0.25">
      <c r="P105" s="68" t="s">
        <v>113</v>
      </c>
      <c r="Q105" s="604">
        <f>Q103/Q104</f>
        <v>21.537500000000001</v>
      </c>
      <c r="R105" s="605"/>
      <c r="S105" s="605"/>
      <c r="T105" s="606"/>
    </row>
    <row r="106" spans="1:20" ht="15" customHeight="1" x14ac:dyDescent="0.25">
      <c r="P106" s="68" t="s">
        <v>114</v>
      </c>
      <c r="Q106" s="607" t="s">
        <v>115</v>
      </c>
      <c r="R106" s="608"/>
      <c r="S106" s="608"/>
      <c r="T106" s="609"/>
    </row>
    <row r="120" spans="1:13" x14ac:dyDescent="0.25">
      <c r="A120" s="632" t="s">
        <v>619</v>
      </c>
      <c r="B120" s="632"/>
      <c r="C120" s="632"/>
      <c r="D120" s="632"/>
      <c r="E120" s="632"/>
      <c r="F120" s="632"/>
      <c r="G120" s="632"/>
      <c r="H120" s="632"/>
      <c r="I120" s="632"/>
      <c r="J120" s="632"/>
      <c r="K120" s="632"/>
      <c r="L120" s="632"/>
      <c r="M120" s="632"/>
    </row>
  </sheetData>
  <mergeCells count="55">
    <mergeCell ref="A120:M120"/>
    <mergeCell ref="Q102:T102"/>
    <mergeCell ref="Q103:T103"/>
    <mergeCell ref="Q104:T104"/>
    <mergeCell ref="Q105:T105"/>
    <mergeCell ref="Q106:T106"/>
    <mergeCell ref="Q91:T91"/>
    <mergeCell ref="A98:A99"/>
    <mergeCell ref="B98:I98"/>
    <mergeCell ref="B99:I99"/>
    <mergeCell ref="Q101:T101"/>
    <mergeCell ref="A97:I97"/>
    <mergeCell ref="Q86:T86"/>
    <mergeCell ref="Q87:T87"/>
    <mergeCell ref="Q88:T88"/>
    <mergeCell ref="Q89:T89"/>
    <mergeCell ref="Q90:T90"/>
    <mergeCell ref="A75:A76"/>
    <mergeCell ref="A6:A7"/>
    <mergeCell ref="A29:A30"/>
    <mergeCell ref="B6:I6"/>
    <mergeCell ref="B7:I7"/>
    <mergeCell ref="A52:A53"/>
    <mergeCell ref="A74:I74"/>
    <mergeCell ref="A28:I28"/>
    <mergeCell ref="Q34:T34"/>
    <mergeCell ref="Q35:T35"/>
    <mergeCell ref="Q9:T9"/>
    <mergeCell ref="Q10:T10"/>
    <mergeCell ref="Q11:T11"/>
    <mergeCell ref="Q12:T12"/>
    <mergeCell ref="Q13:T13"/>
    <mergeCell ref="Q14:T14"/>
    <mergeCell ref="Q59:T59"/>
    <mergeCell ref="Q36:T36"/>
    <mergeCell ref="Q54:T54"/>
    <mergeCell ref="Q55:T55"/>
    <mergeCell ref="Q56:T56"/>
    <mergeCell ref="Q57:T57"/>
    <mergeCell ref="Q80:T80"/>
    <mergeCell ref="Q81:T81"/>
    <mergeCell ref="Q82:T82"/>
    <mergeCell ref="Q83:T83"/>
    <mergeCell ref="B29:I29"/>
    <mergeCell ref="B30:I30"/>
    <mergeCell ref="B52:I52"/>
    <mergeCell ref="B53:I53"/>
    <mergeCell ref="B75:I75"/>
    <mergeCell ref="B76:I76"/>
    <mergeCell ref="Q31:T31"/>
    <mergeCell ref="Q32:T32"/>
    <mergeCell ref="Q33:T33"/>
    <mergeCell ref="Q78:T78"/>
    <mergeCell ref="Q79:T79"/>
    <mergeCell ref="Q58:T58"/>
  </mergeCells>
  <conditionalFormatting sqref="Q13:T13">
    <cfRule type="iconSet" priority="6">
      <iconSet iconSet="3TrafficLights2">
        <cfvo type="percent" val="0"/>
        <cfvo type="percent" val="33"/>
        <cfvo type="percent" val="67"/>
      </iconSet>
    </cfRule>
  </conditionalFormatting>
  <conditionalFormatting sqref="Q35:T35">
    <cfRule type="iconSet" priority="5">
      <iconSet iconSet="3TrafficLights2">
        <cfvo type="percent" val="0"/>
        <cfvo type="percent" val="33"/>
        <cfvo type="percent" val="67"/>
      </iconSet>
    </cfRule>
  </conditionalFormatting>
  <conditionalFormatting sqref="Q58:T58">
    <cfRule type="iconSet" priority="4">
      <iconSet iconSet="3TrafficLights2">
        <cfvo type="percent" val="0"/>
        <cfvo type="percent" val="33"/>
        <cfvo type="percent" val="67"/>
      </iconSet>
    </cfRule>
  </conditionalFormatting>
  <conditionalFormatting sqref="Q82:T82">
    <cfRule type="iconSet" priority="3">
      <iconSet iconSet="3TrafficLights2">
        <cfvo type="percent" val="0"/>
        <cfvo type="percent" val="33"/>
        <cfvo type="percent" val="67"/>
      </iconSet>
    </cfRule>
  </conditionalFormatting>
  <conditionalFormatting sqref="Q90:T90">
    <cfRule type="iconSet" priority="2">
      <iconSet iconSet="3TrafficLights2">
        <cfvo type="percent" val="0"/>
        <cfvo type="percent" val="33"/>
        <cfvo type="percent" val="67"/>
      </iconSet>
    </cfRule>
  </conditionalFormatting>
  <conditionalFormatting sqref="Q105:T105">
    <cfRule type="iconSet" priority="1">
      <iconSet iconSet="3TrafficLights2">
        <cfvo type="percent" val="0"/>
        <cfvo type="percent" val="33"/>
        <cfvo type="percent" val="67"/>
      </iconSet>
    </cfRule>
  </conditionalFormatting>
  <pageMargins left="0.25" right="0.25" top="0.75" bottom="0.75" header="0.3" footer="0.3"/>
  <pageSetup paperSize="5" scale="52"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pageSetUpPr fitToPage="1"/>
  </sheetPr>
  <dimension ref="A5:U141"/>
  <sheetViews>
    <sheetView showGridLines="0" topLeftCell="A76" zoomScale="78" zoomScaleNormal="78" workbookViewId="0"/>
  </sheetViews>
  <sheetFormatPr defaultColWidth="9.140625" defaultRowHeight="15" x14ac:dyDescent="0.25"/>
  <cols>
    <col min="1" max="14" width="9.140625" style="14"/>
    <col min="15" max="15" width="14.42578125" style="14" bestFit="1" customWidth="1"/>
    <col min="16" max="16" width="10.140625" style="14" customWidth="1"/>
    <col min="17" max="16384" width="9.140625" style="14"/>
  </cols>
  <sheetData>
    <row r="5" spans="1:20" ht="13.5" customHeight="1" x14ac:dyDescent="0.25">
      <c r="J5" s="65"/>
    </row>
    <row r="6" spans="1:20" ht="22.5" customHeight="1" x14ac:dyDescent="0.25">
      <c r="A6" s="629" t="s">
        <v>125</v>
      </c>
      <c r="B6" s="610" t="s">
        <v>108</v>
      </c>
      <c r="C6" s="611"/>
      <c r="D6" s="611"/>
      <c r="E6" s="611"/>
      <c r="F6" s="611"/>
      <c r="G6" s="611"/>
      <c r="H6" s="611"/>
      <c r="I6" s="612"/>
      <c r="K6" s="652"/>
      <c r="L6" s="653"/>
      <c r="M6" s="654"/>
      <c r="N6" s="654"/>
      <c r="O6" s="654"/>
    </row>
    <row r="7" spans="1:20" ht="35.25" customHeight="1" x14ac:dyDescent="0.25">
      <c r="A7" s="630"/>
      <c r="B7" s="613" t="s">
        <v>109</v>
      </c>
      <c r="C7" s="611"/>
      <c r="D7" s="611"/>
      <c r="E7" s="611"/>
      <c r="F7" s="611"/>
      <c r="G7" s="611"/>
      <c r="H7" s="611"/>
      <c r="I7" s="612"/>
      <c r="K7" s="652"/>
      <c r="L7" s="655"/>
      <c r="M7" s="654"/>
      <c r="N7" s="654"/>
      <c r="O7" s="654"/>
    </row>
    <row r="9" spans="1:20" x14ac:dyDescent="0.25">
      <c r="P9" s="68" t="s">
        <v>110</v>
      </c>
      <c r="Q9" s="614" t="s">
        <v>171</v>
      </c>
      <c r="R9" s="615"/>
      <c r="S9" s="615"/>
      <c r="T9" s="616"/>
    </row>
    <row r="10" spans="1:20" x14ac:dyDescent="0.25">
      <c r="O10" s="68" t="s">
        <v>654</v>
      </c>
      <c r="P10" s="516">
        <f>Table_Query_from_GLOBAL_RDS_138[RU_YEAR]</f>
        <v>2015</v>
      </c>
      <c r="Q10" s="598">
        <f>'QUOTE_RU1&amp;RU2'!O3/100</f>
        <v>0.32140000000000002</v>
      </c>
      <c r="R10" s="626"/>
      <c r="S10" s="626"/>
      <c r="T10" s="627"/>
    </row>
    <row r="11" spans="1:20" x14ac:dyDescent="0.25">
      <c r="O11" s="68" t="s">
        <v>655</v>
      </c>
      <c r="P11" s="68">
        <f>Table_Query_from_GLOBAL_RDS_240[RU_YEAR]</f>
        <v>2016</v>
      </c>
      <c r="Q11" s="598">
        <f>'QUOTE_RU1&amp;RU2'!Y3/100</f>
        <v>0</v>
      </c>
      <c r="R11" s="599"/>
      <c r="S11" s="599"/>
      <c r="T11" s="600"/>
    </row>
    <row r="12" spans="1:20" x14ac:dyDescent="0.25">
      <c r="P12" s="68" t="s">
        <v>112</v>
      </c>
      <c r="Q12" s="601">
        <v>0.5</v>
      </c>
      <c r="R12" s="602"/>
      <c r="S12" s="602"/>
      <c r="T12" s="603"/>
    </row>
    <row r="13" spans="1:20" x14ac:dyDescent="0.25">
      <c r="P13" s="68" t="s">
        <v>113</v>
      </c>
      <c r="Q13" s="628">
        <f>Q11/Q12</f>
        <v>0</v>
      </c>
      <c r="R13" s="599"/>
      <c r="S13" s="599"/>
      <c r="T13" s="600"/>
    </row>
    <row r="14" spans="1:20" x14ac:dyDescent="0.25">
      <c r="P14" s="68" t="s">
        <v>114</v>
      </c>
      <c r="Q14" s="607" t="s">
        <v>489</v>
      </c>
      <c r="R14" s="608"/>
      <c r="S14" s="608"/>
      <c r="T14" s="609"/>
    </row>
    <row r="27" spans="1:21" ht="12" customHeight="1" x14ac:dyDescent="0.25"/>
    <row r="28" spans="1:21" s="364" customFormat="1" ht="12" x14ac:dyDescent="0.2">
      <c r="A28" s="639" t="s">
        <v>485</v>
      </c>
      <c r="B28" s="639"/>
      <c r="C28" s="639"/>
      <c r="D28" s="639"/>
      <c r="E28" s="639"/>
      <c r="F28" s="639"/>
      <c r="G28" s="639"/>
      <c r="H28" s="639"/>
      <c r="I28" s="639"/>
    </row>
    <row r="29" spans="1:21" ht="21.75" customHeight="1" x14ac:dyDescent="0.25">
      <c r="A29" s="650" t="s">
        <v>126</v>
      </c>
      <c r="B29" s="610" t="s">
        <v>106</v>
      </c>
      <c r="C29" s="611"/>
      <c r="D29" s="611"/>
      <c r="E29" s="611"/>
      <c r="F29" s="611"/>
      <c r="G29" s="611"/>
      <c r="H29" s="611"/>
      <c r="I29" s="612"/>
    </row>
    <row r="30" spans="1:21" ht="43.5" customHeight="1" x14ac:dyDescent="0.25">
      <c r="A30" s="651"/>
      <c r="B30" s="613" t="s">
        <v>107</v>
      </c>
      <c r="C30" s="611"/>
      <c r="D30" s="611"/>
      <c r="E30" s="611"/>
      <c r="F30" s="611"/>
      <c r="G30" s="611"/>
      <c r="H30" s="611"/>
      <c r="I30" s="612"/>
    </row>
    <row r="32" spans="1:21" x14ac:dyDescent="0.25">
      <c r="Q32" s="68" t="s">
        <v>110</v>
      </c>
      <c r="R32" s="614" t="s">
        <v>99</v>
      </c>
      <c r="S32" s="615"/>
      <c r="T32" s="615"/>
      <c r="U32" s="616"/>
    </row>
    <row r="33" spans="16:21" x14ac:dyDescent="0.25">
      <c r="P33" s="68" t="s">
        <v>654</v>
      </c>
      <c r="Q33" s="516">
        <f>Table_Query_from_GLOBAL_RDS_442[RU_YEAR]</f>
        <v>2015</v>
      </c>
      <c r="R33" s="649">
        <f>'QUOTE_RU1&amp;RU2'!AN3</f>
        <v>41978.8</v>
      </c>
      <c r="S33" s="647"/>
      <c r="T33" s="647"/>
      <c r="U33" s="648"/>
    </row>
    <row r="34" spans="16:21" x14ac:dyDescent="0.25">
      <c r="P34" s="68" t="s">
        <v>655</v>
      </c>
      <c r="Q34" s="68">
        <f>Table_Query_from_GLOBAL_RDS_550[RU_YEAR]</f>
        <v>2016</v>
      </c>
      <c r="R34" s="646">
        <f>'QUOTE_RU1&amp;RU2'!AT3</f>
        <v>42240</v>
      </c>
      <c r="S34" s="647"/>
      <c r="T34" s="647"/>
      <c r="U34" s="648"/>
    </row>
    <row r="35" spans="16:21" x14ac:dyDescent="0.25">
      <c r="Q35" s="68" t="s">
        <v>112</v>
      </c>
      <c r="R35" s="640">
        <v>3</v>
      </c>
      <c r="S35" s="641"/>
      <c r="T35" s="641"/>
      <c r="U35" s="642"/>
    </row>
    <row r="36" spans="16:21" x14ac:dyDescent="0.25">
      <c r="Q36" s="68" t="s">
        <v>113</v>
      </c>
      <c r="R36" s="604">
        <f>(R34/R35)</f>
        <v>14080</v>
      </c>
      <c r="S36" s="605"/>
      <c r="T36" s="605"/>
      <c r="U36" s="606"/>
    </row>
    <row r="37" spans="16:21" x14ac:dyDescent="0.25">
      <c r="Q37" s="68" t="s">
        <v>114</v>
      </c>
      <c r="R37" s="607" t="s">
        <v>167</v>
      </c>
      <c r="S37" s="608"/>
      <c r="T37" s="608"/>
      <c r="U37" s="609"/>
    </row>
    <row r="50" spans="1:21" ht="8.25" customHeight="1" x14ac:dyDescent="0.25"/>
    <row r="51" spans="1:21" x14ac:dyDescent="0.25">
      <c r="A51" s="639" t="s">
        <v>485</v>
      </c>
      <c r="B51" s="639"/>
      <c r="C51" s="639"/>
      <c r="D51" s="639"/>
      <c r="E51" s="639"/>
      <c r="F51" s="639"/>
      <c r="G51" s="639"/>
      <c r="H51" s="639"/>
      <c r="I51" s="639"/>
    </row>
    <row r="52" spans="1:21" ht="15" customHeight="1" x14ac:dyDescent="0.25">
      <c r="A52" s="650" t="s">
        <v>127</v>
      </c>
      <c r="B52" s="610" t="s">
        <v>85</v>
      </c>
      <c r="C52" s="611"/>
      <c r="D52" s="611"/>
      <c r="E52" s="611"/>
      <c r="F52" s="611"/>
      <c r="G52" s="611"/>
      <c r="H52" s="611"/>
      <c r="I52" s="612"/>
    </row>
    <row r="53" spans="1:21" ht="48" customHeight="1" x14ac:dyDescent="0.25">
      <c r="A53" s="651"/>
      <c r="B53" s="613" t="s">
        <v>120</v>
      </c>
      <c r="C53" s="611"/>
      <c r="D53" s="611"/>
      <c r="E53" s="611"/>
      <c r="F53" s="611"/>
      <c r="G53" s="611"/>
      <c r="H53" s="611"/>
      <c r="I53" s="612"/>
    </row>
    <row r="55" spans="1:21" ht="22.5" customHeight="1" x14ac:dyDescent="0.25">
      <c r="Q55" s="68" t="s">
        <v>110</v>
      </c>
      <c r="R55" s="614" t="s">
        <v>172</v>
      </c>
      <c r="S55" s="615"/>
      <c r="T55" s="615"/>
      <c r="U55" s="616"/>
    </row>
    <row r="56" spans="1:21" x14ac:dyDescent="0.25">
      <c r="P56" s="68" t="s">
        <v>654</v>
      </c>
      <c r="Q56" s="68">
        <f>Table_Query_from_GLOBAL_RDS_146[RU_YEAR]</f>
        <v>2015</v>
      </c>
      <c r="R56" s="598">
        <f>QUOTE_RU3!M3/100</f>
        <v>0.60420000000000007</v>
      </c>
      <c r="S56" s="599"/>
      <c r="T56" s="599"/>
      <c r="U56" s="600"/>
    </row>
    <row r="57" spans="1:21" x14ac:dyDescent="0.25">
      <c r="P57" s="68" t="s">
        <v>655</v>
      </c>
      <c r="Q57" s="68">
        <f>Table_Query_from_GLOBAL_RDS_247[RU_YEAR]</f>
        <v>2016</v>
      </c>
      <c r="R57" s="598">
        <f>QUOTE_RU3!U3/100</f>
        <v>1.3529</v>
      </c>
      <c r="S57" s="599"/>
      <c r="T57" s="599"/>
      <c r="U57" s="600"/>
    </row>
    <row r="58" spans="1:21" x14ac:dyDescent="0.25">
      <c r="Q58" s="68" t="s">
        <v>112</v>
      </c>
      <c r="R58" s="601">
        <v>0.95</v>
      </c>
      <c r="S58" s="602"/>
      <c r="T58" s="602"/>
      <c r="U58" s="603"/>
    </row>
    <row r="59" spans="1:21" x14ac:dyDescent="0.25">
      <c r="Q59" s="68" t="s">
        <v>113</v>
      </c>
      <c r="R59" s="643">
        <f>R57/R58</f>
        <v>1.4241052631578948</v>
      </c>
      <c r="S59" s="644"/>
      <c r="T59" s="644"/>
      <c r="U59" s="645"/>
    </row>
    <row r="60" spans="1:21" x14ac:dyDescent="0.25">
      <c r="Q60" s="68" t="s">
        <v>114</v>
      </c>
      <c r="R60" s="607" t="s">
        <v>167</v>
      </c>
      <c r="S60" s="608"/>
      <c r="T60" s="608"/>
      <c r="U60" s="609"/>
    </row>
    <row r="73" spans="1:21" ht="22.5" customHeight="1" x14ac:dyDescent="0.25">
      <c r="A73" s="639" t="s">
        <v>478</v>
      </c>
      <c r="B73" s="639"/>
      <c r="C73" s="639"/>
      <c r="D73" s="639"/>
      <c r="E73" s="639"/>
      <c r="F73" s="639"/>
      <c r="G73" s="639"/>
      <c r="H73" s="639"/>
      <c r="I73" s="639"/>
    </row>
    <row r="74" spans="1:21" x14ac:dyDescent="0.25">
      <c r="A74" s="650" t="s">
        <v>236</v>
      </c>
      <c r="B74" s="610" t="s">
        <v>503</v>
      </c>
      <c r="C74" s="611"/>
      <c r="D74" s="611"/>
      <c r="E74" s="611"/>
      <c r="F74" s="611"/>
      <c r="G74" s="611"/>
      <c r="H74" s="611"/>
      <c r="I74" s="612"/>
    </row>
    <row r="75" spans="1:21" ht="26.25" customHeight="1" x14ac:dyDescent="0.25">
      <c r="A75" s="651"/>
      <c r="B75" s="613" t="s">
        <v>504</v>
      </c>
      <c r="C75" s="611"/>
      <c r="D75" s="611"/>
      <c r="E75" s="611"/>
      <c r="F75" s="611"/>
      <c r="G75" s="611"/>
      <c r="H75" s="611"/>
      <c r="I75" s="612"/>
    </row>
    <row r="77" spans="1:21" x14ac:dyDescent="0.25">
      <c r="Q77" s="68" t="s">
        <v>110</v>
      </c>
      <c r="R77" s="614" t="s">
        <v>505</v>
      </c>
      <c r="S77" s="615"/>
      <c r="T77" s="615"/>
      <c r="U77" s="616"/>
    </row>
    <row r="78" spans="1:21" x14ac:dyDescent="0.25">
      <c r="P78" s="68" t="s">
        <v>654</v>
      </c>
      <c r="Q78" s="68">
        <f>Table_Query_from_GLOBAL_RDS_7[RU_YEAR]</f>
        <v>2015</v>
      </c>
      <c r="R78" s="656">
        <f>'QUOTE_RU1&amp;RU2'!BF3</f>
        <v>13063.03</v>
      </c>
      <c r="S78" s="657"/>
      <c r="T78" s="657"/>
      <c r="U78" s="658"/>
    </row>
    <row r="79" spans="1:21" x14ac:dyDescent="0.25">
      <c r="P79" s="68" t="s">
        <v>655</v>
      </c>
      <c r="Q79" s="68">
        <f>Table_Query_from_GLOBAL_RDS_8[RU_YEAR]</f>
        <v>2016</v>
      </c>
      <c r="R79" s="620">
        <f>'QUOTE_RU1&amp;RU2'!BL3</f>
        <v>24901.58</v>
      </c>
      <c r="S79" s="605"/>
      <c r="T79" s="605"/>
      <c r="U79" s="606"/>
    </row>
    <row r="80" spans="1:21" x14ac:dyDescent="0.25">
      <c r="Q80" s="68" t="s">
        <v>112</v>
      </c>
      <c r="R80" s="623">
        <v>10000</v>
      </c>
      <c r="S80" s="624"/>
      <c r="T80" s="624"/>
      <c r="U80" s="625"/>
    </row>
    <row r="81" spans="1:21" ht="15" customHeight="1" x14ac:dyDescent="0.25">
      <c r="Q81" s="68" t="s">
        <v>113</v>
      </c>
      <c r="R81" s="604">
        <f>R79/R80</f>
        <v>2.4901580000000001</v>
      </c>
      <c r="S81" s="605"/>
      <c r="T81" s="605"/>
      <c r="U81" s="606"/>
    </row>
    <row r="82" spans="1:21" x14ac:dyDescent="0.25">
      <c r="Q82" s="68" t="s">
        <v>114</v>
      </c>
      <c r="R82" s="607" t="s">
        <v>169</v>
      </c>
      <c r="S82" s="608"/>
      <c r="T82" s="608"/>
      <c r="U82" s="609"/>
    </row>
    <row r="87" spans="1:21" x14ac:dyDescent="0.25">
      <c r="T87" s="14" t="s">
        <v>1001</v>
      </c>
    </row>
    <row r="96" spans="1:21" x14ac:dyDescent="0.25">
      <c r="A96" s="631" t="s">
        <v>619</v>
      </c>
      <c r="B96" s="631"/>
      <c r="C96" s="631"/>
      <c r="D96" s="631"/>
      <c r="E96" s="631"/>
      <c r="F96" s="631"/>
      <c r="G96" s="631"/>
      <c r="H96" s="631"/>
      <c r="I96" s="631"/>
    </row>
    <row r="97" spans="1:21" x14ac:dyDescent="0.25">
      <c r="A97" s="650" t="s">
        <v>131</v>
      </c>
      <c r="B97" s="610" t="s">
        <v>129</v>
      </c>
      <c r="C97" s="611"/>
      <c r="D97" s="611"/>
      <c r="E97" s="611"/>
      <c r="F97" s="611"/>
      <c r="G97" s="611"/>
      <c r="H97" s="611"/>
      <c r="I97" s="612"/>
    </row>
    <row r="98" spans="1:21" ht="26.25" customHeight="1" x14ac:dyDescent="0.25">
      <c r="A98" s="651"/>
      <c r="B98" s="659" t="s">
        <v>130</v>
      </c>
      <c r="C98" s="611"/>
      <c r="D98" s="611"/>
      <c r="E98" s="611"/>
      <c r="F98" s="611"/>
      <c r="G98" s="611"/>
      <c r="H98" s="611"/>
      <c r="I98" s="612"/>
    </row>
    <row r="100" spans="1:21" x14ac:dyDescent="0.25">
      <c r="Q100" s="68" t="s">
        <v>110</v>
      </c>
      <c r="R100" s="614" t="s">
        <v>170</v>
      </c>
      <c r="S100" s="615"/>
      <c r="T100" s="615"/>
      <c r="U100" s="616"/>
    </row>
    <row r="101" spans="1:21" x14ac:dyDescent="0.25">
      <c r="P101" s="68" t="s">
        <v>654</v>
      </c>
      <c r="Q101" s="68">
        <f>Table_Query_from_GLOBAL_RDS_184[RU_YEAR]</f>
        <v>2015</v>
      </c>
      <c r="R101" s="656">
        <f>P16_INV_HIST_RU!I3</f>
        <v>1097524.47</v>
      </c>
      <c r="S101" s="657"/>
      <c r="T101" s="657"/>
      <c r="U101" s="658"/>
    </row>
    <row r="102" spans="1:21" x14ac:dyDescent="0.25">
      <c r="P102" s="68" t="s">
        <v>655</v>
      </c>
      <c r="Q102" s="68">
        <f>Table_Query_from_GLOBAL_RDS_285[RU_YEAR]</f>
        <v>2016</v>
      </c>
      <c r="R102" s="620">
        <f>P16_INV_HIST_RU!O3</f>
        <v>-1249.8900000000001</v>
      </c>
      <c r="S102" s="605"/>
      <c r="T102" s="605"/>
      <c r="U102" s="606"/>
    </row>
    <row r="103" spans="1:21" x14ac:dyDescent="0.25">
      <c r="Q103" s="68" t="s">
        <v>112</v>
      </c>
      <c r="R103" s="623">
        <v>3000000</v>
      </c>
      <c r="S103" s="624"/>
      <c r="T103" s="624"/>
      <c r="U103" s="625"/>
    </row>
    <row r="104" spans="1:21" ht="15" customHeight="1" x14ac:dyDescent="0.25">
      <c r="Q104" s="68" t="s">
        <v>113</v>
      </c>
      <c r="R104" s="604">
        <f>R102/R103</f>
        <v>-4.1663000000000003E-4</v>
      </c>
      <c r="S104" s="605"/>
      <c r="T104" s="605"/>
      <c r="U104" s="606"/>
    </row>
    <row r="105" spans="1:21" x14ac:dyDescent="0.25">
      <c r="Q105" s="68" t="s">
        <v>114</v>
      </c>
      <c r="R105" s="607" t="s">
        <v>169</v>
      </c>
      <c r="S105" s="608"/>
      <c r="T105" s="608"/>
      <c r="U105" s="609"/>
    </row>
    <row r="119" spans="1:21" x14ac:dyDescent="0.25">
      <c r="A119" s="631" t="s">
        <v>620</v>
      </c>
      <c r="B119" s="631"/>
      <c r="C119" s="631"/>
      <c r="D119" s="631"/>
      <c r="E119" s="631"/>
      <c r="F119" s="631"/>
      <c r="G119" s="631"/>
      <c r="H119" s="631"/>
      <c r="I119" s="631"/>
    </row>
    <row r="120" spans="1:21" x14ac:dyDescent="0.25">
      <c r="A120" s="650" t="s">
        <v>131</v>
      </c>
      <c r="B120" s="610" t="s">
        <v>573</v>
      </c>
      <c r="C120" s="611"/>
      <c r="D120" s="611"/>
      <c r="E120" s="611"/>
      <c r="F120" s="611"/>
      <c r="G120" s="611"/>
      <c r="H120" s="611"/>
      <c r="I120" s="612"/>
    </row>
    <row r="121" spans="1:21" ht="26.25" customHeight="1" x14ac:dyDescent="0.25">
      <c r="A121" s="651"/>
      <c r="B121" s="659" t="s">
        <v>574</v>
      </c>
      <c r="C121" s="611"/>
      <c r="D121" s="611"/>
      <c r="E121" s="611"/>
      <c r="F121" s="611"/>
      <c r="G121" s="611"/>
      <c r="H121" s="611"/>
      <c r="I121" s="612"/>
    </row>
    <row r="124" spans="1:21" x14ac:dyDescent="0.25">
      <c r="Q124" s="68" t="s">
        <v>110</v>
      </c>
      <c r="R124" s="614" t="s">
        <v>573</v>
      </c>
      <c r="S124" s="615"/>
      <c r="T124" s="615"/>
      <c r="U124" s="616"/>
    </row>
    <row r="125" spans="1:21" x14ac:dyDescent="0.25">
      <c r="P125" s="68" t="s">
        <v>654</v>
      </c>
      <c r="Q125" s="68">
        <f>Q101</f>
        <v>2015</v>
      </c>
      <c r="R125" s="666">
        <f>'Ratio Data'!BP11</f>
        <v>1.6136283295776785E-3</v>
      </c>
      <c r="S125" s="667"/>
      <c r="T125" s="667"/>
      <c r="U125" s="668"/>
    </row>
    <row r="126" spans="1:21" x14ac:dyDescent="0.25">
      <c r="P126" s="68" t="s">
        <v>655</v>
      </c>
      <c r="Q126" s="68">
        <f>Q102</f>
        <v>2016</v>
      </c>
      <c r="R126" s="660">
        <f>'Ratio Data'!BP12</f>
        <v>65.735526649625683</v>
      </c>
      <c r="S126" s="661"/>
      <c r="T126" s="661"/>
      <c r="U126" s="662"/>
    </row>
    <row r="127" spans="1:21" x14ac:dyDescent="0.25">
      <c r="Q127" s="68" t="s">
        <v>112</v>
      </c>
      <c r="R127" s="663">
        <v>1.5</v>
      </c>
      <c r="S127" s="664"/>
      <c r="T127" s="664"/>
      <c r="U127" s="665"/>
    </row>
    <row r="128" spans="1:21" ht="15" customHeight="1" x14ac:dyDescent="0.25">
      <c r="Q128" s="68" t="s">
        <v>113</v>
      </c>
      <c r="R128" s="604">
        <f>R126/R127</f>
        <v>43.823684433083791</v>
      </c>
      <c r="S128" s="605"/>
      <c r="T128" s="605"/>
      <c r="U128" s="606"/>
    </row>
    <row r="129" spans="1:21" x14ac:dyDescent="0.25">
      <c r="Q129" s="68" t="s">
        <v>114</v>
      </c>
      <c r="R129" s="607" t="s">
        <v>169</v>
      </c>
      <c r="S129" s="608"/>
      <c r="T129" s="608"/>
      <c r="U129" s="609"/>
    </row>
    <row r="141" spans="1:21" ht="18" customHeight="1" x14ac:dyDescent="0.25">
      <c r="A141" s="632" t="s">
        <v>619</v>
      </c>
      <c r="B141" s="632"/>
      <c r="C141" s="632"/>
      <c r="D141" s="632"/>
      <c r="E141" s="632"/>
      <c r="F141" s="632"/>
      <c r="G141" s="632"/>
      <c r="H141" s="632"/>
      <c r="I141" s="632"/>
    </row>
  </sheetData>
  <mergeCells count="63">
    <mergeCell ref="A96:I96"/>
    <mergeCell ref="A119:I119"/>
    <mergeCell ref="A141:I141"/>
    <mergeCell ref="R126:U126"/>
    <mergeCell ref="R127:U127"/>
    <mergeCell ref="R128:U128"/>
    <mergeCell ref="R129:U129"/>
    <mergeCell ref="A120:A121"/>
    <mergeCell ref="B120:I120"/>
    <mergeCell ref="B121:I121"/>
    <mergeCell ref="R124:U124"/>
    <mergeCell ref="R125:U125"/>
    <mergeCell ref="R102:U102"/>
    <mergeCell ref="R103:U103"/>
    <mergeCell ref="R104:U104"/>
    <mergeCell ref="R105:U105"/>
    <mergeCell ref="A97:A98"/>
    <mergeCell ref="B97:I97"/>
    <mergeCell ref="B98:I98"/>
    <mergeCell ref="R100:U100"/>
    <mergeCell ref="R101:U101"/>
    <mergeCell ref="A74:A75"/>
    <mergeCell ref="B74:I74"/>
    <mergeCell ref="B75:I75"/>
    <mergeCell ref="R82:U82"/>
    <mergeCell ref="R78:U78"/>
    <mergeCell ref="R79:U79"/>
    <mergeCell ref="R80:U80"/>
    <mergeCell ref="R81:U81"/>
    <mergeCell ref="R77:U77"/>
    <mergeCell ref="A6:A7"/>
    <mergeCell ref="K6:K7"/>
    <mergeCell ref="L6:O6"/>
    <mergeCell ref="L7:O7"/>
    <mergeCell ref="B6:I6"/>
    <mergeCell ref="B7:I7"/>
    <mergeCell ref="Q14:T14"/>
    <mergeCell ref="R32:U32"/>
    <mergeCell ref="R33:U33"/>
    <mergeCell ref="A29:A30"/>
    <mergeCell ref="A52:A53"/>
    <mergeCell ref="B29:I29"/>
    <mergeCell ref="B30:I30"/>
    <mergeCell ref="B52:I52"/>
    <mergeCell ref="B53:I53"/>
    <mergeCell ref="Q9:T9"/>
    <mergeCell ref="Q10:T10"/>
    <mergeCell ref="Q11:T11"/>
    <mergeCell ref="Q12:T12"/>
    <mergeCell ref="Q13:T13"/>
    <mergeCell ref="A73:I73"/>
    <mergeCell ref="A28:I28"/>
    <mergeCell ref="A51:I51"/>
    <mergeCell ref="R60:U60"/>
    <mergeCell ref="R35:U35"/>
    <mergeCell ref="R36:U36"/>
    <mergeCell ref="R37:U37"/>
    <mergeCell ref="R55:U55"/>
    <mergeCell ref="R56:U56"/>
    <mergeCell ref="R57:U57"/>
    <mergeCell ref="R58:U58"/>
    <mergeCell ref="R59:U59"/>
    <mergeCell ref="R34:U34"/>
  </mergeCells>
  <conditionalFormatting sqref="Q13:T13">
    <cfRule type="iconSet" priority="7">
      <iconSet iconSet="3TrafficLights2">
        <cfvo type="percent" val="0"/>
        <cfvo type="percent" val="33"/>
        <cfvo type="percent" val="67"/>
      </iconSet>
    </cfRule>
  </conditionalFormatting>
  <conditionalFormatting sqref="R36:U36">
    <cfRule type="iconSet" priority="6">
      <iconSet iconSet="3TrafficLights2">
        <cfvo type="percent" val="0"/>
        <cfvo type="percent" val="33"/>
        <cfvo type="percent" val="67"/>
      </iconSet>
    </cfRule>
  </conditionalFormatting>
  <conditionalFormatting sqref="R81:U81">
    <cfRule type="iconSet" priority="5">
      <iconSet iconSet="3TrafficLights2">
        <cfvo type="percent" val="0"/>
        <cfvo type="percent" val="33"/>
        <cfvo type="percent" val="67"/>
      </iconSet>
    </cfRule>
  </conditionalFormatting>
  <conditionalFormatting sqref="R59:U59">
    <cfRule type="iconSet" priority="3">
      <iconSet iconSet="3TrafficLights2">
        <cfvo type="percent" val="0"/>
        <cfvo type="percent" val="33"/>
        <cfvo type="percent" val="67"/>
      </iconSet>
    </cfRule>
  </conditionalFormatting>
  <conditionalFormatting sqref="R104:U104">
    <cfRule type="iconSet" priority="2">
      <iconSet iconSet="3TrafficLights2">
        <cfvo type="percent" val="0"/>
        <cfvo type="percent" val="33"/>
        <cfvo type="percent" val="67"/>
      </iconSet>
    </cfRule>
  </conditionalFormatting>
  <conditionalFormatting sqref="R128:U128">
    <cfRule type="iconSet" priority="1">
      <iconSet iconSet="3TrafficLights2">
        <cfvo type="percent" val="0"/>
        <cfvo type="percent" val="33"/>
        <cfvo type="percent" val="67"/>
      </iconSet>
    </cfRule>
  </conditionalFormatting>
  <pageMargins left="0.25" right="0.25" top="0.75" bottom="0.75" header="0.3" footer="0.3"/>
  <pageSetup scale="6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pageSetUpPr fitToPage="1"/>
  </sheetPr>
  <dimension ref="A1:X97"/>
  <sheetViews>
    <sheetView showGridLines="0" zoomScale="77" zoomScaleNormal="77" workbookViewId="0">
      <selection activeCell="B7" sqref="B7:I7"/>
    </sheetView>
  </sheetViews>
  <sheetFormatPr defaultColWidth="9.140625" defaultRowHeight="15" x14ac:dyDescent="0.25"/>
  <cols>
    <col min="1" max="15" width="9.140625" style="14"/>
    <col min="16" max="16" width="13.42578125" style="14" bestFit="1" customWidth="1"/>
    <col min="17" max="16384" width="9.140625" style="14"/>
  </cols>
  <sheetData>
    <row r="1" spans="1:23" x14ac:dyDescent="0.25">
      <c r="A1" s="548"/>
    </row>
    <row r="5" spans="1:23" ht="13.5" customHeight="1" x14ac:dyDescent="0.25">
      <c r="J5" s="65"/>
    </row>
    <row r="6" spans="1:23" ht="22.5" customHeight="1" x14ac:dyDescent="0.25">
      <c r="A6" s="629" t="s">
        <v>125</v>
      </c>
      <c r="B6" s="610" t="s">
        <v>237</v>
      </c>
      <c r="C6" s="611"/>
      <c r="D6" s="611"/>
      <c r="E6" s="611"/>
      <c r="F6" s="611"/>
      <c r="G6" s="611"/>
      <c r="H6" s="611"/>
      <c r="I6" s="612"/>
      <c r="K6" s="652"/>
      <c r="L6" s="653"/>
      <c r="M6" s="654"/>
      <c r="N6" s="654"/>
      <c r="O6" s="654"/>
    </row>
    <row r="7" spans="1:23" ht="35.25" customHeight="1" x14ac:dyDescent="0.25">
      <c r="A7" s="630"/>
      <c r="B7" s="613" t="s">
        <v>162</v>
      </c>
      <c r="C7" s="611"/>
      <c r="D7" s="611"/>
      <c r="E7" s="611"/>
      <c r="F7" s="611"/>
      <c r="G7" s="611"/>
      <c r="H7" s="611"/>
      <c r="I7" s="612"/>
      <c r="K7" s="652"/>
      <c r="L7" s="655"/>
      <c r="M7" s="654"/>
      <c r="N7" s="654"/>
      <c r="O7" s="654"/>
    </row>
    <row r="9" spans="1:23" x14ac:dyDescent="0.25">
      <c r="P9" s="68" t="s">
        <v>110</v>
      </c>
      <c r="Q9" s="614" t="str">
        <f>'KPI Mapping'!D36</f>
        <v xml:space="preserve">Rework Costs % of Sales </v>
      </c>
      <c r="R9" s="615"/>
      <c r="S9" s="615"/>
      <c r="T9" s="616"/>
    </row>
    <row r="10" spans="1:23" x14ac:dyDescent="0.25">
      <c r="O10" s="68" t="s">
        <v>654</v>
      </c>
      <c r="P10" s="68">
        <f>Table_Query_from_GLOBAL_RDS_253[RU_YEAR]</f>
        <v>2015</v>
      </c>
      <c r="Q10" s="598">
        <f>Quality_RU!S3</f>
        <v>0.01</v>
      </c>
      <c r="R10" s="599"/>
      <c r="S10" s="599"/>
      <c r="T10" s="600"/>
    </row>
    <row r="11" spans="1:23" ht="18.75" x14ac:dyDescent="0.3">
      <c r="O11" s="68" t="s">
        <v>655</v>
      </c>
      <c r="P11" s="68">
        <f>Table_Query_from_GLOBAL_RDS_354[RU_YEAR]</f>
        <v>2016</v>
      </c>
      <c r="Q11" s="598">
        <f>Quality_RU!AA3/10</f>
        <v>0</v>
      </c>
      <c r="R11" s="599"/>
      <c r="S11" s="599"/>
      <c r="T11" s="600"/>
      <c r="W11" s="271"/>
    </row>
    <row r="12" spans="1:23" x14ac:dyDescent="0.25">
      <c r="P12" s="68" t="s">
        <v>112</v>
      </c>
      <c r="Q12" s="601">
        <v>0.03</v>
      </c>
      <c r="R12" s="602"/>
      <c r="S12" s="602"/>
      <c r="T12" s="603"/>
    </row>
    <row r="13" spans="1:23" x14ac:dyDescent="0.25">
      <c r="P13" s="68" t="s">
        <v>113</v>
      </c>
      <c r="Q13" s="628">
        <f>Q11/Q12</f>
        <v>0</v>
      </c>
      <c r="R13" s="599"/>
      <c r="S13" s="599"/>
      <c r="T13" s="600"/>
    </row>
    <row r="14" spans="1:23" x14ac:dyDescent="0.25">
      <c r="P14" s="68" t="s">
        <v>114</v>
      </c>
      <c r="Q14" s="607" t="s">
        <v>169</v>
      </c>
      <c r="R14" s="608"/>
      <c r="S14" s="608"/>
      <c r="T14" s="609"/>
    </row>
    <row r="28" spans="1:20" x14ac:dyDescent="0.25">
      <c r="A28" s="688" t="s">
        <v>615</v>
      </c>
      <c r="B28" s="688"/>
      <c r="C28" s="688"/>
      <c r="D28" s="688"/>
      <c r="E28" s="688"/>
      <c r="F28" s="688"/>
      <c r="G28" s="688"/>
      <c r="H28" s="688"/>
      <c r="I28" s="688"/>
    </row>
    <row r="29" spans="1:20" ht="22.5" customHeight="1" x14ac:dyDescent="0.25">
      <c r="A29" s="629" t="s">
        <v>126</v>
      </c>
      <c r="B29" s="610" t="s">
        <v>464</v>
      </c>
      <c r="C29" s="611"/>
      <c r="D29" s="611"/>
      <c r="E29" s="611"/>
      <c r="F29" s="611"/>
      <c r="G29" s="611"/>
      <c r="H29" s="611"/>
      <c r="I29" s="612"/>
      <c r="K29" s="652"/>
      <c r="L29" s="653"/>
      <c r="M29" s="654"/>
      <c r="N29" s="654"/>
      <c r="O29" s="654"/>
    </row>
    <row r="30" spans="1:20" ht="35.25" customHeight="1" x14ac:dyDescent="0.25">
      <c r="A30" s="630"/>
      <c r="B30" s="613" t="s">
        <v>238</v>
      </c>
      <c r="C30" s="611"/>
      <c r="D30" s="611"/>
      <c r="E30" s="611"/>
      <c r="F30" s="611"/>
      <c r="G30" s="611"/>
      <c r="H30" s="611"/>
      <c r="I30" s="612"/>
      <c r="K30" s="652"/>
      <c r="L30" s="655"/>
      <c r="M30" s="654"/>
      <c r="N30" s="654"/>
      <c r="O30" s="654"/>
    </row>
    <row r="31" spans="1:20" x14ac:dyDescent="0.25">
      <c r="P31" s="68" t="s">
        <v>110</v>
      </c>
      <c r="Q31" s="614" t="s">
        <v>450</v>
      </c>
      <c r="R31" s="615"/>
      <c r="S31" s="615"/>
      <c r="T31" s="616"/>
    </row>
    <row r="32" spans="1:20" x14ac:dyDescent="0.25">
      <c r="O32" s="68" t="s">
        <v>654</v>
      </c>
      <c r="P32" s="68" t="e">
        <f>#REF!</f>
        <v>#REF!</v>
      </c>
      <c r="Q32" s="683" t="e">
        <f>#REF!</f>
        <v>#REF!</v>
      </c>
      <c r="R32" s="684"/>
      <c r="S32" s="684"/>
      <c r="T32" s="685"/>
    </row>
    <row r="33" spans="15:20" x14ac:dyDescent="0.25">
      <c r="O33" s="68" t="s">
        <v>655</v>
      </c>
      <c r="P33" s="68" t="e">
        <f>#REF!</f>
        <v>#REF!</v>
      </c>
      <c r="Q33" s="598" t="e">
        <f>#REF!</f>
        <v>#REF!</v>
      </c>
      <c r="R33" s="599"/>
      <c r="S33" s="599"/>
      <c r="T33" s="600"/>
    </row>
    <row r="34" spans="15:20" x14ac:dyDescent="0.25">
      <c r="P34" s="68" t="s">
        <v>112</v>
      </c>
      <c r="Q34" s="601">
        <v>1E-3</v>
      </c>
      <c r="R34" s="602"/>
      <c r="S34" s="602"/>
      <c r="T34" s="603"/>
    </row>
    <row r="35" spans="15:20" x14ac:dyDescent="0.25">
      <c r="P35" s="68" t="s">
        <v>113</v>
      </c>
      <c r="Q35" s="628" t="e">
        <f>Q33/Q34</f>
        <v>#REF!</v>
      </c>
      <c r="R35" s="686"/>
      <c r="S35" s="686"/>
      <c r="T35" s="687"/>
    </row>
    <row r="36" spans="15:20" x14ac:dyDescent="0.25">
      <c r="P36" s="68" t="s">
        <v>114</v>
      </c>
      <c r="Q36" s="607" t="s">
        <v>169</v>
      </c>
      <c r="R36" s="608"/>
      <c r="S36" s="608"/>
      <c r="T36" s="609"/>
    </row>
    <row r="51" spans="1:24" x14ac:dyDescent="0.25">
      <c r="A51" s="688" t="s">
        <v>479</v>
      </c>
      <c r="B51" s="688"/>
      <c r="C51" s="688"/>
      <c r="D51" s="688"/>
      <c r="E51" s="688"/>
      <c r="F51" s="688"/>
      <c r="G51" s="688"/>
      <c r="H51" s="688"/>
      <c r="I51" s="688"/>
    </row>
    <row r="52" spans="1:24" ht="21.75" customHeight="1" x14ac:dyDescent="0.25">
      <c r="A52" s="650" t="s">
        <v>127</v>
      </c>
      <c r="B52" s="610" t="s">
        <v>132</v>
      </c>
      <c r="C52" s="611"/>
      <c r="D52" s="611"/>
      <c r="E52" s="611"/>
      <c r="F52" s="611"/>
      <c r="G52" s="611"/>
      <c r="H52" s="611"/>
      <c r="I52" s="612"/>
    </row>
    <row r="53" spans="1:24" ht="43.5" customHeight="1" x14ac:dyDescent="0.25">
      <c r="A53" s="651"/>
      <c r="B53" s="613" t="s">
        <v>163</v>
      </c>
      <c r="C53" s="679"/>
      <c r="D53" s="679"/>
      <c r="E53" s="679"/>
      <c r="F53" s="679"/>
      <c r="G53" s="679"/>
      <c r="H53" s="679"/>
      <c r="I53" s="680"/>
    </row>
    <row r="55" spans="1:24" x14ac:dyDescent="0.25">
      <c r="Q55" s="68" t="s">
        <v>110</v>
      </c>
      <c r="R55" s="614" t="s">
        <v>128</v>
      </c>
      <c r="S55" s="615"/>
      <c r="T55" s="615"/>
      <c r="U55" s="616"/>
    </row>
    <row r="56" spans="1:24" x14ac:dyDescent="0.25">
      <c r="P56" s="68" t="s">
        <v>654</v>
      </c>
      <c r="Q56" s="68" t="str">
        <f>Quality_RU_RMA!M2</f>
        <v>Grand Total</v>
      </c>
      <c r="R56" s="670" t="e">
        <f>Quality_RU_RMA!N2</f>
        <v>#REF!</v>
      </c>
      <c r="S56" s="681"/>
      <c r="T56" s="681"/>
      <c r="U56" s="682"/>
    </row>
    <row r="57" spans="1:24" x14ac:dyDescent="0.25">
      <c r="P57" s="68" t="s">
        <v>655</v>
      </c>
      <c r="Q57" s="68" t="str">
        <f>Quality_RU_RMA!Q2</f>
        <v>Grand Total</v>
      </c>
      <c r="R57" s="620" t="e">
        <f>Quality_RU_RMA!R2</f>
        <v>#REF!</v>
      </c>
      <c r="S57" s="605"/>
      <c r="T57" s="605"/>
      <c r="U57" s="606"/>
    </row>
    <row r="58" spans="1:24" ht="18.75" x14ac:dyDescent="0.3">
      <c r="Q58" s="68" t="s">
        <v>112</v>
      </c>
      <c r="R58" s="623">
        <v>150</v>
      </c>
      <c r="S58" s="624"/>
      <c r="T58" s="624"/>
      <c r="U58" s="625"/>
      <c r="X58" s="271"/>
    </row>
    <row r="59" spans="1:24" x14ac:dyDescent="0.25">
      <c r="Q59" s="68" t="s">
        <v>113</v>
      </c>
      <c r="R59" s="604" t="e">
        <f>R57/R58</f>
        <v>#REF!</v>
      </c>
      <c r="S59" s="605"/>
      <c r="T59" s="605"/>
      <c r="U59" s="606"/>
    </row>
    <row r="60" spans="1:24" x14ac:dyDescent="0.25">
      <c r="Q60" s="68" t="s">
        <v>114</v>
      </c>
      <c r="R60" s="607" t="s">
        <v>169</v>
      </c>
      <c r="S60" s="608"/>
      <c r="T60" s="608"/>
      <c r="U60" s="609"/>
    </row>
    <row r="74" spans="1:21" x14ac:dyDescent="0.25">
      <c r="A74" s="650" t="s">
        <v>236</v>
      </c>
      <c r="B74" s="610" t="s">
        <v>480</v>
      </c>
      <c r="C74" s="611"/>
      <c r="D74" s="611"/>
      <c r="E74" s="611"/>
      <c r="F74" s="611"/>
      <c r="G74" s="611"/>
      <c r="H74" s="611"/>
      <c r="I74" s="612"/>
    </row>
    <row r="75" spans="1:21" ht="24" customHeight="1" x14ac:dyDescent="0.25">
      <c r="A75" s="651"/>
      <c r="B75" s="613" t="s">
        <v>481</v>
      </c>
      <c r="C75" s="611"/>
      <c r="D75" s="611"/>
      <c r="E75" s="611"/>
      <c r="F75" s="611"/>
      <c r="G75" s="611"/>
      <c r="H75" s="611"/>
      <c r="I75" s="612"/>
    </row>
    <row r="77" spans="1:21" ht="15" customHeight="1" x14ac:dyDescent="0.25">
      <c r="Q77" s="68" t="s">
        <v>110</v>
      </c>
      <c r="R77" s="614" t="s">
        <v>482</v>
      </c>
      <c r="S77" s="615"/>
      <c r="T77" s="615"/>
      <c r="U77" s="616"/>
    </row>
    <row r="78" spans="1:21" ht="15" customHeight="1" x14ac:dyDescent="0.25">
      <c r="P78" s="68" t="s">
        <v>654</v>
      </c>
      <c r="Q78" s="68">
        <f>Table_Query_from_GLOBAL_RDS_146[RU_YEAR]</f>
        <v>2015</v>
      </c>
      <c r="R78" s="670">
        <f>Quality_RU!AP3</f>
        <v>29201.5</v>
      </c>
      <c r="S78" s="671"/>
      <c r="T78" s="671"/>
      <c r="U78" s="672"/>
    </row>
    <row r="79" spans="1:21" ht="15" customHeight="1" x14ac:dyDescent="0.25">
      <c r="P79" s="68" t="s">
        <v>655</v>
      </c>
      <c r="Q79" s="68">
        <f>Table_Query_from_GLOBAL_RDS_657[RU_YEAR]</f>
        <v>0</v>
      </c>
      <c r="R79" s="670">
        <f>Quality_RU!AX3</f>
        <v>0</v>
      </c>
      <c r="S79" s="671"/>
      <c r="T79" s="671"/>
      <c r="U79" s="672"/>
    </row>
    <row r="80" spans="1:21" ht="15" customHeight="1" x14ac:dyDescent="0.25">
      <c r="Q80" s="68" t="s">
        <v>112</v>
      </c>
      <c r="R80" s="673">
        <v>350</v>
      </c>
      <c r="S80" s="674"/>
      <c r="T80" s="674"/>
      <c r="U80" s="675"/>
    </row>
    <row r="81" spans="17:21" ht="15" customHeight="1" x14ac:dyDescent="0.25">
      <c r="Q81" s="68" t="s">
        <v>113</v>
      </c>
      <c r="R81" s="676">
        <f>R79/R80</f>
        <v>0</v>
      </c>
      <c r="S81" s="677"/>
      <c r="T81" s="677"/>
      <c r="U81" s="678"/>
    </row>
    <row r="82" spans="17:21" ht="15" customHeight="1" x14ac:dyDescent="0.25">
      <c r="Q82" s="68" t="s">
        <v>114</v>
      </c>
      <c r="R82" s="607" t="s">
        <v>169</v>
      </c>
      <c r="S82" s="608"/>
      <c r="T82" s="608"/>
      <c r="U82" s="609"/>
    </row>
    <row r="97" spans="1:13" x14ac:dyDescent="0.25">
      <c r="A97" s="669" t="s">
        <v>502</v>
      </c>
      <c r="B97" s="669"/>
      <c r="C97" s="669"/>
      <c r="D97" s="669"/>
      <c r="E97" s="669"/>
      <c r="F97" s="669"/>
      <c r="G97" s="669"/>
      <c r="H97" s="669"/>
      <c r="I97" s="669"/>
      <c r="J97" s="669"/>
      <c r="K97" s="669"/>
      <c r="L97" s="669"/>
      <c r="M97" s="669"/>
    </row>
  </sheetData>
  <mergeCells count="45">
    <mergeCell ref="A28:I28"/>
    <mergeCell ref="Q14:T14"/>
    <mergeCell ref="A6:A7"/>
    <mergeCell ref="B6:I6"/>
    <mergeCell ref="K6:K7"/>
    <mergeCell ref="L6:O6"/>
    <mergeCell ref="B7:I7"/>
    <mergeCell ref="L7:O7"/>
    <mergeCell ref="Q9:T9"/>
    <mergeCell ref="Q10:T10"/>
    <mergeCell ref="Q11:T11"/>
    <mergeCell ref="Q12:T12"/>
    <mergeCell ref="Q13:T13"/>
    <mergeCell ref="B53:I53"/>
    <mergeCell ref="R55:U55"/>
    <mergeCell ref="R56:U56"/>
    <mergeCell ref="Q31:T31"/>
    <mergeCell ref="Q32:T32"/>
    <mergeCell ref="Q33:T33"/>
    <mergeCell ref="Q34:T34"/>
    <mergeCell ref="Q35:T35"/>
    <mergeCell ref="Q36:T36"/>
    <mergeCell ref="A51:I51"/>
    <mergeCell ref="A29:A30"/>
    <mergeCell ref="B29:I29"/>
    <mergeCell ref="K29:K30"/>
    <mergeCell ref="L29:O29"/>
    <mergeCell ref="B30:I30"/>
    <mergeCell ref="L30:O30"/>
    <mergeCell ref="R57:U57"/>
    <mergeCell ref="A52:A53"/>
    <mergeCell ref="B52:I52"/>
    <mergeCell ref="A97:M97"/>
    <mergeCell ref="R82:U82"/>
    <mergeCell ref="R58:U58"/>
    <mergeCell ref="R59:U59"/>
    <mergeCell ref="R60:U60"/>
    <mergeCell ref="A74:A75"/>
    <mergeCell ref="B74:I74"/>
    <mergeCell ref="B75:I75"/>
    <mergeCell ref="R77:U77"/>
    <mergeCell ref="R78:U78"/>
    <mergeCell ref="R79:U79"/>
    <mergeCell ref="R80:U80"/>
    <mergeCell ref="R81:U81"/>
  </mergeCells>
  <conditionalFormatting sqref="Q35:T35">
    <cfRule type="iconSet" priority="7">
      <iconSet iconSet="3TrafficLights2">
        <cfvo type="percent" val="0"/>
        <cfvo type="percent" val="33"/>
        <cfvo type="percent" val="67"/>
      </iconSet>
    </cfRule>
  </conditionalFormatting>
  <conditionalFormatting sqref="R59:U59">
    <cfRule type="iconSet" priority="6">
      <iconSet iconSet="3TrafficLights2">
        <cfvo type="percent" val="0"/>
        <cfvo type="percent" val="33"/>
        <cfvo type="percent" val="67"/>
      </iconSet>
    </cfRule>
  </conditionalFormatting>
  <conditionalFormatting sqref="R81:U81">
    <cfRule type="iconSet" priority="5">
      <iconSet iconSet="3TrafficLights2">
        <cfvo type="percent" val="0"/>
        <cfvo type="percent" val="33"/>
        <cfvo type="percent" val="67"/>
      </iconSet>
    </cfRule>
  </conditionalFormatting>
  <conditionalFormatting sqref="Q13:T13">
    <cfRule type="iconSet" priority="1">
      <iconSet iconSet="3TrafficLights2">
        <cfvo type="percent" val="0"/>
        <cfvo type="percent" val="33"/>
        <cfvo type="percent" val="67"/>
      </iconSet>
    </cfRule>
  </conditionalFormatting>
  <pageMargins left="0.25" right="0.25" top="0.75" bottom="0.75" header="0.3" footer="0.3"/>
  <pageSetup scale="52" fitToHeight="0"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pageSetUpPr fitToPage="1"/>
  </sheetPr>
  <dimension ref="A5:T101"/>
  <sheetViews>
    <sheetView showGridLines="0" zoomScale="87" zoomScaleNormal="87" workbookViewId="0">
      <selection activeCell="N47" sqref="N47"/>
    </sheetView>
  </sheetViews>
  <sheetFormatPr defaultColWidth="9.140625" defaultRowHeight="15" x14ac:dyDescent="0.25"/>
  <cols>
    <col min="1" max="16384" width="9.140625" style="14"/>
  </cols>
  <sheetData>
    <row r="5" spans="1:20" ht="13.5" customHeight="1" x14ac:dyDescent="0.25">
      <c r="J5" s="65"/>
    </row>
    <row r="6" spans="1:20" ht="22.5" customHeight="1" x14ac:dyDescent="0.25">
      <c r="A6" s="701" t="s">
        <v>470</v>
      </c>
      <c r="B6" s="706" t="s">
        <v>134</v>
      </c>
      <c r="C6" s="611"/>
      <c r="D6" s="611"/>
      <c r="E6" s="611"/>
      <c r="F6" s="611"/>
      <c r="G6" s="611"/>
      <c r="H6" s="611"/>
      <c r="I6" s="612"/>
      <c r="K6" s="652"/>
      <c r="L6" s="653"/>
      <c r="M6" s="654"/>
      <c r="N6" s="654"/>
      <c r="O6" s="654"/>
    </row>
    <row r="7" spans="1:20" ht="35.25" customHeight="1" x14ac:dyDescent="0.25">
      <c r="A7" s="702"/>
      <c r="B7" s="707" t="s">
        <v>459</v>
      </c>
      <c r="C7" s="611"/>
      <c r="D7" s="611"/>
      <c r="E7" s="611"/>
      <c r="F7" s="611"/>
      <c r="G7" s="611"/>
      <c r="H7" s="611"/>
      <c r="I7" s="612"/>
      <c r="K7" s="652"/>
      <c r="L7" s="655"/>
      <c r="M7" s="654"/>
      <c r="N7" s="654"/>
      <c r="O7" s="654"/>
    </row>
    <row r="9" spans="1:20" x14ac:dyDescent="0.25">
      <c r="P9" s="68" t="s">
        <v>110</v>
      </c>
      <c r="Q9" s="614" t="s">
        <v>458</v>
      </c>
      <c r="R9" s="615"/>
      <c r="S9" s="615"/>
      <c r="T9" s="616"/>
    </row>
    <row r="10" spans="1:20" x14ac:dyDescent="0.25">
      <c r="O10" s="68" t="s">
        <v>654</v>
      </c>
      <c r="P10" s="68">
        <f>'Labor Hours'!S1</f>
        <v>2015</v>
      </c>
      <c r="Q10" s="598">
        <f>'Labor Hours'!T1</f>
        <v>0.99818509769139108</v>
      </c>
      <c r="R10" s="626"/>
      <c r="S10" s="626"/>
      <c r="T10" s="627"/>
    </row>
    <row r="11" spans="1:20" x14ac:dyDescent="0.25">
      <c r="O11" s="68" t="s">
        <v>655</v>
      </c>
      <c r="P11" s="68">
        <f>'Labor Hours'!X1</f>
        <v>2016</v>
      </c>
      <c r="Q11" s="598">
        <f>'Labor Hours'!Y1</f>
        <v>1</v>
      </c>
      <c r="R11" s="599"/>
      <c r="S11" s="599"/>
      <c r="T11" s="600"/>
    </row>
    <row r="12" spans="1:20" x14ac:dyDescent="0.25">
      <c r="P12" s="68" t="s">
        <v>112</v>
      </c>
      <c r="Q12" s="703">
        <v>1</v>
      </c>
      <c r="R12" s="704"/>
      <c r="S12" s="704"/>
      <c r="T12" s="705"/>
    </row>
    <row r="13" spans="1:20" x14ac:dyDescent="0.25">
      <c r="P13" s="68" t="s">
        <v>113</v>
      </c>
      <c r="Q13" s="628">
        <f>Q11/Q12</f>
        <v>1</v>
      </c>
      <c r="R13" s="626"/>
      <c r="S13" s="626"/>
      <c r="T13" s="627"/>
    </row>
    <row r="14" spans="1:20" x14ac:dyDescent="0.25">
      <c r="P14" s="68" t="s">
        <v>114</v>
      </c>
      <c r="Q14" s="607" t="s">
        <v>169</v>
      </c>
      <c r="R14" s="608"/>
      <c r="S14" s="608"/>
      <c r="T14" s="609"/>
    </row>
    <row r="28" spans="1:20" x14ac:dyDescent="0.25">
      <c r="B28" s="631" t="s">
        <v>484</v>
      </c>
      <c r="C28" s="631"/>
      <c r="D28" s="631"/>
      <c r="E28" s="631"/>
      <c r="F28" s="631"/>
      <c r="G28" s="631"/>
      <c r="H28" s="631"/>
      <c r="I28" s="631"/>
    </row>
    <row r="29" spans="1:20" ht="21.75" customHeight="1" x14ac:dyDescent="0.25">
      <c r="A29" s="690" t="s">
        <v>133</v>
      </c>
      <c r="B29" s="610" t="s">
        <v>463</v>
      </c>
      <c r="C29" s="611"/>
      <c r="D29" s="611"/>
      <c r="E29" s="611"/>
      <c r="F29" s="611"/>
      <c r="G29" s="611"/>
      <c r="H29" s="611"/>
      <c r="I29" s="612"/>
    </row>
    <row r="30" spans="1:20" ht="15.75" customHeight="1" x14ac:dyDescent="0.25">
      <c r="A30" s="689"/>
      <c r="B30" s="691" t="s">
        <v>456</v>
      </c>
      <c r="C30" s="692"/>
      <c r="D30" s="692"/>
      <c r="E30" s="692"/>
      <c r="F30" s="692"/>
      <c r="G30" s="692"/>
      <c r="H30" s="692"/>
      <c r="I30" s="693"/>
    </row>
    <row r="31" spans="1:20" x14ac:dyDescent="0.25">
      <c r="A31" s="689"/>
      <c r="B31" s="694"/>
      <c r="C31" s="695"/>
      <c r="D31" s="695"/>
      <c r="E31" s="695"/>
      <c r="F31" s="695"/>
      <c r="G31" s="695"/>
      <c r="H31" s="695"/>
      <c r="I31" s="696"/>
    </row>
    <row r="32" spans="1:20" ht="26.25" customHeight="1" x14ac:dyDescent="0.25">
      <c r="P32" s="68" t="s">
        <v>110</v>
      </c>
      <c r="Q32" s="614" t="s">
        <v>488</v>
      </c>
      <c r="R32" s="615"/>
      <c r="S32" s="615"/>
      <c r="T32" s="616"/>
    </row>
    <row r="33" spans="15:20" x14ac:dyDescent="0.25">
      <c r="O33" s="68" t="s">
        <v>654</v>
      </c>
      <c r="P33" s="68" t="str">
        <f>'L2-Ind Hrs'!S2</f>
        <v>Grand Total</v>
      </c>
      <c r="Q33" s="620">
        <f>'L2-Ind Hrs'!T2</f>
        <v>0</v>
      </c>
      <c r="R33" s="605"/>
      <c r="S33" s="605"/>
      <c r="T33" s="606"/>
    </row>
    <row r="34" spans="15:20" x14ac:dyDescent="0.25">
      <c r="O34" s="68" t="s">
        <v>655</v>
      </c>
      <c r="P34" s="68" t="str">
        <f>'L2-Ind Hrs'!V2</f>
        <v>Grand Total</v>
      </c>
      <c r="Q34" s="620">
        <f>'L2-Ind Hrs'!W2</f>
        <v>0</v>
      </c>
      <c r="R34" s="605"/>
      <c r="S34" s="605"/>
      <c r="T34" s="606"/>
    </row>
    <row r="35" spans="15:20" x14ac:dyDescent="0.25">
      <c r="P35" s="68" t="s">
        <v>112</v>
      </c>
      <c r="Q35" s="623">
        <v>100</v>
      </c>
      <c r="R35" s="624"/>
      <c r="S35" s="624"/>
      <c r="T35" s="625"/>
    </row>
    <row r="36" spans="15:20" x14ac:dyDescent="0.25">
      <c r="P36" s="68" t="s">
        <v>113</v>
      </c>
      <c r="Q36" s="604">
        <f>Q34/Q35</f>
        <v>0</v>
      </c>
      <c r="R36" s="605"/>
      <c r="S36" s="605"/>
      <c r="T36" s="606"/>
    </row>
    <row r="37" spans="15:20" x14ac:dyDescent="0.25">
      <c r="P37" s="68" t="s">
        <v>114</v>
      </c>
      <c r="Q37" s="607" t="s">
        <v>169</v>
      </c>
      <c r="R37" s="608"/>
      <c r="S37" s="608"/>
      <c r="T37" s="609"/>
    </row>
    <row r="51" spans="1:20" x14ac:dyDescent="0.25">
      <c r="A51" s="632" t="s">
        <v>484</v>
      </c>
      <c r="B51" s="632"/>
      <c r="C51" s="632"/>
      <c r="D51" s="632"/>
      <c r="E51" s="632"/>
      <c r="F51" s="632"/>
      <c r="G51" s="632"/>
      <c r="H51" s="632"/>
      <c r="I51" s="632"/>
    </row>
    <row r="53" spans="1:20" ht="15" customHeight="1" x14ac:dyDescent="0.25">
      <c r="A53" s="689" t="s">
        <v>135</v>
      </c>
      <c r="B53" s="697" t="s">
        <v>455</v>
      </c>
      <c r="C53" s="692"/>
      <c r="D53" s="692"/>
      <c r="E53" s="692"/>
      <c r="F53" s="692"/>
      <c r="G53" s="692"/>
      <c r="H53" s="692"/>
      <c r="I53" s="693"/>
    </row>
    <row r="54" spans="1:20" ht="12" customHeight="1" x14ac:dyDescent="0.25">
      <c r="A54" s="689"/>
      <c r="B54" s="694"/>
      <c r="C54" s="695"/>
      <c r="D54" s="695"/>
      <c r="E54" s="695"/>
      <c r="F54" s="695"/>
      <c r="G54" s="695"/>
      <c r="H54" s="695"/>
      <c r="I54" s="696"/>
    </row>
    <row r="55" spans="1:20" ht="21.75" customHeight="1" x14ac:dyDescent="0.25">
      <c r="A55" s="689"/>
      <c r="B55" s="613" t="s">
        <v>456</v>
      </c>
      <c r="C55" s="611"/>
      <c r="D55" s="611"/>
      <c r="E55" s="611"/>
      <c r="F55" s="611"/>
      <c r="G55" s="611"/>
      <c r="H55" s="611"/>
      <c r="I55" s="612"/>
    </row>
    <row r="57" spans="1:20" x14ac:dyDescent="0.25">
      <c r="P57" s="68" t="s">
        <v>110</v>
      </c>
      <c r="Q57" s="614" t="s">
        <v>457</v>
      </c>
      <c r="R57" s="615"/>
      <c r="S57" s="615"/>
      <c r="T57" s="616"/>
    </row>
    <row r="58" spans="1:20" x14ac:dyDescent="0.25">
      <c r="O58" s="68" t="s">
        <v>654</v>
      </c>
      <c r="P58" s="68">
        <f>'L3- Rev $ per-labor hr '!AD13</f>
        <v>2015</v>
      </c>
      <c r="Q58" s="649">
        <f>'L3- Rev $ per-labor hr '!AE13</f>
        <v>0</v>
      </c>
      <c r="R58" s="647"/>
      <c r="S58" s="647"/>
      <c r="T58" s="648"/>
    </row>
    <row r="59" spans="1:20" x14ac:dyDescent="0.25">
      <c r="O59" s="68" t="s">
        <v>655</v>
      </c>
      <c r="P59" s="68">
        <f>'L3- Rev $ per-labor hr '!AH13</f>
        <v>2016</v>
      </c>
      <c r="Q59" s="663">
        <f>'L3- Rev $ per-labor hr '!AI13</f>
        <v>73530.444168725575</v>
      </c>
      <c r="R59" s="664"/>
      <c r="S59" s="664"/>
      <c r="T59" s="665"/>
    </row>
    <row r="60" spans="1:20" x14ac:dyDescent="0.25">
      <c r="P60" s="68" t="s">
        <v>112</v>
      </c>
      <c r="Q60" s="698">
        <v>145</v>
      </c>
      <c r="R60" s="699"/>
      <c r="S60" s="699"/>
      <c r="T60" s="700"/>
    </row>
    <row r="61" spans="1:20" x14ac:dyDescent="0.25">
      <c r="P61" s="68" t="s">
        <v>113</v>
      </c>
      <c r="Q61" s="604">
        <f>Q59/Q60</f>
        <v>507.10651150845223</v>
      </c>
      <c r="R61" s="605"/>
      <c r="S61" s="605"/>
      <c r="T61" s="606"/>
    </row>
    <row r="62" spans="1:20" x14ac:dyDescent="0.25">
      <c r="P62" s="68" t="s">
        <v>114</v>
      </c>
      <c r="Q62" s="607" t="s">
        <v>169</v>
      </c>
      <c r="R62" s="608"/>
      <c r="S62" s="608"/>
      <c r="T62" s="609"/>
    </row>
    <row r="76" spans="1:9" x14ac:dyDescent="0.25">
      <c r="A76" s="631" t="s">
        <v>621</v>
      </c>
      <c r="B76" s="631"/>
      <c r="C76" s="631"/>
      <c r="D76" s="631"/>
      <c r="E76" s="631"/>
      <c r="F76" s="631"/>
      <c r="G76" s="631"/>
      <c r="H76" s="631"/>
      <c r="I76" s="631"/>
    </row>
    <row r="77" spans="1:9" x14ac:dyDescent="0.25">
      <c r="A77" s="689" t="s">
        <v>137</v>
      </c>
      <c r="B77" s="697" t="s">
        <v>453</v>
      </c>
      <c r="C77" s="708"/>
      <c r="D77" s="708"/>
      <c r="E77" s="708"/>
      <c r="F77" s="708"/>
      <c r="G77" s="708"/>
      <c r="H77" s="708"/>
      <c r="I77" s="709"/>
    </row>
    <row r="78" spans="1:9" x14ac:dyDescent="0.25">
      <c r="A78" s="689"/>
      <c r="B78" s="710"/>
      <c r="C78" s="711"/>
      <c r="D78" s="711"/>
      <c r="E78" s="711"/>
      <c r="F78" s="711"/>
      <c r="G78" s="711"/>
      <c r="H78" s="711"/>
      <c r="I78" s="712"/>
    </row>
    <row r="79" spans="1:9" x14ac:dyDescent="0.25">
      <c r="A79" s="689"/>
      <c r="B79" s="691" t="s">
        <v>217</v>
      </c>
      <c r="C79" s="692"/>
      <c r="D79" s="692"/>
      <c r="E79" s="692"/>
      <c r="F79" s="692"/>
      <c r="G79" s="692"/>
      <c r="H79" s="692"/>
      <c r="I79" s="693"/>
    </row>
    <row r="80" spans="1:9" x14ac:dyDescent="0.25">
      <c r="A80" s="689"/>
      <c r="B80" s="694"/>
      <c r="C80" s="695"/>
      <c r="D80" s="695"/>
      <c r="E80" s="695"/>
      <c r="F80" s="695"/>
      <c r="G80" s="695"/>
      <c r="H80" s="695"/>
      <c r="I80" s="696"/>
    </row>
    <row r="82" spans="15:20" x14ac:dyDescent="0.25">
      <c r="P82" s="68" t="s">
        <v>110</v>
      </c>
      <c r="Q82" s="614" t="s">
        <v>454</v>
      </c>
      <c r="R82" s="615"/>
      <c r="S82" s="615"/>
      <c r="T82" s="616"/>
    </row>
    <row r="83" spans="15:20" x14ac:dyDescent="0.25">
      <c r="O83" s="68" t="s">
        <v>654</v>
      </c>
      <c r="P83" s="68">
        <f>Table_Query_from_GLOBAL_RDS_181[RU_YEAR]</f>
        <v>2015</v>
      </c>
      <c r="Q83" s="649">
        <f>P4_LABOR_RU!M3</f>
        <v>5.47</v>
      </c>
      <c r="R83" s="647"/>
      <c r="S83" s="647"/>
      <c r="T83" s="648"/>
    </row>
    <row r="84" spans="15:20" x14ac:dyDescent="0.25">
      <c r="O84" s="68" t="s">
        <v>655</v>
      </c>
      <c r="P84" s="68">
        <f>Table_Query_from_GLOBAL_RDS_282[RU_YEAR]</f>
        <v>2016</v>
      </c>
      <c r="Q84" s="646">
        <f>P4_LABOR_RU!T3</f>
        <v>15.23</v>
      </c>
      <c r="R84" s="647"/>
      <c r="S84" s="647"/>
      <c r="T84" s="648"/>
    </row>
    <row r="85" spans="15:20" x14ac:dyDescent="0.25">
      <c r="P85" s="68" t="s">
        <v>112</v>
      </c>
      <c r="Q85" s="640">
        <v>6.5</v>
      </c>
      <c r="R85" s="641"/>
      <c r="S85" s="641"/>
      <c r="T85" s="642"/>
    </row>
    <row r="86" spans="15:20" x14ac:dyDescent="0.25">
      <c r="P86" s="68" t="s">
        <v>113</v>
      </c>
      <c r="Q86" s="604">
        <f>Q84/Q85</f>
        <v>2.3430769230769233</v>
      </c>
      <c r="R86" s="605"/>
      <c r="S86" s="605"/>
      <c r="T86" s="606"/>
    </row>
    <row r="87" spans="15:20" x14ac:dyDescent="0.25">
      <c r="P87" s="68" t="s">
        <v>114</v>
      </c>
      <c r="Q87" s="607" t="s">
        <v>169</v>
      </c>
      <c r="R87" s="608"/>
      <c r="S87" s="608"/>
      <c r="T87" s="609"/>
    </row>
    <row r="101" spans="1:13" x14ac:dyDescent="0.25">
      <c r="A101" s="632" t="s">
        <v>501</v>
      </c>
      <c r="B101" s="632"/>
      <c r="C101" s="632"/>
      <c r="D101" s="632"/>
      <c r="E101" s="632"/>
      <c r="F101" s="632"/>
      <c r="G101" s="632"/>
      <c r="H101" s="632"/>
      <c r="I101" s="632"/>
      <c r="J101" s="632"/>
      <c r="K101" s="632"/>
      <c r="L101" s="632"/>
      <c r="M101" s="632"/>
    </row>
  </sheetData>
  <mergeCells count="43">
    <mergeCell ref="A76:I76"/>
    <mergeCell ref="Q84:T84"/>
    <mergeCell ref="Q85:T85"/>
    <mergeCell ref="Q86:T86"/>
    <mergeCell ref="Q87:T87"/>
    <mergeCell ref="A77:A80"/>
    <mergeCell ref="Q82:T82"/>
    <mergeCell ref="Q83:T83"/>
    <mergeCell ref="B77:I78"/>
    <mergeCell ref="B79:I80"/>
    <mergeCell ref="Q14:T14"/>
    <mergeCell ref="A6:A7"/>
    <mergeCell ref="K6:K7"/>
    <mergeCell ref="L6:O6"/>
    <mergeCell ref="L7:O7"/>
    <mergeCell ref="Q9:T9"/>
    <mergeCell ref="Q10:T10"/>
    <mergeCell ref="Q11:T11"/>
    <mergeCell ref="Q12:T12"/>
    <mergeCell ref="Q13:T13"/>
    <mergeCell ref="B6:I6"/>
    <mergeCell ref="B7:I7"/>
    <mergeCell ref="Q57:T57"/>
    <mergeCell ref="Q58:T58"/>
    <mergeCell ref="Q59:T59"/>
    <mergeCell ref="Q60:T60"/>
    <mergeCell ref="Q61:T61"/>
    <mergeCell ref="A101:M101"/>
    <mergeCell ref="B28:I28"/>
    <mergeCell ref="A51:I51"/>
    <mergeCell ref="A53:A55"/>
    <mergeCell ref="Q34:T34"/>
    <mergeCell ref="Q32:T32"/>
    <mergeCell ref="Q33:T33"/>
    <mergeCell ref="A29:A31"/>
    <mergeCell ref="B29:I29"/>
    <mergeCell ref="B30:I31"/>
    <mergeCell ref="B53:I54"/>
    <mergeCell ref="B55:I55"/>
    <mergeCell ref="Q62:T62"/>
    <mergeCell ref="Q35:T35"/>
    <mergeCell ref="Q36:T36"/>
    <mergeCell ref="Q37:T37"/>
  </mergeCells>
  <conditionalFormatting sqref="Q13:T13">
    <cfRule type="iconSet" priority="4">
      <iconSet iconSet="3TrafficLights2">
        <cfvo type="percent" val="0"/>
        <cfvo type="percent" val="33"/>
        <cfvo type="percent" val="67"/>
      </iconSet>
    </cfRule>
  </conditionalFormatting>
  <conditionalFormatting sqref="Q36:T36">
    <cfRule type="iconSet" priority="3">
      <iconSet iconSet="3TrafficLights2">
        <cfvo type="percent" val="0"/>
        <cfvo type="percent" val="33"/>
        <cfvo type="percent" val="67"/>
      </iconSet>
    </cfRule>
  </conditionalFormatting>
  <conditionalFormatting sqref="Q86:T86">
    <cfRule type="iconSet" priority="2">
      <iconSet iconSet="3TrafficLights2">
        <cfvo type="percent" val="0"/>
        <cfvo type="percent" val="33"/>
        <cfvo type="percent" val="67"/>
      </iconSet>
    </cfRule>
  </conditionalFormatting>
  <conditionalFormatting sqref="Q61:T61">
    <cfRule type="iconSet" priority="1">
      <iconSet iconSet="3TrafficLights2">
        <cfvo type="percent" val="0"/>
        <cfvo type="percent" val="33"/>
        <cfvo type="percent" val="67"/>
      </iconSet>
    </cfRule>
  </conditionalFormatting>
  <pageMargins left="0.25" right="0.25" top="0.75" bottom="0.75" header="0.3" footer="0.3"/>
  <pageSetup scale="69" fitToHeight="0"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pageSetUpPr fitToPage="1"/>
  </sheetPr>
  <dimension ref="A5:U97"/>
  <sheetViews>
    <sheetView showGridLines="0" tabSelected="1" topLeftCell="A31" zoomScale="84" zoomScaleNormal="84" workbookViewId="0">
      <selection activeCell="B53" sqref="B53:I53"/>
    </sheetView>
  </sheetViews>
  <sheetFormatPr defaultColWidth="9.140625" defaultRowHeight="15" x14ac:dyDescent="0.25"/>
  <cols>
    <col min="1" max="16" width="9.140625" style="14"/>
    <col min="17" max="17" width="11.42578125" style="14" bestFit="1" customWidth="1"/>
    <col min="18" max="16384" width="9.140625" style="14"/>
  </cols>
  <sheetData>
    <row r="5" spans="1:20" ht="13.5" customHeight="1" x14ac:dyDescent="0.25">
      <c r="J5" s="65"/>
    </row>
    <row r="6" spans="1:20" ht="22.5" customHeight="1" x14ac:dyDescent="0.25">
      <c r="A6" s="650" t="s">
        <v>147</v>
      </c>
      <c r="B6" s="706" t="s">
        <v>158</v>
      </c>
      <c r="C6" s="611"/>
      <c r="D6" s="611"/>
      <c r="E6" s="611"/>
      <c r="F6" s="611"/>
      <c r="G6" s="611"/>
      <c r="H6" s="611"/>
      <c r="I6" s="612"/>
      <c r="K6" s="652"/>
      <c r="L6" s="653"/>
      <c r="M6" s="654"/>
      <c r="N6" s="654"/>
      <c r="O6" s="654"/>
    </row>
    <row r="7" spans="1:20" ht="35.25" customHeight="1" x14ac:dyDescent="0.25">
      <c r="A7" s="651"/>
      <c r="B7" s="707" t="s">
        <v>159</v>
      </c>
      <c r="C7" s="611"/>
      <c r="D7" s="611"/>
      <c r="E7" s="611"/>
      <c r="F7" s="611"/>
      <c r="G7" s="611"/>
      <c r="H7" s="611"/>
      <c r="I7" s="612"/>
      <c r="K7" s="652"/>
      <c r="L7" s="655"/>
      <c r="M7" s="654"/>
      <c r="N7" s="654"/>
      <c r="O7" s="654"/>
    </row>
    <row r="9" spans="1:20" x14ac:dyDescent="0.25">
      <c r="P9" s="68" t="s">
        <v>110</v>
      </c>
      <c r="Q9" s="614" t="s">
        <v>173</v>
      </c>
      <c r="R9" s="615"/>
      <c r="S9" s="615"/>
      <c r="T9" s="616"/>
    </row>
    <row r="10" spans="1:20" x14ac:dyDescent="0.25">
      <c r="O10" s="68" t="s">
        <v>654</v>
      </c>
      <c r="P10" s="68" t="e">
        <f>#REF!</f>
        <v>#REF!</v>
      </c>
      <c r="Q10" s="598" t="e">
        <f>#REF!</f>
        <v>#REF!</v>
      </c>
      <c r="R10" s="626"/>
      <c r="S10" s="626"/>
      <c r="T10" s="627"/>
    </row>
    <row r="11" spans="1:20" x14ac:dyDescent="0.25">
      <c r="O11" s="68" t="s">
        <v>655</v>
      </c>
      <c r="P11" s="68" t="e">
        <f>#REF!</f>
        <v>#REF!</v>
      </c>
      <c r="Q11" s="598" t="e">
        <f>#REF!</f>
        <v>#REF!</v>
      </c>
      <c r="R11" s="599"/>
      <c r="S11" s="599"/>
      <c r="T11" s="600"/>
    </row>
    <row r="12" spans="1:20" x14ac:dyDescent="0.25">
      <c r="P12" s="68" t="s">
        <v>112</v>
      </c>
      <c r="Q12" s="601">
        <v>0.9</v>
      </c>
      <c r="R12" s="602"/>
      <c r="S12" s="602"/>
      <c r="T12" s="603"/>
    </row>
    <row r="13" spans="1:20" x14ac:dyDescent="0.25">
      <c r="P13" s="68" t="s">
        <v>113</v>
      </c>
      <c r="Q13" s="604" t="e">
        <f>Q11/Q12</f>
        <v>#REF!</v>
      </c>
      <c r="R13" s="605"/>
      <c r="S13" s="605"/>
      <c r="T13" s="606"/>
    </row>
    <row r="14" spans="1:20" x14ac:dyDescent="0.25">
      <c r="P14" s="68" t="s">
        <v>114</v>
      </c>
      <c r="Q14" s="607" t="s">
        <v>169</v>
      </c>
      <c r="R14" s="608"/>
      <c r="S14" s="608"/>
      <c r="T14" s="609"/>
    </row>
    <row r="28" spans="1:21" x14ac:dyDescent="0.25">
      <c r="A28" s="688" t="s">
        <v>486</v>
      </c>
      <c r="B28" s="688"/>
      <c r="C28" s="688"/>
      <c r="D28" s="688"/>
      <c r="E28" s="688"/>
      <c r="F28" s="688"/>
      <c r="G28" s="688"/>
      <c r="H28" s="688"/>
      <c r="I28" s="688"/>
    </row>
    <row r="29" spans="1:21" ht="21.75" customHeight="1" x14ac:dyDescent="0.25">
      <c r="A29" s="650" t="s">
        <v>160</v>
      </c>
      <c r="B29" s="610" t="s">
        <v>86</v>
      </c>
      <c r="C29" s="730"/>
      <c r="D29" s="730"/>
      <c r="E29" s="730"/>
      <c r="F29" s="730"/>
      <c r="G29" s="730"/>
      <c r="H29" s="730"/>
      <c r="I29" s="731"/>
    </row>
    <row r="30" spans="1:21" ht="43.5" customHeight="1" x14ac:dyDescent="0.25">
      <c r="A30" s="651"/>
      <c r="B30" s="707" t="s">
        <v>164</v>
      </c>
      <c r="C30" s="728"/>
      <c r="D30" s="728"/>
      <c r="E30" s="728"/>
      <c r="F30" s="728"/>
      <c r="G30" s="728"/>
      <c r="H30" s="728"/>
      <c r="I30" s="729"/>
    </row>
    <row r="32" spans="1:21" x14ac:dyDescent="0.25">
      <c r="Q32" s="68" t="s">
        <v>110</v>
      </c>
      <c r="R32" s="614" t="s">
        <v>165</v>
      </c>
      <c r="S32" s="615"/>
      <c r="T32" s="615"/>
      <c r="U32" s="616"/>
    </row>
    <row r="33" spans="16:21" x14ac:dyDescent="0.25">
      <c r="P33" s="68" t="s">
        <v>654</v>
      </c>
      <c r="Q33" s="68">
        <f>Table_Query_from_GLOBAL_RDS_173[RU_YEAR]</f>
        <v>0</v>
      </c>
      <c r="R33" s="598">
        <f>P2_ONTIME_RU!P3/100</f>
        <v>0</v>
      </c>
      <c r="S33" s="626"/>
      <c r="T33" s="626"/>
      <c r="U33" s="627"/>
    </row>
    <row r="34" spans="16:21" x14ac:dyDescent="0.25">
      <c r="P34" s="68" t="s">
        <v>655</v>
      </c>
      <c r="Q34" s="68">
        <f>Table_Query_from_GLOBAL_RDS_274[RU_YEAR]</f>
        <v>0</v>
      </c>
      <c r="R34" s="598">
        <f>P2_ONTIME_RU!W3/100</f>
        <v>0</v>
      </c>
      <c r="S34" s="599"/>
      <c r="T34" s="599"/>
      <c r="U34" s="600"/>
    </row>
    <row r="35" spans="16:21" x14ac:dyDescent="0.25">
      <c r="Q35" s="68" t="s">
        <v>112</v>
      </c>
      <c r="R35" s="601">
        <v>0.45</v>
      </c>
      <c r="S35" s="602"/>
      <c r="T35" s="602"/>
      <c r="U35" s="603"/>
    </row>
    <row r="36" spans="16:21" x14ac:dyDescent="0.25">
      <c r="Q36" s="68" t="s">
        <v>113</v>
      </c>
      <c r="R36" s="604">
        <f>R34/R35</f>
        <v>0</v>
      </c>
      <c r="S36" s="605"/>
      <c r="T36" s="605"/>
      <c r="U36" s="606"/>
    </row>
    <row r="37" spans="16:21" x14ac:dyDescent="0.25">
      <c r="Q37" s="68" t="s">
        <v>114</v>
      </c>
      <c r="R37" s="607" t="s">
        <v>169</v>
      </c>
      <c r="S37" s="608"/>
      <c r="T37" s="608"/>
      <c r="U37" s="609"/>
    </row>
    <row r="51" spans="1:21" x14ac:dyDescent="0.25">
      <c r="A51" s="631" t="s">
        <v>484</v>
      </c>
      <c r="B51" s="631"/>
      <c r="C51" s="631"/>
      <c r="D51" s="631"/>
      <c r="E51" s="631"/>
      <c r="F51" s="631"/>
      <c r="G51" s="631"/>
      <c r="H51" s="631"/>
      <c r="I51" s="631"/>
    </row>
    <row r="52" spans="1:21" ht="15" customHeight="1" x14ac:dyDescent="0.25">
      <c r="A52" s="650" t="s">
        <v>161</v>
      </c>
      <c r="B52" s="610" t="s">
        <v>467</v>
      </c>
      <c r="C52" s="611"/>
      <c r="D52" s="611"/>
      <c r="E52" s="611"/>
      <c r="F52" s="611"/>
      <c r="G52" s="611"/>
      <c r="H52" s="611"/>
      <c r="I52" s="612"/>
    </row>
    <row r="53" spans="1:21" ht="48" customHeight="1" x14ac:dyDescent="0.25">
      <c r="A53" s="651"/>
      <c r="B53" s="707" t="str">
        <f>'KPI Mapping'!F47</f>
        <v>Increases profitabiliy through reduced prduction cost, reduced rework costs and reduced overall production cycle times</v>
      </c>
      <c r="C53" s="728"/>
      <c r="D53" s="728"/>
      <c r="E53" s="728"/>
      <c r="F53" s="728"/>
      <c r="G53" s="728"/>
      <c r="H53" s="728"/>
      <c r="I53" s="729"/>
    </row>
    <row r="55" spans="1:21" x14ac:dyDescent="0.25">
      <c r="Q55" s="68" t="s">
        <v>110</v>
      </c>
      <c r="R55" s="614" t="s">
        <v>514</v>
      </c>
      <c r="S55" s="615"/>
      <c r="T55" s="615"/>
      <c r="U55" s="616"/>
    </row>
    <row r="56" spans="1:21" x14ac:dyDescent="0.25">
      <c r="P56" s="68" t="s">
        <v>654</v>
      </c>
      <c r="Q56" s="518">
        <f>Table_Query_from_GLOBAL_RDS_378[RU_YEAR]</f>
        <v>2015</v>
      </c>
      <c r="R56" s="598">
        <f>P3_PRODUCTION_RU!AE3/100</f>
        <v>9.6500000000000002E-2</v>
      </c>
      <c r="S56" s="599"/>
      <c r="T56" s="599"/>
      <c r="U56" s="600"/>
    </row>
    <row r="57" spans="1:21" x14ac:dyDescent="0.25">
      <c r="P57" s="68" t="s">
        <v>655</v>
      </c>
      <c r="Q57" s="68">
        <f>Table_Query_from_GLOBAL_RDS_479[RU_YEAR]</f>
        <v>2016</v>
      </c>
      <c r="R57" s="598">
        <f>P3_PRODUCTION_RU!AN3/100</f>
        <v>1.3999999999999999E-2</v>
      </c>
      <c r="S57" s="599"/>
      <c r="T57" s="599"/>
      <c r="U57" s="600"/>
    </row>
    <row r="58" spans="1:21" x14ac:dyDescent="0.25">
      <c r="Q58" s="68" t="s">
        <v>112</v>
      </c>
      <c r="R58" s="598">
        <v>0.85</v>
      </c>
      <c r="S58" s="599"/>
      <c r="T58" s="599"/>
      <c r="U58" s="600"/>
    </row>
    <row r="59" spans="1:21" x14ac:dyDescent="0.25">
      <c r="Q59" s="68" t="s">
        <v>113</v>
      </c>
      <c r="R59" s="628">
        <f>R57/R58</f>
        <v>1.6470588235294115E-2</v>
      </c>
      <c r="S59" s="626"/>
      <c r="T59" s="626"/>
      <c r="U59" s="627"/>
    </row>
    <row r="60" spans="1:21" x14ac:dyDescent="0.25">
      <c r="Q60" s="68" t="s">
        <v>114</v>
      </c>
      <c r="R60" s="607" t="s">
        <v>169</v>
      </c>
      <c r="S60" s="608"/>
      <c r="T60" s="608"/>
      <c r="U60" s="609"/>
    </row>
    <row r="72" spans="1:21" ht="29.25" customHeight="1" x14ac:dyDescent="0.25"/>
    <row r="73" spans="1:21" ht="12.75" customHeight="1" x14ac:dyDescent="0.25">
      <c r="A73" s="717" t="s">
        <v>487</v>
      </c>
      <c r="B73" s="717"/>
      <c r="C73" s="717"/>
      <c r="D73" s="717"/>
      <c r="E73" s="717"/>
      <c r="F73" s="717"/>
      <c r="G73" s="717"/>
      <c r="H73" s="717"/>
    </row>
    <row r="74" spans="1:21" ht="15" customHeight="1" x14ac:dyDescent="0.25">
      <c r="A74" s="650" t="s">
        <v>471</v>
      </c>
      <c r="B74" s="610" t="s">
        <v>449</v>
      </c>
      <c r="C74" s="715"/>
      <c r="D74" s="715"/>
      <c r="E74" s="715"/>
      <c r="F74" s="715"/>
      <c r="G74" s="715"/>
      <c r="H74" s="715"/>
      <c r="I74" s="716"/>
    </row>
    <row r="75" spans="1:21" ht="23.25" customHeight="1" x14ac:dyDescent="0.25">
      <c r="A75" s="651"/>
      <c r="B75" s="659" t="s">
        <v>130</v>
      </c>
      <c r="C75" s="713"/>
      <c r="D75" s="713"/>
      <c r="E75" s="713"/>
      <c r="F75" s="713"/>
      <c r="G75" s="713"/>
      <c r="H75" s="713"/>
      <c r="I75" s="714"/>
    </row>
    <row r="76" spans="1:21" x14ac:dyDescent="0.25">
      <c r="Q76" s="68" t="s">
        <v>110</v>
      </c>
      <c r="R76" s="614" t="s">
        <v>448</v>
      </c>
      <c r="S76" s="615"/>
      <c r="T76" s="615"/>
      <c r="U76" s="616"/>
    </row>
    <row r="77" spans="1:21" x14ac:dyDescent="0.25">
      <c r="P77" s="68" t="s">
        <v>654</v>
      </c>
      <c r="Q77" s="68">
        <f>Table_Query_from_GLOBAL_RDS_470[RU_YEAR]</f>
        <v>2015</v>
      </c>
      <c r="R77" s="725">
        <f>P1_WC_RU!AP3/100</f>
        <v>0</v>
      </c>
      <c r="S77" s="726"/>
      <c r="T77" s="726"/>
      <c r="U77" s="727"/>
    </row>
    <row r="78" spans="1:21" x14ac:dyDescent="0.25">
      <c r="P78" s="68" t="s">
        <v>655</v>
      </c>
      <c r="Q78" s="68">
        <f>Table_Query_from_GLOBAL_RDS_571[RU_YEAR]</f>
        <v>2016</v>
      </c>
      <c r="R78" s="725">
        <f>P1_WC_RU!AY3/100</f>
        <v>0</v>
      </c>
      <c r="S78" s="726"/>
      <c r="T78" s="726"/>
      <c r="U78" s="727"/>
    </row>
    <row r="79" spans="1:21" x14ac:dyDescent="0.25">
      <c r="Q79" s="68" t="s">
        <v>112</v>
      </c>
      <c r="R79" s="719">
        <v>0.01</v>
      </c>
      <c r="S79" s="720"/>
      <c r="T79" s="720"/>
      <c r="U79" s="721"/>
    </row>
    <row r="80" spans="1:21" x14ac:dyDescent="0.25">
      <c r="Q80" s="68" t="s">
        <v>113</v>
      </c>
      <c r="R80" s="722">
        <f>R78/R79</f>
        <v>0</v>
      </c>
      <c r="S80" s="723"/>
      <c r="T80" s="723"/>
      <c r="U80" s="724"/>
    </row>
    <row r="81" spans="1:21" x14ac:dyDescent="0.25">
      <c r="Q81" s="68" t="s">
        <v>114</v>
      </c>
      <c r="R81" s="607" t="s">
        <v>169</v>
      </c>
      <c r="S81" s="608"/>
      <c r="T81" s="608"/>
      <c r="U81" s="609"/>
    </row>
    <row r="96" spans="1:21" ht="12.75" customHeight="1" x14ac:dyDescent="0.25">
      <c r="A96" s="718" t="s">
        <v>487</v>
      </c>
      <c r="B96" s="718"/>
      <c r="C96" s="718"/>
      <c r="D96" s="718"/>
      <c r="E96" s="718"/>
      <c r="F96" s="718"/>
      <c r="G96" s="718"/>
      <c r="H96" s="718"/>
    </row>
    <row r="97" spans="1:8" x14ac:dyDescent="0.25">
      <c r="A97" s="157"/>
      <c r="B97" s="157"/>
      <c r="C97" s="157"/>
      <c r="D97" s="157"/>
      <c r="E97" s="157"/>
      <c r="F97" s="157"/>
      <c r="G97" s="157"/>
      <c r="H97" s="157"/>
    </row>
  </sheetData>
  <mergeCells count="43">
    <mergeCell ref="A6:A7"/>
    <mergeCell ref="K6:K7"/>
    <mergeCell ref="L6:O6"/>
    <mergeCell ref="L7:O7"/>
    <mergeCell ref="B6:I6"/>
    <mergeCell ref="B7:I7"/>
    <mergeCell ref="R33:U33"/>
    <mergeCell ref="B29:I29"/>
    <mergeCell ref="B30:I30"/>
    <mergeCell ref="R34:U34"/>
    <mergeCell ref="Q9:T9"/>
    <mergeCell ref="Q10:T10"/>
    <mergeCell ref="Q11:T11"/>
    <mergeCell ref="Q12:T12"/>
    <mergeCell ref="Q13:T13"/>
    <mergeCell ref="Q14:T14"/>
    <mergeCell ref="A28:I28"/>
    <mergeCell ref="A29:A30"/>
    <mergeCell ref="R32:U32"/>
    <mergeCell ref="R56:U56"/>
    <mergeCell ref="R57:U57"/>
    <mergeCell ref="R58:U58"/>
    <mergeCell ref="R59:U59"/>
    <mergeCell ref="B52:I52"/>
    <mergeCell ref="B53:I53"/>
    <mergeCell ref="R35:U35"/>
    <mergeCell ref="R36:U36"/>
    <mergeCell ref="R37:U37"/>
    <mergeCell ref="A52:A53"/>
    <mergeCell ref="R55:U55"/>
    <mergeCell ref="A51:I51"/>
    <mergeCell ref="B75:I75"/>
    <mergeCell ref="B74:I74"/>
    <mergeCell ref="A73:H73"/>
    <mergeCell ref="A96:H96"/>
    <mergeCell ref="R60:U60"/>
    <mergeCell ref="R81:U81"/>
    <mergeCell ref="A74:A75"/>
    <mergeCell ref="R79:U79"/>
    <mergeCell ref="R80:U80"/>
    <mergeCell ref="R76:U76"/>
    <mergeCell ref="R77:U77"/>
    <mergeCell ref="R78:U78"/>
  </mergeCells>
  <conditionalFormatting sqref="R36:U36">
    <cfRule type="iconSet" priority="5">
      <iconSet iconSet="3TrafficLights2">
        <cfvo type="percent" val="0"/>
        <cfvo type="percent" val="33"/>
        <cfvo type="percent" val="67"/>
      </iconSet>
    </cfRule>
  </conditionalFormatting>
  <conditionalFormatting sqref="Q13:T13">
    <cfRule type="iconSet" priority="4">
      <iconSet iconSet="3TrafficLights2">
        <cfvo type="percent" val="0"/>
        <cfvo type="percent" val="33"/>
        <cfvo type="percent" val="67"/>
      </iconSet>
    </cfRule>
  </conditionalFormatting>
  <conditionalFormatting sqref="R80:U80">
    <cfRule type="iconSet" priority="3">
      <iconSet iconSet="3TrafficLights2">
        <cfvo type="percent" val="0"/>
        <cfvo type="percent" val="33"/>
        <cfvo type="percent" val="67"/>
      </iconSet>
    </cfRule>
  </conditionalFormatting>
  <conditionalFormatting sqref="AC86">
    <cfRule type="iconSet" priority="2">
      <iconSet iconSet="4TrafficLights">
        <cfvo type="percent" val="0"/>
        <cfvo type="percent" val="25"/>
        <cfvo type="percent" val="50"/>
        <cfvo type="percent" val="75"/>
      </iconSet>
    </cfRule>
  </conditionalFormatting>
  <conditionalFormatting sqref="R59:U59">
    <cfRule type="iconSet" priority="1">
      <iconSet iconSet="3TrafficLights2">
        <cfvo type="percent" val="0"/>
        <cfvo type="percent" val="33"/>
        <cfvo type="percent" val="67"/>
      </iconSet>
    </cfRule>
  </conditionalFormatting>
  <pageMargins left="0.25" right="0.25" top="0.75" bottom="0.75" header="0.3" footer="0.3"/>
  <pageSetup scale="69" fitToHeight="0"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FFC000"/>
  </sheetPr>
  <dimension ref="A1:EO50"/>
  <sheetViews>
    <sheetView topLeftCell="R1" workbookViewId="0">
      <selection activeCell="AE3" sqref="AE3"/>
    </sheetView>
  </sheetViews>
  <sheetFormatPr defaultRowHeight="15" x14ac:dyDescent="0.25"/>
  <cols>
    <col min="1" max="1" width="26.42578125" customWidth="1"/>
    <col min="2" max="2" width="15" customWidth="1"/>
    <col min="4" max="4" width="11.42578125" customWidth="1"/>
    <col min="5" max="5" width="13.85546875" customWidth="1"/>
    <col min="6" max="6" width="22.140625" customWidth="1"/>
    <col min="7" max="7" width="21.42578125" customWidth="1"/>
    <col min="8" max="8" width="16.28515625" customWidth="1"/>
    <col min="9" max="9" width="9.85546875" customWidth="1"/>
    <col min="10" max="10" width="13.28515625" customWidth="1"/>
    <col min="12" max="12" width="11.42578125" customWidth="1"/>
    <col min="13" max="13" width="13.85546875" customWidth="1"/>
    <col min="14" max="14" width="9.140625" customWidth="1"/>
    <col min="15" max="15" width="12.140625" customWidth="1"/>
    <col min="16" max="16" width="18.42578125" customWidth="1"/>
    <col min="17" max="17" width="16.28515625" customWidth="1"/>
    <col min="18" max="18" width="9.85546875" customWidth="1"/>
    <col min="20" max="20" width="11.42578125" customWidth="1"/>
    <col min="21" max="21" width="13.85546875" customWidth="1"/>
    <col min="22" max="22" width="10.140625" customWidth="1"/>
    <col min="23" max="23" width="12.140625" customWidth="1"/>
    <col min="24" max="24" width="18.42578125" customWidth="1"/>
    <col min="25" max="25" width="16.28515625" customWidth="1"/>
    <col min="26" max="26" width="9.85546875" customWidth="1"/>
    <col min="28" max="28" width="11.42578125" customWidth="1"/>
    <col min="29" max="29" width="13.85546875" customWidth="1"/>
    <col min="30" max="30" width="9.140625" customWidth="1"/>
    <col min="31" max="31" width="12.140625" customWidth="1"/>
    <col min="32" max="32" width="18.42578125" customWidth="1"/>
    <col min="33" max="33" width="16.28515625" customWidth="1"/>
    <col min="34" max="34" width="9.85546875" customWidth="1"/>
    <col min="36" max="36" width="11.42578125" customWidth="1"/>
    <col min="37" max="37" width="13.85546875" customWidth="1"/>
    <col min="38" max="38" width="15.5703125" customWidth="1"/>
    <col min="39" max="39" width="16.28515625" customWidth="1"/>
    <col min="40" max="40" width="9.85546875" customWidth="1"/>
    <col min="42" max="42" width="11.42578125" customWidth="1"/>
    <col min="43" max="43" width="13.85546875" customWidth="1"/>
    <col min="44" max="44" width="15.5703125" customWidth="1"/>
    <col min="45" max="46" width="12.140625" customWidth="1"/>
    <col min="47" max="47" width="16.28515625" customWidth="1"/>
    <col min="48" max="48" width="9.85546875" customWidth="1"/>
    <col min="50" max="50" width="11.42578125" customWidth="1"/>
    <col min="51" max="51" width="13.85546875" customWidth="1"/>
    <col min="52" max="52" width="15.5703125" customWidth="1"/>
    <col min="53" max="53" width="12.140625" customWidth="1"/>
    <col min="54" max="54" width="11.140625" customWidth="1"/>
    <col min="55" max="55" width="16.28515625" customWidth="1"/>
    <col min="56" max="56" width="9.85546875" customWidth="1"/>
    <col min="58" max="58" width="11.42578125" customWidth="1"/>
    <col min="59" max="59" width="11.85546875" customWidth="1"/>
    <col min="60" max="60" width="10.140625" customWidth="1"/>
    <col min="61" max="61" width="13.85546875" customWidth="1"/>
    <col min="62" max="62" width="16.28515625" customWidth="1"/>
    <col min="63" max="63" width="9.85546875" customWidth="1"/>
    <col min="65" max="65" width="11.42578125" customWidth="1"/>
    <col min="66" max="66" width="11.85546875" customWidth="1"/>
    <col min="67" max="67" width="10.140625" customWidth="1"/>
    <col min="68" max="68" width="16.28515625" customWidth="1"/>
    <col min="69" max="69" width="11.42578125" customWidth="1"/>
    <col min="70" max="70" width="11.85546875" customWidth="1"/>
    <col min="71" max="71" width="9.140625" customWidth="1"/>
    <col min="72" max="72" width="11.85546875" customWidth="1"/>
    <col min="73" max="73" width="26.42578125" customWidth="1"/>
    <col min="74" max="74" width="10.140625" customWidth="1"/>
    <col min="75" max="75" width="11.42578125" customWidth="1"/>
    <col min="77" max="77" width="13" customWidth="1"/>
    <col min="78" max="78" width="10.140625" customWidth="1"/>
    <col min="79" max="79" width="11.42578125" customWidth="1"/>
    <col min="81" max="81" width="11.42578125" customWidth="1"/>
    <col min="82" max="82" width="13.85546875" customWidth="1"/>
    <col min="83" max="83" width="17.85546875" customWidth="1"/>
    <col min="84" max="84" width="19" customWidth="1"/>
    <col min="85" max="85" width="16.28515625" customWidth="1"/>
    <col min="86" max="86" width="9.85546875" customWidth="1"/>
    <col min="87" max="87" width="17.85546875" customWidth="1"/>
    <col min="88" max="88" width="11.42578125" customWidth="1"/>
    <col min="89" max="89" width="13.85546875" customWidth="1"/>
    <col min="90" max="90" width="17.85546875" customWidth="1"/>
    <col min="91" max="91" width="19" customWidth="1"/>
    <col min="92" max="92" width="16.28515625" customWidth="1"/>
    <col min="93" max="93" width="9.85546875" customWidth="1"/>
    <col min="94" max="94" width="17.85546875" customWidth="1"/>
    <col min="95" max="95" width="11.42578125" customWidth="1"/>
    <col min="96" max="96" width="13.85546875" customWidth="1"/>
    <col min="97" max="97" width="17.85546875" customWidth="1"/>
    <col min="98" max="98" width="19" customWidth="1"/>
    <col min="99" max="99" width="16.28515625" customWidth="1"/>
    <col min="100" max="100" width="9.85546875" customWidth="1"/>
    <col min="101" max="101" width="17.85546875" customWidth="1"/>
    <col min="102" max="102" width="16.85546875" customWidth="1"/>
    <col min="103" max="103" width="10.140625" customWidth="1"/>
    <col min="104" max="104" width="11.42578125" customWidth="1"/>
    <col min="105" max="105" width="15.5703125" customWidth="1"/>
    <col min="106" max="106" width="9.85546875" customWidth="1"/>
    <col min="108" max="108" width="16.85546875" customWidth="1"/>
    <col min="109" max="109" width="12.85546875" customWidth="1"/>
    <col min="110" max="110" width="10.5703125" customWidth="1"/>
    <col min="111" max="111" width="18.140625" customWidth="1"/>
    <col min="112" max="112" width="11.42578125" customWidth="1"/>
    <col min="114" max="114" width="12.85546875" customWidth="1"/>
    <col min="115" max="115" width="10.5703125" customWidth="1"/>
    <col min="116" max="116" width="18.140625" customWidth="1"/>
    <col min="117" max="117" width="11.42578125" customWidth="1"/>
    <col min="118" max="118" width="18.140625" customWidth="1"/>
    <col min="119" max="119" width="12.85546875" customWidth="1"/>
    <col min="120" max="120" width="10.5703125" customWidth="1"/>
    <col min="121" max="121" width="18.140625" customWidth="1"/>
    <col min="122" max="122" width="11.42578125" customWidth="1"/>
    <col min="123" max="123" width="18.140625" customWidth="1"/>
    <col min="124" max="124" width="12.85546875" customWidth="1"/>
    <col min="125" max="125" width="10.5703125" customWidth="1"/>
    <col min="126" max="126" width="18.140625" customWidth="1"/>
    <col min="127" max="127" width="11.42578125" customWidth="1"/>
    <col min="128" max="128" width="18.140625" customWidth="1"/>
    <col min="129" max="129" width="26.42578125" customWidth="1"/>
    <col min="130" max="130" width="11.140625" customWidth="1"/>
    <col min="131" max="131" width="12.140625" customWidth="1"/>
    <col min="132" max="134" width="8.85546875" customWidth="1"/>
    <col min="135" max="135" width="13.28515625" customWidth="1"/>
    <col min="136" max="136" width="8.85546875" customWidth="1"/>
    <col min="137" max="137" width="26.42578125" customWidth="1"/>
    <col min="138" max="139" width="10.140625" customWidth="1"/>
    <col min="140" max="140" width="16.5703125" customWidth="1"/>
    <col min="141" max="141" width="13.28515625" customWidth="1"/>
    <col min="142" max="142" width="11.42578125" customWidth="1"/>
    <col min="143" max="143" width="11.140625" customWidth="1"/>
    <col min="144" max="144" width="16.5703125" customWidth="1"/>
    <col min="145" max="145" width="13.28515625" customWidth="1"/>
    <col min="146" max="146" width="11.42578125" customWidth="1"/>
    <col min="147" max="147" width="11.140625" customWidth="1"/>
  </cols>
  <sheetData>
    <row r="1" spans="1:145" s="84" customFormat="1" x14ac:dyDescent="0.25">
      <c r="A1" s="561">
        <v>1</v>
      </c>
      <c r="B1" s="563" t="s">
        <v>1055</v>
      </c>
      <c r="D1" s="561">
        <v>2</v>
      </c>
      <c r="E1" s="732" t="s">
        <v>1059</v>
      </c>
      <c r="F1" s="732"/>
      <c r="G1" s="732"/>
      <c r="H1" s="732"/>
      <c r="I1" s="733"/>
      <c r="L1" s="561">
        <v>3</v>
      </c>
      <c r="M1" s="732" t="s">
        <v>1061</v>
      </c>
      <c r="N1" s="732"/>
      <c r="O1" s="732"/>
      <c r="P1" s="732"/>
      <c r="Q1" s="732"/>
      <c r="R1" s="733"/>
      <c r="T1" s="561">
        <v>4</v>
      </c>
      <c r="U1" s="732" t="s">
        <v>1062</v>
      </c>
      <c r="V1" s="732"/>
      <c r="W1" s="732"/>
      <c r="X1" s="732"/>
      <c r="Y1" s="732"/>
      <c r="Z1" s="733"/>
      <c r="AB1" s="561">
        <v>5</v>
      </c>
      <c r="AC1" s="732" t="s">
        <v>1063</v>
      </c>
      <c r="AD1" s="732"/>
      <c r="AE1" s="732"/>
      <c r="AF1" s="732"/>
      <c r="AG1" s="732"/>
      <c r="AH1" s="733"/>
      <c r="AJ1" s="561">
        <v>6</v>
      </c>
      <c r="AK1" s="732" t="s">
        <v>1066</v>
      </c>
      <c r="AL1" s="732"/>
      <c r="AM1" s="732"/>
      <c r="AN1" s="733"/>
      <c r="AP1" s="561">
        <v>7</v>
      </c>
      <c r="AQ1" s="732" t="s">
        <v>1067</v>
      </c>
      <c r="AR1" s="732"/>
      <c r="AS1" s="732"/>
      <c r="AT1" s="732"/>
      <c r="AU1" s="732"/>
      <c r="AV1" s="733"/>
      <c r="AX1" s="561">
        <v>8</v>
      </c>
      <c r="AY1" s="732" t="s">
        <v>1067</v>
      </c>
      <c r="AZ1" s="732"/>
      <c r="BA1" s="732"/>
      <c r="BB1" s="732"/>
      <c r="BC1" s="732"/>
      <c r="BD1" s="733"/>
      <c r="BF1" s="561">
        <v>9</v>
      </c>
      <c r="BG1" s="732" t="s">
        <v>1068</v>
      </c>
      <c r="BH1" s="732"/>
      <c r="BI1" s="732"/>
      <c r="BJ1" s="732"/>
      <c r="BK1" s="733"/>
      <c r="BM1" s="561">
        <v>10</v>
      </c>
      <c r="BN1" s="734" t="s">
        <v>1159</v>
      </c>
      <c r="BO1" s="733"/>
      <c r="BP1" s="567"/>
      <c r="BQ1" s="561">
        <v>11</v>
      </c>
      <c r="BR1" s="732" t="s">
        <v>1160</v>
      </c>
      <c r="BS1" s="733"/>
      <c r="BT1" s="567"/>
      <c r="BU1" s="561">
        <v>12</v>
      </c>
      <c r="BV1" s="562" t="s">
        <v>657</v>
      </c>
      <c r="BW1" s="563"/>
      <c r="BY1" s="561">
        <v>13</v>
      </c>
      <c r="BZ1" s="732" t="s">
        <v>1070</v>
      </c>
      <c r="CA1" s="733"/>
      <c r="CC1" s="561">
        <v>14</v>
      </c>
      <c r="CD1" s="732" t="s">
        <v>1073</v>
      </c>
      <c r="CE1" s="732"/>
      <c r="CF1" s="732"/>
      <c r="CG1" s="732"/>
      <c r="CH1" s="733"/>
      <c r="CI1" s="567"/>
      <c r="CJ1" s="570">
        <v>15</v>
      </c>
      <c r="CK1" s="732" t="s">
        <v>1276</v>
      </c>
      <c r="CL1" s="732"/>
      <c r="CM1" s="732"/>
      <c r="CN1" s="732"/>
      <c r="CO1" s="733"/>
      <c r="CP1" s="567"/>
      <c r="CQ1" s="570">
        <v>16</v>
      </c>
      <c r="CR1" s="732" t="s">
        <v>1276</v>
      </c>
      <c r="CS1" s="732"/>
      <c r="CT1" s="732"/>
      <c r="CU1" s="732"/>
      <c r="CV1" s="733"/>
      <c r="CW1" s="567"/>
      <c r="CX1" s="570">
        <v>17</v>
      </c>
      <c r="CY1" s="568" t="s">
        <v>626</v>
      </c>
      <c r="CZ1" s="568"/>
      <c r="DA1" s="569"/>
      <c r="DB1" s="567"/>
      <c r="DD1" s="9"/>
      <c r="DE1" s="561">
        <v>18</v>
      </c>
      <c r="DF1" s="562" t="s">
        <v>1284</v>
      </c>
      <c r="DG1" s="562"/>
      <c r="DH1" s="563"/>
      <c r="DI1" s="542"/>
      <c r="DJ1" s="561">
        <v>19</v>
      </c>
      <c r="DK1" s="562" t="s">
        <v>1285</v>
      </c>
      <c r="DL1" s="562"/>
      <c r="DM1" s="563"/>
      <c r="DN1" s="542"/>
      <c r="DO1" s="561">
        <v>20</v>
      </c>
      <c r="DP1" s="562" t="s">
        <v>1286</v>
      </c>
      <c r="DQ1" s="562"/>
      <c r="DR1" s="563"/>
      <c r="DS1" s="542"/>
      <c r="DT1" s="561">
        <v>20</v>
      </c>
      <c r="DU1" s="562" t="s">
        <v>1286</v>
      </c>
      <c r="DV1" s="562"/>
      <c r="DW1" s="563"/>
      <c r="DX1" s="552"/>
      <c r="DY1" s="561">
        <v>21</v>
      </c>
      <c r="DZ1" s="732" t="s">
        <v>1074</v>
      </c>
      <c r="EA1" s="732"/>
      <c r="EB1" s="732"/>
      <c r="EC1" s="732"/>
      <c r="ED1" s="732"/>
      <c r="EE1" s="733"/>
      <c r="EF1" s="567"/>
      <c r="EG1" s="561">
        <v>23</v>
      </c>
      <c r="EH1" s="732" t="s">
        <v>1162</v>
      </c>
      <c r="EI1" s="732"/>
      <c r="EJ1" s="732"/>
      <c r="EK1" s="732"/>
      <c r="EL1" s="732"/>
      <c r="EM1" s="733"/>
    </row>
    <row r="2" spans="1:145" x14ac:dyDescent="0.25">
      <c r="A2" t="s">
        <v>1002</v>
      </c>
      <c r="B2" t="s">
        <v>1003</v>
      </c>
      <c r="D2" t="s">
        <v>1004</v>
      </c>
      <c r="E2" t="s">
        <v>1005</v>
      </c>
      <c r="F2" t="s">
        <v>1006</v>
      </c>
      <c r="G2" t="s">
        <v>1007</v>
      </c>
      <c r="H2" t="s">
        <v>1053</v>
      </c>
      <c r="I2" t="s">
        <v>1054</v>
      </c>
      <c r="L2" t="s">
        <v>1004</v>
      </c>
      <c r="M2" t="s">
        <v>1005</v>
      </c>
      <c r="N2" t="s">
        <v>221</v>
      </c>
      <c r="O2" t="s">
        <v>242</v>
      </c>
      <c r="P2" t="s">
        <v>1008</v>
      </c>
      <c r="Q2" t="s">
        <v>1053</v>
      </c>
      <c r="R2" t="s">
        <v>1054</v>
      </c>
      <c r="T2" t="s">
        <v>1004</v>
      </c>
      <c r="U2" t="s">
        <v>1005</v>
      </c>
      <c r="V2" t="s">
        <v>221</v>
      </c>
      <c r="W2" t="s">
        <v>242</v>
      </c>
      <c r="X2" t="s">
        <v>1008</v>
      </c>
      <c r="Y2" t="s">
        <v>1053</v>
      </c>
      <c r="Z2" t="s">
        <v>1054</v>
      </c>
      <c r="AB2" t="s">
        <v>1004</v>
      </c>
      <c r="AC2" t="s">
        <v>1005</v>
      </c>
      <c r="AD2" t="s">
        <v>221</v>
      </c>
      <c r="AE2" t="s">
        <v>242</v>
      </c>
      <c r="AF2" t="s">
        <v>1008</v>
      </c>
      <c r="AG2" t="s">
        <v>1053</v>
      </c>
      <c r="AH2" t="s">
        <v>1054</v>
      </c>
      <c r="AJ2" t="s">
        <v>1004</v>
      </c>
      <c r="AK2" t="s">
        <v>1005</v>
      </c>
      <c r="AL2" t="s">
        <v>223</v>
      </c>
      <c r="AM2" t="s">
        <v>1053</v>
      </c>
      <c r="AN2" t="s">
        <v>1054</v>
      </c>
      <c r="AP2" t="s">
        <v>1004</v>
      </c>
      <c r="AQ2" t="s">
        <v>1005</v>
      </c>
      <c r="AR2" t="s">
        <v>223</v>
      </c>
      <c r="AS2" t="s">
        <v>221</v>
      </c>
      <c r="AT2" t="s">
        <v>222</v>
      </c>
      <c r="AU2" t="s">
        <v>1053</v>
      </c>
      <c r="AV2" t="s">
        <v>1054</v>
      </c>
      <c r="AX2" t="s">
        <v>1004</v>
      </c>
      <c r="AY2" t="s">
        <v>1005</v>
      </c>
      <c r="AZ2" t="s">
        <v>223</v>
      </c>
      <c r="BA2" t="s">
        <v>221</v>
      </c>
      <c r="BB2" t="s">
        <v>222</v>
      </c>
      <c r="BC2" t="s">
        <v>1053</v>
      </c>
      <c r="BD2" t="s">
        <v>1054</v>
      </c>
      <c r="BF2" t="s">
        <v>1004</v>
      </c>
      <c r="BG2" t="s">
        <v>1009</v>
      </c>
      <c r="BH2" t="s">
        <v>221</v>
      </c>
      <c r="BI2" t="s">
        <v>1005</v>
      </c>
      <c r="BJ2" t="s">
        <v>1053</v>
      </c>
      <c r="BK2" t="s">
        <v>1054</v>
      </c>
      <c r="BM2" t="s">
        <v>1004</v>
      </c>
      <c r="BN2" t="s">
        <v>1009</v>
      </c>
      <c r="BO2" t="s">
        <v>221</v>
      </c>
      <c r="BQ2" t="s">
        <v>1004</v>
      </c>
      <c r="BR2" t="s">
        <v>1009</v>
      </c>
      <c r="BS2" t="s">
        <v>221</v>
      </c>
      <c r="BU2" t="s">
        <v>1002</v>
      </c>
      <c r="BV2" t="s">
        <v>221</v>
      </c>
      <c r="BW2" t="s">
        <v>1004</v>
      </c>
      <c r="BY2" t="s">
        <v>220</v>
      </c>
      <c r="BZ2" t="s">
        <v>221</v>
      </c>
      <c r="CA2" t="s">
        <v>1004</v>
      </c>
      <c r="CC2" t="s">
        <v>1004</v>
      </c>
      <c r="CD2" t="s">
        <v>1005</v>
      </c>
      <c r="CE2" t="s">
        <v>1032</v>
      </c>
      <c r="CF2" t="s">
        <v>1033</v>
      </c>
      <c r="CG2" t="s">
        <v>1053</v>
      </c>
      <c r="CH2" t="s">
        <v>1054</v>
      </c>
      <c r="CJ2" t="s">
        <v>1004</v>
      </c>
      <c r="CK2" t="s">
        <v>1005</v>
      </c>
      <c r="CL2" t="s">
        <v>1032</v>
      </c>
      <c r="CM2" t="s">
        <v>1033</v>
      </c>
      <c r="CN2" t="s">
        <v>1053</v>
      </c>
      <c r="CO2" t="s">
        <v>1054</v>
      </c>
      <c r="CQ2" t="s">
        <v>1004</v>
      </c>
      <c r="CR2" t="s">
        <v>1005</v>
      </c>
      <c r="CS2" t="s">
        <v>1032</v>
      </c>
      <c r="CT2" t="s">
        <v>1033</v>
      </c>
      <c r="CU2" t="s">
        <v>1053</v>
      </c>
      <c r="CV2" t="s">
        <v>1054</v>
      </c>
      <c r="CX2" t="s">
        <v>490</v>
      </c>
      <c r="CY2" t="s">
        <v>221</v>
      </c>
      <c r="CZ2" t="s">
        <v>1004</v>
      </c>
      <c r="DA2" t="s">
        <v>223</v>
      </c>
      <c r="DE2" t="s">
        <v>219</v>
      </c>
      <c r="DF2" t="s">
        <v>242</v>
      </c>
      <c r="DG2" s="553" t="s">
        <v>1110</v>
      </c>
      <c r="DH2" s="553" t="s">
        <v>1004</v>
      </c>
      <c r="DJ2" t="s">
        <v>219</v>
      </c>
      <c r="DK2" t="s">
        <v>242</v>
      </c>
      <c r="DL2" s="553" t="s">
        <v>1110</v>
      </c>
      <c r="DM2" s="553" t="s">
        <v>1004</v>
      </c>
      <c r="DO2" t="s">
        <v>219</v>
      </c>
      <c r="DP2" t="s">
        <v>242</v>
      </c>
      <c r="DQ2" s="553" t="s">
        <v>1110</v>
      </c>
      <c r="DR2" s="553" t="s">
        <v>1004</v>
      </c>
      <c r="DT2" t="s">
        <v>219</v>
      </c>
      <c r="DU2" t="s">
        <v>242</v>
      </c>
      <c r="DV2" s="553" t="s">
        <v>1110</v>
      </c>
      <c r="DW2" s="553" t="s">
        <v>1004</v>
      </c>
      <c r="DY2" t="s">
        <v>1002</v>
      </c>
      <c r="DZ2" t="s">
        <v>1034</v>
      </c>
      <c r="EA2" t="s">
        <v>1035</v>
      </c>
      <c r="EB2" t="s">
        <v>1036</v>
      </c>
      <c r="EC2" t="s">
        <v>1037</v>
      </c>
      <c r="ED2" t="s">
        <v>1038</v>
      </c>
      <c r="EE2" t="s">
        <v>230</v>
      </c>
      <c r="EG2" t="s">
        <v>1002</v>
      </c>
      <c r="EH2" t="s">
        <v>672</v>
      </c>
      <c r="EI2" t="s">
        <v>1039</v>
      </c>
      <c r="EJ2" t="s">
        <v>1040</v>
      </c>
      <c r="EK2" t="s">
        <v>230</v>
      </c>
      <c r="EL2" t="s">
        <v>1004</v>
      </c>
      <c r="EM2" t="s">
        <v>241</v>
      </c>
    </row>
    <row r="3" spans="1:145" x14ac:dyDescent="0.25">
      <c r="B3">
        <v>14319.45</v>
      </c>
      <c r="D3">
        <v>2016</v>
      </c>
      <c r="E3">
        <v>1</v>
      </c>
      <c r="F3">
        <v>33456.199999999997</v>
      </c>
      <c r="G3">
        <v>11</v>
      </c>
      <c r="H3" t="s">
        <v>12</v>
      </c>
      <c r="I3">
        <v>6</v>
      </c>
      <c r="L3">
        <v>2015</v>
      </c>
      <c r="M3">
        <v>1</v>
      </c>
      <c r="N3">
        <v>17814080</v>
      </c>
      <c r="O3">
        <v>12675792.76</v>
      </c>
      <c r="P3">
        <v>140.54</v>
      </c>
      <c r="Q3" t="s">
        <v>12</v>
      </c>
      <c r="R3">
        <v>6</v>
      </c>
      <c r="T3">
        <v>2015</v>
      </c>
      <c r="U3" t="s">
        <v>1253</v>
      </c>
      <c r="V3">
        <v>281496679</v>
      </c>
      <c r="W3">
        <v>152109513.15000001</v>
      </c>
      <c r="X3">
        <f>Table_Query_from_Global_PLA_3[SALES]/Table_Query_from_Global_PLA_3[BUDGET]</f>
        <v>1.8506184995964534</v>
      </c>
      <c r="AB3">
        <v>2016</v>
      </c>
      <c r="AC3">
        <v>0</v>
      </c>
      <c r="AD3">
        <v>11163687</v>
      </c>
      <c r="AE3">
        <v>152109513.15000001</v>
      </c>
      <c r="AF3">
        <f>Table_Query_from_Global_PLA_4[SALES]/Table_Query_from_Global_PLA_4[BUDGET]</f>
        <v>7.3392431339854042E-2</v>
      </c>
      <c r="AJ3">
        <v>2015</v>
      </c>
      <c r="AK3" t="s">
        <v>1247</v>
      </c>
      <c r="AL3">
        <v>83.04</v>
      </c>
      <c r="AM3" t="s">
        <v>12</v>
      </c>
      <c r="AN3">
        <v>6</v>
      </c>
      <c r="AP3">
        <v>2015</v>
      </c>
      <c r="AQ3" t="s">
        <v>1253</v>
      </c>
      <c r="AR3">
        <v>82</v>
      </c>
      <c r="AS3">
        <v>281549109.91000003</v>
      </c>
      <c r="AT3">
        <v>51680693.479999997</v>
      </c>
      <c r="AX3">
        <v>2016</v>
      </c>
      <c r="AY3" t="s">
        <v>1253</v>
      </c>
      <c r="AZ3">
        <v>74</v>
      </c>
      <c r="BA3">
        <v>12112378.41</v>
      </c>
      <c r="BB3">
        <v>3090892.95</v>
      </c>
      <c r="BF3">
        <v>2014</v>
      </c>
      <c r="BG3" t="s">
        <v>101</v>
      </c>
      <c r="BH3">
        <v>1560888</v>
      </c>
      <c r="BI3">
        <v>0</v>
      </c>
      <c r="BM3">
        <v>2015</v>
      </c>
      <c r="BO3">
        <v>480592</v>
      </c>
      <c r="BQ3">
        <v>2016</v>
      </c>
      <c r="BS3">
        <v>237462</v>
      </c>
      <c r="BU3" t="s">
        <v>1338</v>
      </c>
      <c r="BV3">
        <v>141707660</v>
      </c>
      <c r="BW3">
        <v>2015</v>
      </c>
      <c r="BY3" t="s">
        <v>101</v>
      </c>
      <c r="BZ3">
        <v>1560888</v>
      </c>
      <c r="CA3">
        <v>2014</v>
      </c>
      <c r="CC3">
        <v>2014</v>
      </c>
      <c r="CD3">
        <v>10</v>
      </c>
      <c r="CE3">
        <v>520296</v>
      </c>
      <c r="CF3">
        <v>570.5</v>
      </c>
      <c r="CG3" t="s">
        <v>6</v>
      </c>
      <c r="CH3">
        <v>3</v>
      </c>
      <c r="CJ3">
        <v>2015</v>
      </c>
      <c r="CK3">
        <v>0</v>
      </c>
      <c r="CL3">
        <v>37546.639999999999</v>
      </c>
      <c r="CM3">
        <v>240.55</v>
      </c>
      <c r="CQ3">
        <v>2016</v>
      </c>
      <c r="CR3" t="s">
        <v>1253</v>
      </c>
      <c r="CS3">
        <v>10768.75</v>
      </c>
      <c r="CT3">
        <v>53.62</v>
      </c>
      <c r="CX3" t="s">
        <v>495</v>
      </c>
      <c r="CY3">
        <v>1560888</v>
      </c>
      <c r="CZ3">
        <v>2014</v>
      </c>
      <c r="DA3">
        <v>0</v>
      </c>
      <c r="DE3" t="s">
        <v>1183</v>
      </c>
      <c r="DF3">
        <v>6.56</v>
      </c>
      <c r="DG3">
        <v>93.44</v>
      </c>
      <c r="DH3">
        <v>2016</v>
      </c>
      <c r="DJ3" t="s">
        <v>1181</v>
      </c>
      <c r="DK3">
        <v>40.39</v>
      </c>
      <c r="DL3">
        <v>59.61</v>
      </c>
      <c r="DM3">
        <v>2016</v>
      </c>
      <c r="DO3" t="s">
        <v>1182</v>
      </c>
      <c r="DP3">
        <v>26.03</v>
      </c>
      <c r="DQ3">
        <v>73.97</v>
      </c>
      <c r="DR3">
        <v>2016</v>
      </c>
      <c r="DY3" t="s">
        <v>1316</v>
      </c>
      <c r="DZ3">
        <v>118663.55</v>
      </c>
      <c r="EA3">
        <v>417329.44</v>
      </c>
      <c r="EE3" t="s">
        <v>1317</v>
      </c>
      <c r="EH3">
        <v>480592</v>
      </c>
      <c r="EJ3">
        <v>480592</v>
      </c>
      <c r="EK3" t="s">
        <v>1315</v>
      </c>
      <c r="EL3">
        <v>2015</v>
      </c>
    </row>
    <row r="4" spans="1:145" x14ac:dyDescent="0.25">
      <c r="A4" t="s">
        <v>1322</v>
      </c>
      <c r="B4">
        <v>23501.46</v>
      </c>
      <c r="D4">
        <v>2016</v>
      </c>
      <c r="E4">
        <v>2</v>
      </c>
      <c r="F4">
        <v>26478.89</v>
      </c>
      <c r="G4">
        <v>3</v>
      </c>
      <c r="H4" t="s">
        <v>8</v>
      </c>
      <c r="I4">
        <v>7</v>
      </c>
      <c r="L4">
        <v>2015</v>
      </c>
      <c r="M4">
        <v>2</v>
      </c>
      <c r="N4">
        <v>15491948</v>
      </c>
      <c r="O4">
        <v>12675792.76</v>
      </c>
      <c r="P4">
        <v>122.22</v>
      </c>
      <c r="Q4" t="s">
        <v>8</v>
      </c>
      <c r="R4">
        <v>7</v>
      </c>
      <c r="AJ4">
        <v>2015</v>
      </c>
      <c r="AK4" t="s">
        <v>1248</v>
      </c>
      <c r="AL4">
        <v>85.65</v>
      </c>
      <c r="AM4" t="s">
        <v>8</v>
      </c>
      <c r="AN4">
        <v>7</v>
      </c>
      <c r="BF4">
        <v>2015</v>
      </c>
      <c r="BH4">
        <v>480592</v>
      </c>
      <c r="BI4">
        <v>0</v>
      </c>
      <c r="BM4">
        <v>2015</v>
      </c>
      <c r="BN4" t="s">
        <v>101</v>
      </c>
      <c r="BO4">
        <v>281016087</v>
      </c>
      <c r="BQ4">
        <v>2016</v>
      </c>
      <c r="BR4" t="s">
        <v>101</v>
      </c>
      <c r="BS4">
        <v>10926225</v>
      </c>
      <c r="BU4" t="s">
        <v>1340</v>
      </c>
      <c r="BV4">
        <v>74128402</v>
      </c>
      <c r="BW4">
        <v>2015</v>
      </c>
      <c r="BZ4">
        <v>480592</v>
      </c>
      <c r="CA4">
        <v>2015</v>
      </c>
      <c r="CC4">
        <v>2014</v>
      </c>
      <c r="CD4">
        <v>7</v>
      </c>
      <c r="CE4">
        <v>0</v>
      </c>
      <c r="CF4">
        <v>0</v>
      </c>
      <c r="CG4" t="s">
        <v>14</v>
      </c>
      <c r="CH4">
        <v>12</v>
      </c>
      <c r="CX4" t="s">
        <v>495</v>
      </c>
      <c r="CY4">
        <v>271306083</v>
      </c>
      <c r="CZ4">
        <v>2015</v>
      </c>
      <c r="DA4">
        <v>42.31</v>
      </c>
      <c r="DE4" t="s">
        <v>1183</v>
      </c>
      <c r="DF4">
        <v>184.39</v>
      </c>
      <c r="DG4">
        <v>0</v>
      </c>
      <c r="DH4">
        <v>2015</v>
      </c>
      <c r="DJ4" t="s">
        <v>1181</v>
      </c>
      <c r="DK4">
        <v>191.13</v>
      </c>
      <c r="DL4">
        <v>0</v>
      </c>
      <c r="DM4">
        <v>2015</v>
      </c>
      <c r="DO4" t="s">
        <v>1182</v>
      </c>
      <c r="DP4">
        <v>261.64999999999998</v>
      </c>
      <c r="DQ4">
        <v>0</v>
      </c>
      <c r="DR4">
        <v>2015</v>
      </c>
      <c r="DY4" t="s">
        <v>1318</v>
      </c>
      <c r="DZ4">
        <v>452581.52</v>
      </c>
      <c r="EA4">
        <v>1365340</v>
      </c>
      <c r="EE4" t="s">
        <v>1319</v>
      </c>
      <c r="EH4">
        <v>237462</v>
      </c>
      <c r="EJ4">
        <v>237462</v>
      </c>
      <c r="EK4" t="s">
        <v>1315</v>
      </c>
      <c r="EL4">
        <v>2016</v>
      </c>
    </row>
    <row r="5" spans="1:145" x14ac:dyDescent="0.25">
      <c r="A5" t="s">
        <v>1320</v>
      </c>
      <c r="B5">
        <v>53245.53</v>
      </c>
      <c r="D5">
        <v>2016</v>
      </c>
      <c r="E5">
        <v>3</v>
      </c>
      <c r="F5">
        <v>4540.18</v>
      </c>
      <c r="G5">
        <v>3</v>
      </c>
      <c r="H5" t="s">
        <v>10</v>
      </c>
      <c r="I5">
        <v>8</v>
      </c>
      <c r="L5">
        <v>2015</v>
      </c>
      <c r="M5">
        <v>3</v>
      </c>
      <c r="N5">
        <v>30904773</v>
      </c>
      <c r="O5">
        <v>12675792.76</v>
      </c>
      <c r="P5">
        <v>243.81</v>
      </c>
      <c r="Q5" t="s">
        <v>10</v>
      </c>
      <c r="R5">
        <v>8</v>
      </c>
      <c r="AJ5">
        <v>2015</v>
      </c>
      <c r="AK5" t="s">
        <v>1249</v>
      </c>
      <c r="AL5">
        <v>85.3</v>
      </c>
      <c r="AM5" t="s">
        <v>10</v>
      </c>
      <c r="AN5">
        <v>8</v>
      </c>
      <c r="BF5">
        <v>2015</v>
      </c>
      <c r="BG5" t="s">
        <v>101</v>
      </c>
      <c r="BH5">
        <v>281016087</v>
      </c>
      <c r="BI5">
        <v>0</v>
      </c>
      <c r="BU5" t="s">
        <v>1334</v>
      </c>
      <c r="BV5">
        <v>27577841</v>
      </c>
      <c r="BW5">
        <v>2015</v>
      </c>
      <c r="BY5" t="s">
        <v>101</v>
      </c>
      <c r="BZ5">
        <v>281016087</v>
      </c>
      <c r="CA5">
        <v>2015</v>
      </c>
      <c r="CC5">
        <v>2015</v>
      </c>
      <c r="CD5">
        <v>8</v>
      </c>
      <c r="CE5">
        <v>36431.279999999999</v>
      </c>
      <c r="CF5">
        <v>334.9</v>
      </c>
      <c r="CG5" t="s">
        <v>7</v>
      </c>
      <c r="CH5">
        <v>1</v>
      </c>
      <c r="CX5" t="s">
        <v>491</v>
      </c>
      <c r="CY5">
        <v>10190596</v>
      </c>
      <c r="CZ5">
        <v>2015</v>
      </c>
      <c r="DA5">
        <v>28.91</v>
      </c>
      <c r="DE5" t="s">
        <v>1183</v>
      </c>
      <c r="DF5">
        <v>1.04</v>
      </c>
      <c r="DG5">
        <v>98.96</v>
      </c>
      <c r="DH5">
        <v>2014</v>
      </c>
      <c r="DY5" t="s">
        <v>1320</v>
      </c>
      <c r="DZ5">
        <v>133805.53</v>
      </c>
      <c r="EA5">
        <v>451903</v>
      </c>
      <c r="EE5" t="s">
        <v>1321</v>
      </c>
      <c r="EG5" t="s">
        <v>1316</v>
      </c>
      <c r="EH5">
        <v>417328</v>
      </c>
      <c r="EI5">
        <v>1.44</v>
      </c>
      <c r="EJ5">
        <v>417329.44</v>
      </c>
      <c r="EK5" t="s">
        <v>1317</v>
      </c>
      <c r="EL5">
        <v>2015</v>
      </c>
    </row>
    <row r="6" spans="1:145" x14ac:dyDescent="0.25">
      <c r="A6" t="s">
        <v>1324</v>
      </c>
      <c r="B6">
        <v>14656.34</v>
      </c>
      <c r="D6">
        <v>2015</v>
      </c>
      <c r="E6">
        <v>5</v>
      </c>
      <c r="F6">
        <v>2239.7399999999998</v>
      </c>
      <c r="G6">
        <v>2</v>
      </c>
      <c r="H6" t="s">
        <v>11</v>
      </c>
      <c r="I6">
        <v>10</v>
      </c>
      <c r="L6">
        <v>2015</v>
      </c>
      <c r="M6">
        <v>4</v>
      </c>
      <c r="N6">
        <v>26460562</v>
      </c>
      <c r="O6">
        <v>12675792.76</v>
      </c>
      <c r="P6">
        <v>208.75</v>
      </c>
      <c r="Q6" t="s">
        <v>5</v>
      </c>
      <c r="R6">
        <v>9</v>
      </c>
      <c r="AJ6">
        <v>2015</v>
      </c>
      <c r="AK6" t="s">
        <v>1250</v>
      </c>
      <c r="AL6">
        <v>84.18</v>
      </c>
      <c r="AM6" t="s">
        <v>5</v>
      </c>
      <c r="AN6">
        <v>9</v>
      </c>
      <c r="BF6">
        <v>2016</v>
      </c>
      <c r="BH6">
        <v>237462</v>
      </c>
      <c r="BI6">
        <v>0</v>
      </c>
      <c r="BU6" t="s">
        <v>1344</v>
      </c>
      <c r="BV6">
        <v>21327292</v>
      </c>
      <c r="BW6">
        <v>2015</v>
      </c>
      <c r="BZ6">
        <v>237462</v>
      </c>
      <c r="CA6">
        <v>2016</v>
      </c>
      <c r="CC6">
        <v>2015</v>
      </c>
      <c r="CD6">
        <v>9</v>
      </c>
      <c r="CE6">
        <v>27052</v>
      </c>
      <c r="CF6">
        <v>343.44</v>
      </c>
      <c r="CG6" t="s">
        <v>15</v>
      </c>
      <c r="CH6">
        <v>2</v>
      </c>
      <c r="CX6" t="s">
        <v>495</v>
      </c>
      <c r="CY6">
        <v>10508479</v>
      </c>
      <c r="CZ6">
        <v>2016</v>
      </c>
      <c r="DA6">
        <v>43.11</v>
      </c>
      <c r="DY6" t="s">
        <v>1322</v>
      </c>
      <c r="DZ6">
        <v>125473.46</v>
      </c>
      <c r="EA6">
        <v>674679</v>
      </c>
      <c r="EE6" t="s">
        <v>1323</v>
      </c>
      <c r="EG6" t="s">
        <v>1316</v>
      </c>
      <c r="EH6">
        <v>116064</v>
      </c>
      <c r="EI6">
        <v>2599.5500000000002</v>
      </c>
      <c r="EJ6">
        <v>118663.55</v>
      </c>
      <c r="EK6" t="s">
        <v>1317</v>
      </c>
      <c r="EL6">
        <v>2016</v>
      </c>
    </row>
    <row r="7" spans="1:145" x14ac:dyDescent="0.25">
      <c r="A7" t="s">
        <v>1326</v>
      </c>
      <c r="B7">
        <v>29683.8</v>
      </c>
      <c r="D7">
        <v>2016</v>
      </c>
      <c r="E7">
        <v>5</v>
      </c>
      <c r="F7">
        <v>23342.12</v>
      </c>
      <c r="G7">
        <v>11</v>
      </c>
      <c r="H7" t="s">
        <v>11</v>
      </c>
      <c r="I7">
        <v>10</v>
      </c>
      <c r="L7">
        <v>2015</v>
      </c>
      <c r="M7">
        <v>5</v>
      </c>
      <c r="N7">
        <v>19456929</v>
      </c>
      <c r="O7">
        <v>12675792.76</v>
      </c>
      <c r="P7">
        <v>153.5</v>
      </c>
      <c r="Q7" t="s">
        <v>11</v>
      </c>
      <c r="R7">
        <v>10</v>
      </c>
      <c r="AJ7">
        <v>2015</v>
      </c>
      <c r="AK7" t="s">
        <v>1251</v>
      </c>
      <c r="AL7">
        <v>83.93</v>
      </c>
      <c r="AM7" t="s">
        <v>11</v>
      </c>
      <c r="AN7">
        <v>10</v>
      </c>
      <c r="BF7">
        <v>2016</v>
      </c>
      <c r="BG7" t="s">
        <v>101</v>
      </c>
      <c r="BH7">
        <v>10926225</v>
      </c>
      <c r="BI7">
        <v>0</v>
      </c>
      <c r="BU7" t="s">
        <v>1340</v>
      </c>
      <c r="BV7">
        <v>6532850</v>
      </c>
      <c r="BW7">
        <v>2016</v>
      </c>
      <c r="BY7" t="s">
        <v>101</v>
      </c>
      <c r="BZ7">
        <v>10926225</v>
      </c>
      <c r="CA7">
        <v>2016</v>
      </c>
      <c r="CC7">
        <v>2015</v>
      </c>
      <c r="CD7">
        <v>10</v>
      </c>
      <c r="CE7">
        <v>32374.7</v>
      </c>
      <c r="CF7">
        <v>218.12</v>
      </c>
      <c r="CG7" t="s">
        <v>6</v>
      </c>
      <c r="CH7">
        <v>3</v>
      </c>
      <c r="CX7" t="s">
        <v>491</v>
      </c>
      <c r="CY7">
        <v>655208</v>
      </c>
      <c r="CZ7">
        <v>2016</v>
      </c>
      <c r="DA7">
        <v>18.72</v>
      </c>
      <c r="DY7" t="s">
        <v>1324</v>
      </c>
      <c r="DZ7">
        <v>33888.339999999997</v>
      </c>
      <c r="EA7">
        <v>314610</v>
      </c>
      <c r="EE7" t="s">
        <v>1325</v>
      </c>
      <c r="EG7" t="s">
        <v>1318</v>
      </c>
      <c r="EH7">
        <v>1365340</v>
      </c>
      <c r="EJ7">
        <v>1365340</v>
      </c>
      <c r="EK7" t="s">
        <v>1319</v>
      </c>
      <c r="EL7">
        <v>2015</v>
      </c>
      <c r="EN7" s="39"/>
      <c r="EO7" s="39"/>
    </row>
    <row r="8" spans="1:145" x14ac:dyDescent="0.25">
      <c r="A8" t="s">
        <v>1344</v>
      </c>
      <c r="B8">
        <v>36355.599999999999</v>
      </c>
      <c r="D8">
        <v>2015</v>
      </c>
      <c r="E8">
        <v>6</v>
      </c>
      <c r="F8">
        <v>677.7</v>
      </c>
      <c r="G8">
        <v>2</v>
      </c>
      <c r="H8" t="s">
        <v>13</v>
      </c>
      <c r="I8">
        <v>11</v>
      </c>
      <c r="L8">
        <v>2015</v>
      </c>
      <c r="M8">
        <v>6</v>
      </c>
      <c r="N8">
        <v>20813105</v>
      </c>
      <c r="O8">
        <v>12675792.76</v>
      </c>
      <c r="P8">
        <v>164.2</v>
      </c>
      <c r="Q8" t="s">
        <v>13</v>
      </c>
      <c r="R8">
        <v>11</v>
      </c>
      <c r="AJ8">
        <v>2015</v>
      </c>
      <c r="AK8" t="s">
        <v>1252</v>
      </c>
      <c r="AL8">
        <v>82.3</v>
      </c>
      <c r="AM8" t="s">
        <v>13</v>
      </c>
      <c r="AN8">
        <v>11</v>
      </c>
      <c r="CC8">
        <v>2015</v>
      </c>
      <c r="CD8">
        <v>11</v>
      </c>
      <c r="CE8">
        <v>71897.05</v>
      </c>
      <c r="CF8">
        <v>170.31</v>
      </c>
      <c r="CG8" t="s">
        <v>9</v>
      </c>
      <c r="CH8">
        <v>4</v>
      </c>
      <c r="DE8" s="39"/>
      <c r="DF8" s="39"/>
      <c r="DG8" s="39"/>
      <c r="DH8" s="39"/>
      <c r="DY8" t="s">
        <v>1326</v>
      </c>
      <c r="DZ8">
        <v>47530.36</v>
      </c>
      <c r="EA8">
        <v>470107.44</v>
      </c>
      <c r="EE8" t="s">
        <v>1327</v>
      </c>
      <c r="EG8" t="s">
        <v>1318</v>
      </c>
      <c r="EH8">
        <v>411709</v>
      </c>
      <c r="EI8">
        <v>40872.519999999997</v>
      </c>
      <c r="EJ8">
        <v>452581.52</v>
      </c>
      <c r="EK8" t="s">
        <v>1319</v>
      </c>
      <c r="EL8">
        <v>2016</v>
      </c>
    </row>
    <row r="9" spans="1:145" x14ac:dyDescent="0.25">
      <c r="A9" t="s">
        <v>1334</v>
      </c>
      <c r="B9">
        <v>96823.45</v>
      </c>
      <c r="D9">
        <v>2015</v>
      </c>
      <c r="E9">
        <v>7</v>
      </c>
      <c r="F9">
        <v>49513.47</v>
      </c>
      <c r="G9">
        <v>10</v>
      </c>
      <c r="H9" t="s">
        <v>14</v>
      </c>
      <c r="I9">
        <v>12</v>
      </c>
      <c r="L9">
        <v>2014</v>
      </c>
      <c r="M9">
        <v>7</v>
      </c>
      <c r="N9">
        <v>0</v>
      </c>
      <c r="O9">
        <v>12675792.76</v>
      </c>
      <c r="P9">
        <v>0</v>
      </c>
      <c r="Q9" t="s">
        <v>14</v>
      </c>
      <c r="R9">
        <v>12</v>
      </c>
      <c r="AJ9">
        <v>2014</v>
      </c>
      <c r="AK9" t="s">
        <v>1244</v>
      </c>
      <c r="AL9">
        <v>0</v>
      </c>
      <c r="AM9" t="s">
        <v>14</v>
      </c>
      <c r="AN9">
        <v>12</v>
      </c>
      <c r="CC9">
        <v>2015</v>
      </c>
      <c r="CD9">
        <v>12</v>
      </c>
      <c r="CE9">
        <v>51525.8</v>
      </c>
      <c r="CF9">
        <v>207.23</v>
      </c>
      <c r="CG9" t="s">
        <v>4</v>
      </c>
      <c r="CH9">
        <v>5</v>
      </c>
      <c r="CX9" s="39"/>
      <c r="CY9" s="39"/>
      <c r="CZ9" s="39"/>
      <c r="DA9" s="39"/>
      <c r="DB9" s="39"/>
      <c r="DC9" s="39"/>
      <c r="DE9" s="39"/>
      <c r="DF9" s="39"/>
      <c r="DG9" s="39"/>
      <c r="DH9" s="39"/>
      <c r="DX9" s="39"/>
      <c r="DY9" t="s">
        <v>1328</v>
      </c>
      <c r="DZ9">
        <v>120775.64</v>
      </c>
      <c r="EA9">
        <v>1760892</v>
      </c>
      <c r="EE9" t="s">
        <v>1329</v>
      </c>
      <c r="EG9" t="s">
        <v>1320</v>
      </c>
      <c r="EH9">
        <v>451903</v>
      </c>
      <c r="EJ9">
        <v>451903</v>
      </c>
      <c r="EK9" t="s">
        <v>1321</v>
      </c>
      <c r="EL9">
        <v>2015</v>
      </c>
    </row>
    <row r="10" spans="1:145" x14ac:dyDescent="0.25">
      <c r="A10" t="s">
        <v>1342</v>
      </c>
      <c r="B10">
        <v>39274.78</v>
      </c>
      <c r="D10">
        <v>2016</v>
      </c>
      <c r="E10">
        <v>8</v>
      </c>
      <c r="F10">
        <v>3494.65</v>
      </c>
      <c r="G10">
        <v>12</v>
      </c>
      <c r="H10" t="s">
        <v>7</v>
      </c>
      <c r="I10">
        <v>1</v>
      </c>
      <c r="L10">
        <v>2015</v>
      </c>
      <c r="M10">
        <v>7</v>
      </c>
      <c r="N10">
        <v>32832337</v>
      </c>
      <c r="O10">
        <v>12675792.76</v>
      </c>
      <c r="P10">
        <v>259.02</v>
      </c>
      <c r="Q10" t="s">
        <v>14</v>
      </c>
      <c r="R10">
        <v>12</v>
      </c>
      <c r="AJ10">
        <v>2015</v>
      </c>
      <c r="AK10" t="s">
        <v>1244</v>
      </c>
      <c r="AL10">
        <v>80.239999999999995</v>
      </c>
      <c r="AM10" t="s">
        <v>14</v>
      </c>
      <c r="AN10">
        <v>12</v>
      </c>
      <c r="CC10">
        <v>2015</v>
      </c>
      <c r="CD10">
        <v>1</v>
      </c>
      <c r="CE10">
        <v>32271.88</v>
      </c>
      <c r="CF10">
        <v>299.14</v>
      </c>
      <c r="CG10" t="s">
        <v>12</v>
      </c>
      <c r="CH10">
        <v>6</v>
      </c>
      <c r="CX10" s="39"/>
      <c r="CY10" s="39"/>
      <c r="CZ10" s="39"/>
      <c r="DA10" s="39"/>
      <c r="DB10" s="39"/>
      <c r="DC10" s="39"/>
      <c r="DX10" s="39"/>
      <c r="DY10" t="s">
        <v>1338</v>
      </c>
      <c r="DZ10">
        <v>1417727.16</v>
      </c>
      <c r="EA10">
        <v>141707660</v>
      </c>
      <c r="EE10" t="s">
        <v>1339</v>
      </c>
      <c r="EG10" t="s">
        <v>1320</v>
      </c>
      <c r="EH10">
        <v>80560</v>
      </c>
      <c r="EI10">
        <v>53245.53</v>
      </c>
      <c r="EJ10">
        <v>133805.53</v>
      </c>
      <c r="EK10" t="s">
        <v>1321</v>
      </c>
      <c r="EL10">
        <v>2016</v>
      </c>
    </row>
    <row r="11" spans="1:145" x14ac:dyDescent="0.25">
      <c r="A11" t="s">
        <v>1353</v>
      </c>
      <c r="B11">
        <v>6515.99</v>
      </c>
      <c r="D11">
        <v>2016</v>
      </c>
      <c r="E11">
        <v>9</v>
      </c>
      <c r="F11">
        <v>419068.17</v>
      </c>
      <c r="G11">
        <v>103</v>
      </c>
      <c r="H11" t="s">
        <v>15</v>
      </c>
      <c r="I11">
        <v>2</v>
      </c>
      <c r="L11">
        <v>2015</v>
      </c>
      <c r="M11">
        <v>8</v>
      </c>
      <c r="N11">
        <v>19818618</v>
      </c>
      <c r="O11">
        <v>12675792.76</v>
      </c>
      <c r="P11">
        <v>156.35</v>
      </c>
      <c r="Q11" t="s">
        <v>7</v>
      </c>
      <c r="R11">
        <v>1</v>
      </c>
      <c r="AJ11">
        <v>2015</v>
      </c>
      <c r="AK11" t="s">
        <v>1245</v>
      </c>
      <c r="AL11">
        <v>80.19</v>
      </c>
      <c r="AM11" t="s">
        <v>7</v>
      </c>
      <c r="AN11">
        <v>1</v>
      </c>
      <c r="BX11" s="39"/>
      <c r="CB11" s="39"/>
      <c r="CC11">
        <v>2015</v>
      </c>
      <c r="CD11">
        <v>2</v>
      </c>
      <c r="CE11">
        <v>26942.51</v>
      </c>
      <c r="CF11">
        <v>226.6</v>
      </c>
      <c r="CG11" t="s">
        <v>8</v>
      </c>
      <c r="CH11">
        <v>7</v>
      </c>
      <c r="CX11" s="39"/>
      <c r="CY11" s="39"/>
      <c r="CZ11" s="39"/>
      <c r="DA11" s="39"/>
      <c r="DB11" s="39"/>
      <c r="DC11" s="39"/>
      <c r="DD11" s="39"/>
      <c r="DY11" t="s">
        <v>1340</v>
      </c>
      <c r="DZ11">
        <v>6639332.6200000001</v>
      </c>
      <c r="EA11">
        <v>74144853.319999993</v>
      </c>
      <c r="EB11">
        <v>1560888</v>
      </c>
      <c r="EE11" t="s">
        <v>1341</v>
      </c>
      <c r="EG11" t="s">
        <v>1322</v>
      </c>
      <c r="EH11">
        <v>674679</v>
      </c>
      <c r="EJ11">
        <v>674679</v>
      </c>
      <c r="EK11" t="s">
        <v>1323</v>
      </c>
      <c r="EL11">
        <v>2015</v>
      </c>
    </row>
    <row r="12" spans="1:145" x14ac:dyDescent="0.25">
      <c r="A12" t="s">
        <v>1348</v>
      </c>
      <c r="B12">
        <v>45094.82</v>
      </c>
      <c r="D12">
        <v>2016</v>
      </c>
      <c r="E12">
        <v>10</v>
      </c>
      <c r="F12">
        <v>261244.39</v>
      </c>
      <c r="G12">
        <v>16</v>
      </c>
      <c r="H12" t="s">
        <v>6</v>
      </c>
      <c r="I12">
        <v>3</v>
      </c>
      <c r="L12">
        <v>2016</v>
      </c>
      <c r="M12">
        <v>8</v>
      </c>
      <c r="N12">
        <v>8157987</v>
      </c>
      <c r="O12">
        <v>12675792.76</v>
      </c>
      <c r="P12">
        <v>64.36</v>
      </c>
      <c r="Q12" t="s">
        <v>7</v>
      </c>
      <c r="R12">
        <v>1</v>
      </c>
      <c r="AJ12">
        <v>2016</v>
      </c>
      <c r="AK12" t="s">
        <v>1245</v>
      </c>
      <c r="AL12">
        <v>87.24</v>
      </c>
      <c r="AM12" t="s">
        <v>7</v>
      </c>
      <c r="AN12">
        <v>1</v>
      </c>
      <c r="BX12" s="39"/>
      <c r="CB12" s="555"/>
      <c r="CC12">
        <v>2015</v>
      </c>
      <c r="CD12">
        <v>3</v>
      </c>
      <c r="CE12">
        <v>45381.45</v>
      </c>
      <c r="CF12">
        <v>344.37</v>
      </c>
      <c r="CG12" t="s">
        <v>10</v>
      </c>
      <c r="CH12">
        <v>8</v>
      </c>
      <c r="CX12" s="39"/>
      <c r="CY12" s="39"/>
      <c r="CZ12" s="39"/>
      <c r="DA12" s="39"/>
      <c r="DD12" s="39"/>
      <c r="DY12" t="s">
        <v>1342</v>
      </c>
      <c r="DZ12">
        <v>95524.78</v>
      </c>
      <c r="EA12">
        <v>1368756</v>
      </c>
      <c r="EE12" t="s">
        <v>1343</v>
      </c>
      <c r="EG12" t="s">
        <v>1322</v>
      </c>
      <c r="EH12">
        <v>101972</v>
      </c>
      <c r="EI12">
        <v>23501.46</v>
      </c>
      <c r="EJ12">
        <v>125473.46</v>
      </c>
      <c r="EK12" t="s">
        <v>1323</v>
      </c>
      <c r="EL12">
        <v>2016</v>
      </c>
    </row>
    <row r="13" spans="1:145" x14ac:dyDescent="0.25">
      <c r="A13" t="s">
        <v>1363</v>
      </c>
      <c r="B13">
        <v>16072.38</v>
      </c>
      <c r="D13">
        <v>2016</v>
      </c>
      <c r="E13">
        <v>11</v>
      </c>
      <c r="F13">
        <v>161382.79</v>
      </c>
      <c r="G13">
        <v>6</v>
      </c>
      <c r="H13" t="s">
        <v>9</v>
      </c>
      <c r="I13">
        <v>4</v>
      </c>
      <c r="L13">
        <v>2015</v>
      </c>
      <c r="M13">
        <v>9</v>
      </c>
      <c r="N13">
        <v>16312359</v>
      </c>
      <c r="O13">
        <v>12675792.76</v>
      </c>
      <c r="P13">
        <v>128.69</v>
      </c>
      <c r="Q13" t="s">
        <v>15</v>
      </c>
      <c r="R13">
        <v>2</v>
      </c>
      <c r="AJ13">
        <v>2015</v>
      </c>
      <c r="AK13" t="s">
        <v>1246</v>
      </c>
      <c r="AL13">
        <v>83.07</v>
      </c>
      <c r="AM13" t="s">
        <v>15</v>
      </c>
      <c r="AN13">
        <v>2</v>
      </c>
      <c r="BX13" s="39"/>
      <c r="CB13" s="39"/>
      <c r="CC13">
        <v>2015</v>
      </c>
      <c r="CD13">
        <v>4</v>
      </c>
      <c r="CE13">
        <v>33034.400000000001</v>
      </c>
      <c r="CF13">
        <v>248.91</v>
      </c>
      <c r="CG13" t="s">
        <v>5</v>
      </c>
      <c r="CH13">
        <v>9</v>
      </c>
      <c r="CX13" s="39"/>
      <c r="CY13" s="39"/>
      <c r="CZ13" s="39"/>
      <c r="DA13" s="39"/>
      <c r="DD13" s="39"/>
      <c r="DE13" s="39"/>
      <c r="DY13" t="s">
        <v>1344</v>
      </c>
      <c r="DZ13">
        <v>161481.60000000001</v>
      </c>
      <c r="EA13">
        <v>21327292</v>
      </c>
      <c r="EE13" t="s">
        <v>1345</v>
      </c>
      <c r="EG13" t="s">
        <v>1324</v>
      </c>
      <c r="EH13">
        <v>314610</v>
      </c>
      <c r="EJ13">
        <v>314610</v>
      </c>
      <c r="EK13" t="s">
        <v>1325</v>
      </c>
      <c r="EL13">
        <v>2015</v>
      </c>
    </row>
    <row r="14" spans="1:145" x14ac:dyDescent="0.25">
      <c r="A14" t="s">
        <v>1316</v>
      </c>
      <c r="B14">
        <v>2600.9899999999998</v>
      </c>
      <c r="D14">
        <v>2016</v>
      </c>
      <c r="E14">
        <v>12</v>
      </c>
      <c r="F14">
        <v>15684.02</v>
      </c>
      <c r="G14">
        <v>2</v>
      </c>
      <c r="H14" t="s">
        <v>4</v>
      </c>
      <c r="I14">
        <v>5</v>
      </c>
      <c r="L14">
        <v>2016</v>
      </c>
      <c r="M14">
        <v>9</v>
      </c>
      <c r="N14">
        <v>3005700</v>
      </c>
      <c r="O14">
        <v>12675792.76</v>
      </c>
      <c r="P14">
        <v>23.71</v>
      </c>
      <c r="Q14" t="s">
        <v>15</v>
      </c>
      <c r="R14">
        <v>2</v>
      </c>
      <c r="AJ14">
        <v>2016</v>
      </c>
      <c r="AK14" t="s">
        <v>1246</v>
      </c>
      <c r="AL14">
        <v>86.22</v>
      </c>
      <c r="AM14" t="s">
        <v>15</v>
      </c>
      <c r="AN14">
        <v>2</v>
      </c>
      <c r="BU14" s="555"/>
      <c r="BV14" s="555"/>
      <c r="BW14" s="555"/>
      <c r="BX14" s="39"/>
      <c r="CB14" s="39"/>
      <c r="CC14">
        <v>2015</v>
      </c>
      <c r="CD14">
        <v>5</v>
      </c>
      <c r="CE14">
        <v>22415.81</v>
      </c>
      <c r="CF14">
        <v>232.46</v>
      </c>
      <c r="CG14" t="s">
        <v>11</v>
      </c>
      <c r="CH14">
        <v>10</v>
      </c>
      <c r="CX14" s="39"/>
      <c r="CY14" s="39"/>
      <c r="CZ14" s="39"/>
      <c r="DA14" s="39"/>
      <c r="DD14" s="39"/>
      <c r="DE14" s="39"/>
      <c r="DY14" t="s">
        <v>1346</v>
      </c>
      <c r="DZ14">
        <v>25344.55</v>
      </c>
      <c r="EA14">
        <v>1680008</v>
      </c>
      <c r="EE14" t="s">
        <v>1347</v>
      </c>
      <c r="EG14" t="s">
        <v>1324</v>
      </c>
      <c r="EH14">
        <v>19232</v>
      </c>
      <c r="EI14">
        <v>14656.34</v>
      </c>
      <c r="EJ14">
        <v>33888.339999999997</v>
      </c>
      <c r="EK14" t="s">
        <v>1325</v>
      </c>
      <c r="EL14">
        <v>2016</v>
      </c>
    </row>
    <row r="15" spans="1:145" x14ac:dyDescent="0.25">
      <c r="A15" t="s">
        <v>1340</v>
      </c>
      <c r="B15">
        <v>122933.94</v>
      </c>
      <c r="L15">
        <v>2014</v>
      </c>
      <c r="M15">
        <v>10</v>
      </c>
      <c r="N15">
        <v>1560888</v>
      </c>
      <c r="O15">
        <v>12675792.76</v>
      </c>
      <c r="P15">
        <v>12.31</v>
      </c>
      <c r="Q15" t="s">
        <v>6</v>
      </c>
      <c r="R15">
        <v>3</v>
      </c>
      <c r="AJ15">
        <v>2014</v>
      </c>
      <c r="AK15" t="s">
        <v>665</v>
      </c>
      <c r="AL15">
        <v>0</v>
      </c>
      <c r="AM15" t="s">
        <v>6</v>
      </c>
      <c r="AN15">
        <v>3</v>
      </c>
      <c r="BW15" s="39"/>
      <c r="BX15" s="39"/>
      <c r="BY15" s="39"/>
      <c r="CA15" s="39"/>
      <c r="CB15" s="39"/>
      <c r="CC15">
        <v>2015</v>
      </c>
      <c r="CD15">
        <v>6</v>
      </c>
      <c r="CE15">
        <v>35700</v>
      </c>
      <c r="CF15">
        <v>103.17</v>
      </c>
      <c r="CG15" t="s">
        <v>13</v>
      </c>
      <c r="CH15">
        <v>11</v>
      </c>
      <c r="DD15" s="39"/>
      <c r="DE15" s="39"/>
      <c r="DY15" t="s">
        <v>1348</v>
      </c>
      <c r="DZ15">
        <v>82926.820000000007</v>
      </c>
      <c r="EA15">
        <v>1355402</v>
      </c>
      <c r="EE15" t="s">
        <v>1349</v>
      </c>
      <c r="EG15" t="s">
        <v>1326</v>
      </c>
      <c r="EH15">
        <v>465180</v>
      </c>
      <c r="EI15">
        <v>4927.4399999999996</v>
      </c>
      <c r="EJ15">
        <v>470107.44</v>
      </c>
      <c r="EK15" t="s">
        <v>1327</v>
      </c>
      <c r="EL15">
        <v>2015</v>
      </c>
    </row>
    <row r="16" spans="1:145" x14ac:dyDescent="0.25">
      <c r="A16" t="s">
        <v>1346</v>
      </c>
      <c r="B16">
        <v>23652.55</v>
      </c>
      <c r="L16">
        <v>2015</v>
      </c>
      <c r="M16">
        <v>10</v>
      </c>
      <c r="N16">
        <v>18162210</v>
      </c>
      <c r="O16">
        <v>12675792.76</v>
      </c>
      <c r="P16">
        <v>143.28</v>
      </c>
      <c r="Q16" t="s">
        <v>6</v>
      </c>
      <c r="R16">
        <v>3</v>
      </c>
      <c r="AJ16">
        <v>2015</v>
      </c>
      <c r="AK16" t="s">
        <v>665</v>
      </c>
      <c r="AL16">
        <v>80.42</v>
      </c>
      <c r="AM16" t="s">
        <v>6</v>
      </c>
      <c r="AN16">
        <v>3</v>
      </c>
      <c r="BW16" s="39"/>
      <c r="BY16" s="39"/>
      <c r="CA16" s="555"/>
      <c r="CB16" s="39"/>
      <c r="CC16">
        <v>2015</v>
      </c>
      <c r="CD16">
        <v>7</v>
      </c>
      <c r="CE16">
        <v>35532.83</v>
      </c>
      <c r="CF16">
        <v>158.04</v>
      </c>
      <c r="CG16" t="s">
        <v>14</v>
      </c>
      <c r="CH16">
        <v>12</v>
      </c>
      <c r="DE16" s="39"/>
      <c r="DY16" t="s">
        <v>1350</v>
      </c>
      <c r="DZ16">
        <v>116396.19</v>
      </c>
      <c r="EA16">
        <v>406.62</v>
      </c>
      <c r="EE16" t="s">
        <v>1351</v>
      </c>
      <c r="EG16" t="s">
        <v>1326</v>
      </c>
      <c r="EH16">
        <v>22774</v>
      </c>
      <c r="EI16">
        <v>24756.36</v>
      </c>
      <c r="EJ16">
        <v>47530.36</v>
      </c>
      <c r="EK16" t="s">
        <v>1327</v>
      </c>
      <c r="EL16">
        <v>2016</v>
      </c>
    </row>
    <row r="17" spans="1:142" x14ac:dyDescent="0.25">
      <c r="A17" t="s">
        <v>1328</v>
      </c>
      <c r="B17">
        <v>17295.64</v>
      </c>
      <c r="L17">
        <v>2015</v>
      </c>
      <c r="M17">
        <v>11</v>
      </c>
      <c r="N17">
        <v>36739393</v>
      </c>
      <c r="O17">
        <v>12675792.76</v>
      </c>
      <c r="P17">
        <v>289.83999999999997</v>
      </c>
      <c r="Q17" t="s">
        <v>9</v>
      </c>
      <c r="R17">
        <v>4</v>
      </c>
      <c r="AJ17">
        <v>2015</v>
      </c>
      <c r="AK17" t="s">
        <v>992</v>
      </c>
      <c r="AL17">
        <v>77.47</v>
      </c>
      <c r="AM17" t="s">
        <v>9</v>
      </c>
      <c r="AN17">
        <v>4</v>
      </c>
      <c r="BW17" s="39"/>
      <c r="BY17" s="39"/>
      <c r="CA17" s="39"/>
      <c r="CB17" s="39"/>
      <c r="CC17">
        <v>2016</v>
      </c>
      <c r="CD17">
        <v>8</v>
      </c>
      <c r="CE17">
        <v>14725.6</v>
      </c>
      <c r="CF17">
        <v>226.76</v>
      </c>
      <c r="CG17" t="s">
        <v>7</v>
      </c>
      <c r="CH17">
        <v>1</v>
      </c>
      <c r="DE17" s="39"/>
      <c r="DY17" t="s">
        <v>1353</v>
      </c>
      <c r="DZ17">
        <v>35439.29</v>
      </c>
      <c r="EA17">
        <v>958550.7</v>
      </c>
      <c r="EE17" t="s">
        <v>1354</v>
      </c>
      <c r="EG17" t="s">
        <v>1328</v>
      </c>
      <c r="EH17">
        <v>1760892</v>
      </c>
      <c r="EJ17">
        <v>1760892</v>
      </c>
      <c r="EK17" t="s">
        <v>1329</v>
      </c>
      <c r="EL17">
        <v>2015</v>
      </c>
    </row>
    <row r="18" spans="1:142" x14ac:dyDescent="0.25">
      <c r="A18" t="s">
        <v>1338</v>
      </c>
      <c r="B18">
        <v>19586.16</v>
      </c>
      <c r="L18">
        <v>2015</v>
      </c>
      <c r="M18">
        <v>12</v>
      </c>
      <c r="N18">
        <v>26690365</v>
      </c>
      <c r="O18">
        <v>12675792.76</v>
      </c>
      <c r="P18">
        <v>210.56</v>
      </c>
      <c r="Q18" t="s">
        <v>4</v>
      </c>
      <c r="R18">
        <v>5</v>
      </c>
      <c r="AJ18">
        <v>2015</v>
      </c>
      <c r="AK18" t="s">
        <v>997</v>
      </c>
      <c r="AL18">
        <v>78.25</v>
      </c>
      <c r="AM18" t="s">
        <v>4</v>
      </c>
      <c r="AN18">
        <v>5</v>
      </c>
      <c r="BW18" s="39"/>
      <c r="BY18" s="39"/>
      <c r="BZ18" s="555"/>
      <c r="CA18" s="39"/>
      <c r="CB18" s="39"/>
      <c r="CC18">
        <v>2016</v>
      </c>
      <c r="CD18">
        <v>9</v>
      </c>
      <c r="CE18">
        <v>26836.6</v>
      </c>
      <c r="CF18">
        <v>396.37</v>
      </c>
      <c r="CG18" t="s">
        <v>15</v>
      </c>
      <c r="CH18">
        <v>2</v>
      </c>
      <c r="DY18" t="s">
        <v>1355</v>
      </c>
      <c r="DZ18">
        <v>59657.14</v>
      </c>
      <c r="EE18" t="s">
        <v>1356</v>
      </c>
      <c r="EG18" t="s">
        <v>1328</v>
      </c>
      <c r="EH18">
        <v>103480</v>
      </c>
      <c r="EI18">
        <v>17295.64</v>
      </c>
      <c r="EJ18">
        <v>120775.64</v>
      </c>
      <c r="EK18" t="s">
        <v>1329</v>
      </c>
      <c r="EL18">
        <v>2016</v>
      </c>
    </row>
    <row r="19" spans="1:142" x14ac:dyDescent="0.25">
      <c r="A19" t="s">
        <v>1350</v>
      </c>
      <c r="B19">
        <v>116802.81</v>
      </c>
      <c r="BW19" s="39"/>
      <c r="BY19" s="39"/>
      <c r="BZ19" s="39"/>
      <c r="CA19" s="39"/>
      <c r="CB19" s="39"/>
      <c r="DY19" t="s">
        <v>1357</v>
      </c>
      <c r="DZ19">
        <v>16660.64</v>
      </c>
      <c r="EA19">
        <v>2475.27</v>
      </c>
      <c r="EE19" t="s">
        <v>1358</v>
      </c>
      <c r="EG19" t="s">
        <v>1330</v>
      </c>
      <c r="EH19">
        <v>1339471</v>
      </c>
      <c r="EI19">
        <v>4098.0200000000004</v>
      </c>
      <c r="EJ19">
        <v>1343569.02</v>
      </c>
      <c r="EK19" t="s">
        <v>1331</v>
      </c>
      <c r="EL19">
        <v>2015</v>
      </c>
    </row>
    <row r="20" spans="1:142" x14ac:dyDescent="0.25">
      <c r="A20" t="s">
        <v>1330</v>
      </c>
      <c r="B20">
        <v>5390.19</v>
      </c>
      <c r="BY20" s="39"/>
      <c r="BZ20" s="39"/>
      <c r="CA20" s="39"/>
      <c r="CB20" s="39"/>
      <c r="DY20" t="s">
        <v>1359</v>
      </c>
      <c r="DZ20">
        <v>16118.24</v>
      </c>
      <c r="EE20" t="s">
        <v>1360</v>
      </c>
      <c r="EG20" t="s">
        <v>1330</v>
      </c>
      <c r="EH20">
        <v>345600</v>
      </c>
      <c r="EI20">
        <v>1292.17</v>
      </c>
      <c r="EJ20">
        <v>346892.17</v>
      </c>
      <c r="EK20" t="s">
        <v>1331</v>
      </c>
      <c r="EL20">
        <v>2016</v>
      </c>
    </row>
    <row r="21" spans="1:142" x14ac:dyDescent="0.25">
      <c r="A21" t="s">
        <v>1332</v>
      </c>
      <c r="B21">
        <v>7946.13</v>
      </c>
      <c r="BY21" s="39"/>
      <c r="BZ21" s="39"/>
      <c r="CA21" s="39"/>
      <c r="CB21" s="39"/>
      <c r="DY21" t="s">
        <v>1361</v>
      </c>
      <c r="DZ21">
        <v>52721.36</v>
      </c>
      <c r="EE21" t="s">
        <v>1362</v>
      </c>
      <c r="EG21" t="s">
        <v>1332</v>
      </c>
      <c r="EH21">
        <v>4123450</v>
      </c>
      <c r="EJ21">
        <v>4123450</v>
      </c>
      <c r="EK21" t="s">
        <v>1333</v>
      </c>
      <c r="EL21">
        <v>2015</v>
      </c>
    </row>
    <row r="22" spans="1:142" x14ac:dyDescent="0.25">
      <c r="A22" t="s">
        <v>1357</v>
      </c>
      <c r="B22">
        <v>19135.91</v>
      </c>
      <c r="BY22" s="39"/>
      <c r="BZ22" s="39"/>
      <c r="CA22" s="39"/>
      <c r="CB22" s="39"/>
      <c r="DY22" t="s">
        <v>1363</v>
      </c>
      <c r="DZ22">
        <v>16072.38</v>
      </c>
      <c r="EE22" t="s">
        <v>1364</v>
      </c>
      <c r="EG22" t="s">
        <v>1332</v>
      </c>
      <c r="EH22">
        <v>268414</v>
      </c>
      <c r="EI22">
        <v>7946.13</v>
      </c>
      <c r="EJ22">
        <v>276360.13</v>
      </c>
      <c r="EK22" t="s">
        <v>1333</v>
      </c>
      <c r="EL22">
        <v>2016</v>
      </c>
    </row>
    <row r="23" spans="1:142" x14ac:dyDescent="0.25">
      <c r="A23" t="s">
        <v>1336</v>
      </c>
      <c r="B23">
        <v>120865.14</v>
      </c>
      <c r="BY23" s="39"/>
      <c r="BZ23" s="39"/>
      <c r="CA23" s="39"/>
      <c r="CB23" s="39"/>
      <c r="DY23" t="s">
        <v>1330</v>
      </c>
      <c r="DZ23">
        <v>346892.17</v>
      </c>
      <c r="EA23">
        <v>1343569.02</v>
      </c>
      <c r="EE23" t="s">
        <v>1331</v>
      </c>
      <c r="EG23" t="s">
        <v>1334</v>
      </c>
      <c r="EH23">
        <v>27577841</v>
      </c>
      <c r="EI23">
        <v>2241.19</v>
      </c>
      <c r="EJ23">
        <v>27580082.190000001</v>
      </c>
      <c r="EK23" t="s">
        <v>1335</v>
      </c>
      <c r="EL23">
        <v>2015</v>
      </c>
    </row>
    <row r="24" spans="1:142" x14ac:dyDescent="0.25">
      <c r="A24" t="s">
        <v>1359</v>
      </c>
      <c r="B24">
        <v>16118.24</v>
      </c>
      <c r="BY24" s="39"/>
      <c r="BZ24" s="39"/>
      <c r="CA24" s="39"/>
      <c r="CB24" s="39"/>
      <c r="DY24" t="s">
        <v>1332</v>
      </c>
      <c r="DZ24">
        <v>276360.13</v>
      </c>
      <c r="EA24">
        <v>4123450</v>
      </c>
      <c r="EE24" t="s">
        <v>1333</v>
      </c>
      <c r="EG24" t="s">
        <v>1334</v>
      </c>
      <c r="EH24">
        <v>1274928</v>
      </c>
      <c r="EI24">
        <v>94582.26</v>
      </c>
      <c r="EJ24">
        <v>1369510.26</v>
      </c>
      <c r="EK24" t="s">
        <v>1335</v>
      </c>
      <c r="EL24">
        <v>2016</v>
      </c>
    </row>
    <row r="25" spans="1:142" x14ac:dyDescent="0.25">
      <c r="A25" t="s">
        <v>1355</v>
      </c>
      <c r="B25">
        <v>59657.14</v>
      </c>
      <c r="BY25" s="39"/>
      <c r="BZ25" s="39"/>
      <c r="CA25" s="39"/>
      <c r="CB25" s="39"/>
      <c r="DY25" t="s">
        <v>1334</v>
      </c>
      <c r="DZ25">
        <v>1369510.26</v>
      </c>
      <c r="EA25">
        <v>27580082.190000001</v>
      </c>
      <c r="EE25" t="s">
        <v>1335</v>
      </c>
      <c r="EG25" t="s">
        <v>1336</v>
      </c>
      <c r="EI25">
        <v>21151.91</v>
      </c>
      <c r="EJ25">
        <v>21151.91</v>
      </c>
      <c r="EK25" t="s">
        <v>1337</v>
      </c>
      <c r="EL25">
        <v>2015</v>
      </c>
    </row>
    <row r="26" spans="1:142" x14ac:dyDescent="0.25">
      <c r="A26" t="s">
        <v>1318</v>
      </c>
      <c r="B26">
        <v>40872.519999999997</v>
      </c>
      <c r="BY26" s="39"/>
      <c r="BZ26" s="39"/>
      <c r="CA26" s="39"/>
      <c r="CB26" s="39"/>
      <c r="CC26" s="39"/>
      <c r="DY26" t="s">
        <v>1336</v>
      </c>
      <c r="DZ26">
        <v>99713.23</v>
      </c>
      <c r="EA26">
        <v>21151.91</v>
      </c>
      <c r="EE26" t="s">
        <v>1337</v>
      </c>
      <c r="EG26" t="s">
        <v>1336</v>
      </c>
      <c r="EI26">
        <v>99713.23</v>
      </c>
      <c r="EJ26">
        <v>99713.23</v>
      </c>
      <c r="EK26" t="s">
        <v>1337</v>
      </c>
      <c r="EL26">
        <v>2016</v>
      </c>
    </row>
    <row r="27" spans="1:142" x14ac:dyDescent="0.25">
      <c r="A27" t="s">
        <v>1361</v>
      </c>
      <c r="B27">
        <v>52721.36</v>
      </c>
      <c r="BY27" s="39"/>
      <c r="BZ27" s="39"/>
      <c r="CA27" s="39"/>
      <c r="CB27" s="39"/>
      <c r="CC27" s="555"/>
      <c r="EG27" t="s">
        <v>1338</v>
      </c>
      <c r="EH27">
        <v>141707660</v>
      </c>
      <c r="EJ27">
        <v>141707660</v>
      </c>
      <c r="EK27" t="s">
        <v>1339</v>
      </c>
      <c r="EL27">
        <v>2015</v>
      </c>
    </row>
    <row r="28" spans="1:142" x14ac:dyDescent="0.25">
      <c r="CC28" s="39"/>
      <c r="EG28" t="s">
        <v>1338</v>
      </c>
      <c r="EH28">
        <v>1398141</v>
      </c>
      <c r="EI28">
        <v>19586.16</v>
      </c>
      <c r="EJ28">
        <v>1417727.16</v>
      </c>
      <c r="EK28" t="s">
        <v>1339</v>
      </c>
      <c r="EL28">
        <v>2016</v>
      </c>
    </row>
    <row r="29" spans="1:142" x14ac:dyDescent="0.25">
      <c r="CC29" s="39"/>
      <c r="EG29" t="s">
        <v>1340</v>
      </c>
      <c r="EH29">
        <v>1560888</v>
      </c>
      <c r="EJ29">
        <v>1560888</v>
      </c>
      <c r="EK29" t="s">
        <v>1341</v>
      </c>
      <c r="EL29">
        <v>2014</v>
      </c>
    </row>
    <row r="30" spans="1:142" x14ac:dyDescent="0.25">
      <c r="CC30" s="39"/>
      <c r="EG30" t="s">
        <v>1340</v>
      </c>
      <c r="EH30">
        <v>74128402</v>
      </c>
      <c r="EI30">
        <v>16451.32</v>
      </c>
      <c r="EJ30">
        <v>74144853.319999993</v>
      </c>
      <c r="EK30" t="s">
        <v>1341</v>
      </c>
      <c r="EL30">
        <v>2015</v>
      </c>
    </row>
    <row r="31" spans="1:142" x14ac:dyDescent="0.25">
      <c r="CC31" s="39"/>
      <c r="CD31" s="39"/>
      <c r="CE31" s="39"/>
      <c r="EG31" t="s">
        <v>1340</v>
      </c>
      <c r="EH31">
        <v>6532850</v>
      </c>
      <c r="EI31">
        <v>106482.62</v>
      </c>
      <c r="EJ31">
        <v>6639332.6200000001</v>
      </c>
      <c r="EK31" t="s">
        <v>1341</v>
      </c>
      <c r="EL31">
        <v>2016</v>
      </c>
    </row>
    <row r="32" spans="1:142" x14ac:dyDescent="0.25">
      <c r="CC32" s="39"/>
      <c r="CD32" s="39"/>
      <c r="CE32" s="39"/>
      <c r="EG32" t="s">
        <v>1342</v>
      </c>
      <c r="EH32">
        <v>1368756</v>
      </c>
      <c r="EJ32">
        <v>1368756</v>
      </c>
      <c r="EK32" t="s">
        <v>1343</v>
      </c>
      <c r="EL32">
        <v>2015</v>
      </c>
    </row>
    <row r="33" spans="81:142" x14ac:dyDescent="0.25">
      <c r="CC33" s="39"/>
      <c r="CD33" s="39"/>
      <c r="CE33" s="39"/>
      <c r="EG33" t="s">
        <v>1342</v>
      </c>
      <c r="EH33">
        <v>56250</v>
      </c>
      <c r="EI33">
        <v>39274.78</v>
      </c>
      <c r="EJ33">
        <v>95524.78</v>
      </c>
      <c r="EK33" t="s">
        <v>1343</v>
      </c>
      <c r="EL33">
        <v>2016</v>
      </c>
    </row>
    <row r="34" spans="81:142" x14ac:dyDescent="0.25">
      <c r="CC34" s="39"/>
      <c r="CD34" s="39"/>
      <c r="CE34" s="39"/>
      <c r="DZ34" s="39"/>
      <c r="EG34" t="s">
        <v>1344</v>
      </c>
      <c r="EH34">
        <v>21327292</v>
      </c>
      <c r="EJ34">
        <v>21327292</v>
      </c>
      <c r="EK34" t="s">
        <v>1345</v>
      </c>
      <c r="EL34">
        <v>2015</v>
      </c>
    </row>
    <row r="35" spans="81:142" x14ac:dyDescent="0.25">
      <c r="CC35" s="39"/>
      <c r="CD35" s="39"/>
      <c r="CE35" s="39"/>
      <c r="DZ35" s="39"/>
      <c r="EG35" t="s">
        <v>1344</v>
      </c>
      <c r="EH35">
        <v>125126</v>
      </c>
      <c r="EI35">
        <v>36355.599999999999</v>
      </c>
      <c r="EJ35">
        <v>161481.60000000001</v>
      </c>
      <c r="EK35" t="s">
        <v>1345</v>
      </c>
      <c r="EL35">
        <v>2016</v>
      </c>
    </row>
    <row r="36" spans="81:142" x14ac:dyDescent="0.25">
      <c r="CC36" s="39"/>
      <c r="CD36" s="39"/>
      <c r="CE36" s="39"/>
      <c r="DZ36" s="39"/>
      <c r="EG36" t="s">
        <v>1346</v>
      </c>
      <c r="EH36">
        <v>1680008</v>
      </c>
      <c r="EJ36">
        <v>1680008</v>
      </c>
      <c r="EK36" t="s">
        <v>1347</v>
      </c>
      <c r="EL36">
        <v>2015</v>
      </c>
    </row>
    <row r="37" spans="81:142" x14ac:dyDescent="0.25">
      <c r="CC37" s="39"/>
      <c r="CD37" s="39"/>
      <c r="CE37" s="39"/>
      <c r="DZ37" s="39"/>
      <c r="EG37" t="s">
        <v>1346</v>
      </c>
      <c r="EH37">
        <v>1692</v>
      </c>
      <c r="EI37">
        <v>23652.55</v>
      </c>
      <c r="EJ37">
        <v>25344.55</v>
      </c>
      <c r="EK37" t="s">
        <v>1347</v>
      </c>
      <c r="EL37">
        <v>2016</v>
      </c>
    </row>
    <row r="38" spans="81:142" x14ac:dyDescent="0.25">
      <c r="CC38" s="39"/>
      <c r="CD38" s="39"/>
      <c r="CE38" s="39"/>
      <c r="DZ38" s="39"/>
      <c r="EG38" t="s">
        <v>1348</v>
      </c>
      <c r="EH38">
        <v>1355402</v>
      </c>
      <c r="EJ38">
        <v>1355402</v>
      </c>
      <c r="EK38" t="s">
        <v>1349</v>
      </c>
      <c r="EL38">
        <v>2015</v>
      </c>
    </row>
    <row r="39" spans="81:142" x14ac:dyDescent="0.25">
      <c r="EB39" s="39"/>
      <c r="EG39" t="s">
        <v>1348</v>
      </c>
      <c r="EH39">
        <v>37832</v>
      </c>
      <c r="EI39">
        <v>45094.82</v>
      </c>
      <c r="EJ39">
        <v>82926.820000000007</v>
      </c>
      <c r="EK39" t="s">
        <v>1349</v>
      </c>
      <c r="EL39">
        <v>2016</v>
      </c>
    </row>
    <row r="40" spans="81:142" x14ac:dyDescent="0.25">
      <c r="EB40" s="39"/>
      <c r="EG40" t="s">
        <v>1350</v>
      </c>
      <c r="EI40">
        <v>406.62</v>
      </c>
      <c r="EJ40">
        <v>406.62</v>
      </c>
      <c r="EK40" t="s">
        <v>1351</v>
      </c>
      <c r="EL40">
        <v>2015</v>
      </c>
    </row>
    <row r="41" spans="81:142" x14ac:dyDescent="0.25">
      <c r="EG41" t="s">
        <v>1350</v>
      </c>
      <c r="EI41">
        <v>116396.19</v>
      </c>
      <c r="EJ41">
        <v>116396.19</v>
      </c>
      <c r="EK41" t="s">
        <v>1351</v>
      </c>
      <c r="EL41">
        <v>2016</v>
      </c>
    </row>
    <row r="42" spans="81:142" x14ac:dyDescent="0.25">
      <c r="EI42">
        <v>14319.45</v>
      </c>
      <c r="EJ42">
        <v>14319.45</v>
      </c>
      <c r="EK42" t="s">
        <v>1352</v>
      </c>
      <c r="EL42">
        <v>2016</v>
      </c>
    </row>
    <row r="43" spans="81:142" x14ac:dyDescent="0.25">
      <c r="EG43" t="s">
        <v>1353</v>
      </c>
      <c r="EH43">
        <v>957873</v>
      </c>
      <c r="EI43">
        <v>677.7</v>
      </c>
      <c r="EJ43">
        <v>958550.7</v>
      </c>
      <c r="EK43" t="s">
        <v>1354</v>
      </c>
      <c r="EL43">
        <v>2015</v>
      </c>
    </row>
    <row r="44" spans="81:142" x14ac:dyDescent="0.25">
      <c r="EG44" t="s">
        <v>1353</v>
      </c>
      <c r="EH44">
        <v>29601</v>
      </c>
      <c r="EI44">
        <v>5838.29</v>
      </c>
      <c r="EJ44">
        <v>35439.29</v>
      </c>
      <c r="EK44" t="s">
        <v>1354</v>
      </c>
      <c r="EL44">
        <v>2016</v>
      </c>
    </row>
    <row r="45" spans="81:142" x14ac:dyDescent="0.25">
      <c r="EG45" t="s">
        <v>1355</v>
      </c>
      <c r="EI45">
        <v>59657.14</v>
      </c>
      <c r="EJ45">
        <v>59657.14</v>
      </c>
      <c r="EK45" t="s">
        <v>1356</v>
      </c>
      <c r="EL45">
        <v>2016</v>
      </c>
    </row>
    <row r="46" spans="81:142" x14ac:dyDescent="0.25">
      <c r="EG46" t="s">
        <v>1357</v>
      </c>
      <c r="EI46">
        <v>2475.27</v>
      </c>
      <c r="EJ46">
        <v>2475.27</v>
      </c>
      <c r="EK46" t="s">
        <v>1358</v>
      </c>
      <c r="EL46">
        <v>2015</v>
      </c>
    </row>
    <row r="47" spans="81:142" x14ac:dyDescent="0.25">
      <c r="EG47" t="s">
        <v>1357</v>
      </c>
      <c r="EI47">
        <v>16660.64</v>
      </c>
      <c r="EJ47">
        <v>16660.64</v>
      </c>
      <c r="EK47" t="s">
        <v>1358</v>
      </c>
      <c r="EL47">
        <v>2016</v>
      </c>
    </row>
    <row r="48" spans="81:142" x14ac:dyDescent="0.25">
      <c r="EG48" t="s">
        <v>1359</v>
      </c>
      <c r="EI48">
        <v>16118.24</v>
      </c>
      <c r="EJ48">
        <v>16118.24</v>
      </c>
      <c r="EK48" t="s">
        <v>1360</v>
      </c>
      <c r="EL48">
        <v>2016</v>
      </c>
    </row>
    <row r="49" spans="137:142" x14ac:dyDescent="0.25">
      <c r="EG49" t="s">
        <v>1361</v>
      </c>
      <c r="EI49">
        <v>52721.36</v>
      </c>
      <c r="EJ49">
        <v>52721.36</v>
      </c>
      <c r="EK49" t="s">
        <v>1362</v>
      </c>
      <c r="EL49">
        <v>2016</v>
      </c>
    </row>
    <row r="50" spans="137:142" x14ac:dyDescent="0.25">
      <c r="EG50" t="s">
        <v>1363</v>
      </c>
      <c r="EI50">
        <v>16072.38</v>
      </c>
      <c r="EJ50">
        <v>16072.38</v>
      </c>
      <c r="EK50" t="s">
        <v>1364</v>
      </c>
      <c r="EL50">
        <v>2016</v>
      </c>
    </row>
  </sheetData>
  <mergeCells count="16">
    <mergeCell ref="CR1:CV1"/>
    <mergeCell ref="DZ1:EE1"/>
    <mergeCell ref="EH1:EM1"/>
    <mergeCell ref="BN1:BO1"/>
    <mergeCell ref="BR1:BS1"/>
    <mergeCell ref="BZ1:CA1"/>
    <mergeCell ref="CD1:CH1"/>
    <mergeCell ref="CK1:CO1"/>
    <mergeCell ref="AQ1:AV1"/>
    <mergeCell ref="AY1:BD1"/>
    <mergeCell ref="BG1:BK1"/>
    <mergeCell ref="E1:I1"/>
    <mergeCell ref="AC1:AH1"/>
    <mergeCell ref="U1:Z1"/>
    <mergeCell ref="M1:R1"/>
    <mergeCell ref="AK1:AN1"/>
  </mergeCells>
  <pageMargins left="0.7" right="0.7" top="0.75" bottom="0.75" header="0.3" footer="0.3"/>
  <pageSetup orientation="portrait" horizontalDpi="4294967293" verticalDpi="0" r:id="rId1"/>
  <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FFC000"/>
  </sheetPr>
  <dimension ref="B1:J30"/>
  <sheetViews>
    <sheetView showRowColHeaders="0" workbookViewId="0">
      <selection activeCell="F9" sqref="F9"/>
    </sheetView>
  </sheetViews>
  <sheetFormatPr defaultRowHeight="15" x14ac:dyDescent="0.25"/>
  <cols>
    <col min="2" max="2" width="26.28515625" customWidth="1"/>
    <col min="3" max="3" width="16.42578125" customWidth="1"/>
    <col min="8" max="8" width="13.140625" customWidth="1"/>
    <col min="9" max="9" width="19.42578125" customWidth="1"/>
    <col min="10" max="10" width="16.140625" customWidth="1"/>
  </cols>
  <sheetData>
    <row r="1" spans="2:10" x14ac:dyDescent="0.25">
      <c r="B1" s="735" t="s">
        <v>1270</v>
      </c>
      <c r="C1" s="736"/>
      <c r="H1" s="737" t="s">
        <v>1271</v>
      </c>
      <c r="I1" s="738"/>
      <c r="J1" s="738"/>
    </row>
    <row r="3" spans="2:10" x14ac:dyDescent="0.25">
      <c r="B3" s="1" t="s">
        <v>16</v>
      </c>
      <c r="C3" t="s">
        <v>1056</v>
      </c>
      <c r="H3" s="1" t="s">
        <v>16</v>
      </c>
      <c r="I3" t="s">
        <v>1057</v>
      </c>
      <c r="J3" t="s">
        <v>1058</v>
      </c>
    </row>
    <row r="4" spans="2:10" x14ac:dyDescent="0.25">
      <c r="B4" s="2" t="s">
        <v>1322</v>
      </c>
      <c r="C4" s="244">
        <v>23501.46</v>
      </c>
      <c r="H4" s="2">
        <v>2015</v>
      </c>
      <c r="I4" s="244">
        <v>52430.91</v>
      </c>
      <c r="J4" s="70">
        <v>14</v>
      </c>
    </row>
    <row r="5" spans="2:10" x14ac:dyDescent="0.25">
      <c r="B5" s="2" t="s">
        <v>1320</v>
      </c>
      <c r="C5" s="244">
        <v>53245.53</v>
      </c>
      <c r="H5" s="3">
        <v>10</v>
      </c>
      <c r="I5" s="244">
        <v>2239.7399999999998</v>
      </c>
      <c r="J5" s="70">
        <v>2</v>
      </c>
    </row>
    <row r="6" spans="2:10" x14ac:dyDescent="0.25">
      <c r="B6" s="2" t="s">
        <v>1324</v>
      </c>
      <c r="C6" s="244">
        <v>14656.34</v>
      </c>
      <c r="H6" s="541" t="s">
        <v>11</v>
      </c>
      <c r="I6" s="244">
        <v>2239.7399999999998</v>
      </c>
      <c r="J6" s="70">
        <v>2</v>
      </c>
    </row>
    <row r="7" spans="2:10" x14ac:dyDescent="0.25">
      <c r="B7" s="2" t="s">
        <v>1326</v>
      </c>
      <c r="C7" s="244">
        <v>29683.8</v>
      </c>
      <c r="H7" s="3">
        <v>11</v>
      </c>
      <c r="I7" s="244">
        <v>677.7</v>
      </c>
      <c r="J7" s="70">
        <v>2</v>
      </c>
    </row>
    <row r="8" spans="2:10" x14ac:dyDescent="0.25">
      <c r="B8" s="2" t="s">
        <v>1344</v>
      </c>
      <c r="C8" s="244">
        <v>36355.599999999999</v>
      </c>
      <c r="H8" s="541" t="s">
        <v>13</v>
      </c>
      <c r="I8" s="244">
        <v>677.7</v>
      </c>
      <c r="J8" s="70">
        <v>2</v>
      </c>
    </row>
    <row r="9" spans="2:10" x14ac:dyDescent="0.25">
      <c r="B9" s="2" t="s">
        <v>1334</v>
      </c>
      <c r="C9" s="244">
        <v>96823.45</v>
      </c>
      <c r="H9" s="3">
        <v>12</v>
      </c>
      <c r="I9" s="244">
        <v>49513.47</v>
      </c>
      <c r="J9" s="70">
        <v>10</v>
      </c>
    </row>
    <row r="10" spans="2:10" x14ac:dyDescent="0.25">
      <c r="B10" s="2" t="s">
        <v>1342</v>
      </c>
      <c r="C10" s="244">
        <v>39274.78</v>
      </c>
      <c r="H10" s="541" t="s">
        <v>14</v>
      </c>
      <c r="I10" s="244">
        <v>49513.47</v>
      </c>
      <c r="J10" s="70">
        <v>10</v>
      </c>
    </row>
    <row r="11" spans="2:10" x14ac:dyDescent="0.25">
      <c r="B11" s="2" t="s">
        <v>1353</v>
      </c>
      <c r="C11" s="244">
        <v>6515.99</v>
      </c>
      <c r="H11" s="2">
        <v>2016</v>
      </c>
      <c r="I11" s="244">
        <v>948691.41</v>
      </c>
      <c r="J11" s="70">
        <v>167</v>
      </c>
    </row>
    <row r="12" spans="2:10" x14ac:dyDescent="0.25">
      <c r="B12" s="2" t="s">
        <v>1348</v>
      </c>
      <c r="C12" s="244">
        <v>45094.82</v>
      </c>
      <c r="H12" s="3">
        <v>1</v>
      </c>
      <c r="I12" s="244">
        <v>3494.65</v>
      </c>
      <c r="J12" s="70">
        <v>12</v>
      </c>
    </row>
    <row r="13" spans="2:10" x14ac:dyDescent="0.25">
      <c r="B13" s="2" t="s">
        <v>1363</v>
      </c>
      <c r="C13" s="244">
        <v>16072.38</v>
      </c>
      <c r="H13" s="541" t="s">
        <v>7</v>
      </c>
      <c r="I13" s="244">
        <v>3494.65</v>
      </c>
      <c r="J13" s="70">
        <v>12</v>
      </c>
    </row>
    <row r="14" spans="2:10" x14ac:dyDescent="0.25">
      <c r="B14" s="2" t="s">
        <v>1316</v>
      </c>
      <c r="C14" s="244">
        <v>2600.9899999999998</v>
      </c>
      <c r="H14" s="3">
        <v>2</v>
      </c>
      <c r="I14" s="244">
        <v>419068.17</v>
      </c>
      <c r="J14" s="70">
        <v>103</v>
      </c>
    </row>
    <row r="15" spans="2:10" x14ac:dyDescent="0.25">
      <c r="B15" s="2" t="s">
        <v>1340</v>
      </c>
      <c r="C15" s="244">
        <v>122933.94</v>
      </c>
      <c r="H15" s="541" t="s">
        <v>15</v>
      </c>
      <c r="I15" s="244">
        <v>419068.17</v>
      </c>
      <c r="J15" s="70">
        <v>103</v>
      </c>
    </row>
    <row r="16" spans="2:10" x14ac:dyDescent="0.25">
      <c r="B16" s="2" t="s">
        <v>1346</v>
      </c>
      <c r="C16" s="244">
        <v>23652.55</v>
      </c>
      <c r="H16" s="3">
        <v>3</v>
      </c>
      <c r="I16" s="244">
        <v>261244.39</v>
      </c>
      <c r="J16" s="70">
        <v>16</v>
      </c>
    </row>
    <row r="17" spans="2:10" x14ac:dyDescent="0.25">
      <c r="B17" s="2" t="s">
        <v>1328</v>
      </c>
      <c r="C17" s="244">
        <v>17295.64</v>
      </c>
      <c r="H17" s="541" t="s">
        <v>6</v>
      </c>
      <c r="I17" s="244">
        <v>261244.39</v>
      </c>
      <c r="J17" s="70">
        <v>16</v>
      </c>
    </row>
    <row r="18" spans="2:10" x14ac:dyDescent="0.25">
      <c r="B18" s="2" t="s">
        <v>1338</v>
      </c>
      <c r="C18" s="244">
        <v>19586.16</v>
      </c>
      <c r="H18" s="3">
        <v>4</v>
      </c>
      <c r="I18" s="244">
        <v>161382.79</v>
      </c>
      <c r="J18" s="70">
        <v>6</v>
      </c>
    </row>
    <row r="19" spans="2:10" x14ac:dyDescent="0.25">
      <c r="B19" s="2" t="s">
        <v>1350</v>
      </c>
      <c r="C19" s="244">
        <v>116802.81</v>
      </c>
      <c r="H19" s="541" t="s">
        <v>9</v>
      </c>
      <c r="I19" s="244">
        <v>161382.79</v>
      </c>
      <c r="J19" s="70">
        <v>6</v>
      </c>
    </row>
    <row r="20" spans="2:10" x14ac:dyDescent="0.25">
      <c r="B20" s="2" t="s">
        <v>1330</v>
      </c>
      <c r="C20" s="244">
        <v>5390.19</v>
      </c>
      <c r="H20" s="3">
        <v>5</v>
      </c>
      <c r="I20" s="244">
        <v>15684.02</v>
      </c>
      <c r="J20" s="70">
        <v>2</v>
      </c>
    </row>
    <row r="21" spans="2:10" x14ac:dyDescent="0.25">
      <c r="B21" s="2" t="s">
        <v>1332</v>
      </c>
      <c r="C21" s="244">
        <v>7946.13</v>
      </c>
      <c r="H21" s="541" t="s">
        <v>4</v>
      </c>
      <c r="I21" s="244">
        <v>15684.02</v>
      </c>
      <c r="J21" s="70">
        <v>2</v>
      </c>
    </row>
    <row r="22" spans="2:10" x14ac:dyDescent="0.25">
      <c r="B22" s="2" t="s">
        <v>1357</v>
      </c>
      <c r="C22" s="244">
        <v>19135.91</v>
      </c>
      <c r="H22" s="3">
        <v>6</v>
      </c>
      <c r="I22" s="244">
        <v>33456.199999999997</v>
      </c>
      <c r="J22" s="70">
        <v>11</v>
      </c>
    </row>
    <row r="23" spans="2:10" x14ac:dyDescent="0.25">
      <c r="B23" s="2" t="s">
        <v>1336</v>
      </c>
      <c r="C23" s="244">
        <v>120865.14</v>
      </c>
      <c r="H23" s="541" t="s">
        <v>12</v>
      </c>
      <c r="I23" s="244">
        <v>33456.199999999997</v>
      </c>
      <c r="J23" s="70">
        <v>11</v>
      </c>
    </row>
    <row r="24" spans="2:10" x14ac:dyDescent="0.25">
      <c r="B24" s="2" t="s">
        <v>1359</v>
      </c>
      <c r="C24" s="244">
        <v>16118.24</v>
      </c>
      <c r="H24" s="3">
        <v>7</v>
      </c>
      <c r="I24" s="244">
        <v>26478.89</v>
      </c>
      <c r="J24" s="70">
        <v>3</v>
      </c>
    </row>
    <row r="25" spans="2:10" x14ac:dyDescent="0.25">
      <c r="B25" s="2" t="s">
        <v>1355</v>
      </c>
      <c r="C25" s="244">
        <v>59657.14</v>
      </c>
      <c r="H25" s="541" t="s">
        <v>8</v>
      </c>
      <c r="I25" s="244">
        <v>26478.89</v>
      </c>
      <c r="J25" s="70">
        <v>3</v>
      </c>
    </row>
    <row r="26" spans="2:10" x14ac:dyDescent="0.25">
      <c r="B26" s="2" t="s">
        <v>1318</v>
      </c>
      <c r="C26" s="244">
        <v>40872.519999999997</v>
      </c>
      <c r="H26" s="3">
        <v>8</v>
      </c>
      <c r="I26" s="244">
        <v>4540.18</v>
      </c>
      <c r="J26" s="70">
        <v>3</v>
      </c>
    </row>
    <row r="27" spans="2:10" x14ac:dyDescent="0.25">
      <c r="B27" s="2" t="s">
        <v>1361</v>
      </c>
      <c r="C27" s="244">
        <v>52721.36</v>
      </c>
      <c r="H27" s="541" t="s">
        <v>10</v>
      </c>
      <c r="I27" s="244">
        <v>4540.18</v>
      </c>
      <c r="J27" s="70">
        <v>3</v>
      </c>
    </row>
    <row r="28" spans="2:10" x14ac:dyDescent="0.25">
      <c r="B28" s="2" t="s">
        <v>243</v>
      </c>
      <c r="C28" s="244">
        <v>14319.45</v>
      </c>
      <c r="H28" s="3">
        <v>10</v>
      </c>
      <c r="I28" s="244">
        <v>23342.12</v>
      </c>
      <c r="J28" s="70">
        <v>11</v>
      </c>
    </row>
    <row r="29" spans="2:10" x14ac:dyDescent="0.25">
      <c r="B29" s="2" t="s">
        <v>17</v>
      </c>
      <c r="C29" s="244">
        <v>1001122.32</v>
      </c>
      <c r="H29" s="541" t="s">
        <v>11</v>
      </c>
      <c r="I29" s="244">
        <v>23342.12</v>
      </c>
      <c r="J29" s="70">
        <v>11</v>
      </c>
    </row>
    <row r="30" spans="2:10" x14ac:dyDescent="0.25">
      <c r="H30" s="2" t="s">
        <v>17</v>
      </c>
      <c r="I30" s="244">
        <v>1001122.3200000001</v>
      </c>
      <c r="J30" s="70">
        <v>181</v>
      </c>
    </row>
  </sheetData>
  <mergeCells count="2">
    <mergeCell ref="B1:C1"/>
    <mergeCell ref="H1:J1"/>
  </mergeCells>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FFC000"/>
  </sheetPr>
  <dimension ref="A1:CI42"/>
  <sheetViews>
    <sheetView topLeftCell="B1" workbookViewId="0">
      <selection activeCell="P16" sqref="P16"/>
    </sheetView>
  </sheetViews>
  <sheetFormatPr defaultRowHeight="15" x14ac:dyDescent="0.25"/>
  <cols>
    <col min="1" max="1" width="14.140625" bestFit="1" customWidth="1"/>
    <col min="2" max="3" width="11.140625" customWidth="1"/>
    <col min="4" max="4" width="12" customWidth="1"/>
    <col min="8" max="8" width="11.28515625" customWidth="1"/>
    <col min="9" max="9" width="14.140625" customWidth="1"/>
    <col min="13" max="13" width="11.28515625" customWidth="1"/>
    <col min="14" max="14" width="12.140625" customWidth="1"/>
    <col min="15" max="16" width="11.140625" customWidth="1"/>
    <col min="17" max="17" width="12.140625" customWidth="1"/>
    <col min="18" max="18" width="13.140625" customWidth="1"/>
    <col min="19" max="21" width="12.140625" customWidth="1"/>
    <col min="22" max="22" width="13.140625" customWidth="1"/>
    <col min="23" max="23" width="11.140625" customWidth="1"/>
    <col min="24" max="24" width="13.140625" customWidth="1"/>
    <col min="29" max="29" width="26.28515625" customWidth="1"/>
    <col min="30" max="30" width="12.7109375" customWidth="1"/>
    <col min="33" max="33" width="13.140625" customWidth="1"/>
    <col min="34" max="34" width="12.7109375" customWidth="1"/>
    <col min="39" max="39" width="14.140625" customWidth="1"/>
    <col min="40" max="40" width="12.5703125" customWidth="1"/>
    <col min="41" max="41" width="36.42578125" customWidth="1"/>
    <col min="42" max="42" width="13" customWidth="1"/>
    <col min="46" max="46" width="26.28515625" customWidth="1"/>
    <col min="47" max="47" width="12.140625" customWidth="1"/>
    <col min="48" max="48" width="11.140625" customWidth="1"/>
    <col min="49" max="50" width="12.5703125" customWidth="1"/>
    <col min="51" max="51" width="7.85546875" customWidth="1"/>
    <col min="52" max="52" width="7" customWidth="1"/>
    <col min="53" max="53" width="10" customWidth="1"/>
    <col min="54" max="54" width="7" customWidth="1"/>
    <col min="55" max="55" width="26.28515625" customWidth="1"/>
    <col min="56" max="56" width="11.140625" customWidth="1"/>
    <col min="57" max="57" width="12.28515625" customWidth="1"/>
    <col min="58" max="58" width="13.42578125" customWidth="1"/>
    <col min="59" max="59" width="4" customWidth="1"/>
    <col min="60" max="60" width="7" customWidth="1"/>
    <col min="61" max="61" width="13.140625" customWidth="1"/>
    <col min="62" max="62" width="11.140625" customWidth="1"/>
    <col min="63" max="64" width="4" customWidth="1"/>
    <col min="65" max="65" width="13.140625" customWidth="1"/>
    <col min="66" max="66" width="10" customWidth="1"/>
    <col min="67" max="67" width="4" customWidth="1"/>
    <col min="68" max="68" width="7" customWidth="1"/>
    <col min="69" max="69" width="4" customWidth="1"/>
    <col min="70" max="70" width="11.28515625" customWidth="1"/>
    <col min="71" max="71" width="18.28515625" customWidth="1"/>
    <col min="72" max="72" width="13.42578125" customWidth="1"/>
    <col min="73" max="73" width="6" customWidth="1"/>
    <col min="74" max="74" width="7.28515625" customWidth="1"/>
    <col min="75" max="75" width="13.140625" customWidth="1"/>
    <col min="76" max="76" width="18.28515625" customWidth="1"/>
    <col min="77" max="77" width="15.42578125" customWidth="1"/>
    <col min="78" max="78" width="12.140625" customWidth="1"/>
    <col min="79" max="79" width="11.28515625" customWidth="1"/>
    <col min="80" max="80" width="13.140625" customWidth="1"/>
    <col min="81" max="81" width="18.28515625" customWidth="1"/>
    <col min="82" max="82" width="15.42578125" customWidth="1"/>
    <col min="83" max="84" width="4" customWidth="1"/>
    <col min="85" max="85" width="13.140625" customWidth="1"/>
    <col min="86" max="86" width="11.5703125" customWidth="1"/>
    <col min="87" max="87" width="15.42578125" customWidth="1"/>
    <col min="88" max="88" width="4" customWidth="1"/>
    <col min="89" max="89" width="7" customWidth="1"/>
    <col min="90" max="90" width="6" customWidth="1"/>
    <col min="91" max="91" width="4" customWidth="1"/>
    <col min="92" max="92" width="6" customWidth="1"/>
    <col min="93" max="93" width="7" customWidth="1"/>
    <col min="94" max="94" width="6" customWidth="1"/>
    <col min="95" max="95" width="7" customWidth="1"/>
    <col min="96" max="96" width="4" customWidth="1"/>
    <col min="97" max="97" width="7" customWidth="1"/>
    <col min="98" max="98" width="4" customWidth="1"/>
    <col min="99" max="101" width="7" customWidth="1"/>
    <col min="102" max="103" width="4" customWidth="1"/>
    <col min="104" max="104" width="6" customWidth="1"/>
    <col min="105" max="105" width="4" customWidth="1"/>
    <col min="106" max="106" width="7" customWidth="1"/>
    <col min="107" max="107" width="4" customWidth="1"/>
    <col min="108" max="109" width="7" customWidth="1"/>
    <col min="110" max="110" width="4" customWidth="1"/>
    <col min="111" max="112" width="6" customWidth="1"/>
    <col min="113" max="113" width="4" customWidth="1"/>
    <col min="114" max="114" width="7" customWidth="1"/>
    <col min="115" max="115" width="4" customWidth="1"/>
    <col min="116" max="116" width="6" customWidth="1"/>
    <col min="117" max="118" width="4" customWidth="1"/>
    <col min="119" max="119" width="6" customWidth="1"/>
    <col min="120" max="122" width="4" customWidth="1"/>
    <col min="123" max="124" width="7" customWidth="1"/>
    <col min="125" max="129" width="4" customWidth="1"/>
    <col min="130" max="131" width="7" customWidth="1"/>
    <col min="132" max="132" width="6" customWidth="1"/>
    <col min="133" max="133" width="4" customWidth="1"/>
    <col min="134" max="134" width="7" customWidth="1"/>
    <col min="135" max="135" width="5" customWidth="1"/>
    <col min="136" max="136" width="7" customWidth="1"/>
    <col min="137" max="138" width="5" customWidth="1"/>
    <col min="139" max="140" width="8" customWidth="1"/>
    <col min="141" max="141" width="5" customWidth="1"/>
    <col min="142" max="143" width="8" customWidth="1"/>
    <col min="144" max="144" width="5" customWidth="1"/>
    <col min="145" max="145" width="7" customWidth="1"/>
    <col min="146" max="146" width="5" customWidth="1"/>
    <col min="147" max="147" width="7" customWidth="1"/>
    <col min="148" max="148" width="5" customWidth="1"/>
    <col min="149" max="151" width="8" customWidth="1"/>
    <col min="152" max="152" width="7" customWidth="1"/>
    <col min="153" max="153" width="5" customWidth="1"/>
    <col min="154" max="159" width="8" customWidth="1"/>
    <col min="160" max="160" width="5" customWidth="1"/>
    <col min="161" max="162" width="8" customWidth="1"/>
    <col min="163" max="163" width="7" customWidth="1"/>
    <col min="164" max="168" width="8" customWidth="1"/>
    <col min="169" max="169" width="7" customWidth="1"/>
    <col min="170" max="171" width="9" customWidth="1"/>
    <col min="172" max="174" width="10" bestFit="1" customWidth="1"/>
    <col min="175" max="175" width="9" customWidth="1"/>
    <col min="176" max="176" width="8" customWidth="1"/>
    <col min="177" max="177" width="7.28515625" customWidth="1"/>
    <col min="178" max="178" width="11.28515625" bestFit="1" customWidth="1"/>
  </cols>
  <sheetData>
    <row r="1" spans="1:87" x14ac:dyDescent="0.25">
      <c r="A1" s="734" t="s">
        <v>1272</v>
      </c>
      <c r="B1" s="732"/>
      <c r="C1" s="732"/>
      <c r="D1" s="733"/>
      <c r="H1" s="734" t="s">
        <v>1273</v>
      </c>
      <c r="I1" s="733"/>
      <c r="M1" s="561" t="s">
        <v>1274</v>
      </c>
      <c r="N1" s="563"/>
      <c r="Q1" s="9"/>
      <c r="R1" s="84" t="s">
        <v>1298</v>
      </c>
      <c r="S1" s="84"/>
      <c r="U1" s="9"/>
      <c r="V1" s="84" t="s">
        <v>1299</v>
      </c>
      <c r="W1" s="84"/>
      <c r="AC1" s="734" t="s">
        <v>1275</v>
      </c>
      <c r="AD1" s="733"/>
      <c r="AG1" s="561">
        <v>13</v>
      </c>
      <c r="AH1" s="732" t="s">
        <v>1070</v>
      </c>
      <c r="AI1" s="733"/>
      <c r="AM1" s="734" t="s">
        <v>1277</v>
      </c>
      <c r="AN1" s="732"/>
      <c r="AO1" s="733"/>
      <c r="AP1" s="567"/>
      <c r="AT1" s="734" t="s">
        <v>1280</v>
      </c>
      <c r="AU1" s="732"/>
      <c r="AV1" s="732"/>
      <c r="AW1" s="732"/>
      <c r="AX1" s="732"/>
      <c r="AY1" s="733"/>
      <c r="BC1" s="734" t="s">
        <v>1281</v>
      </c>
      <c r="BD1" s="732"/>
      <c r="BE1" s="733"/>
      <c r="BI1" s="734" t="s">
        <v>1283</v>
      </c>
      <c r="BJ1" s="733"/>
      <c r="BM1" s="734" t="s">
        <v>1308</v>
      </c>
      <c r="BN1" s="733"/>
      <c r="BR1" s="734" t="s">
        <v>1290</v>
      </c>
      <c r="BS1" s="732"/>
      <c r="BT1" s="733"/>
      <c r="BW1" s="734" t="s">
        <v>1291</v>
      </c>
      <c r="BX1" s="732"/>
      <c r="BY1" s="733"/>
      <c r="CB1" s="734" t="s">
        <v>1293</v>
      </c>
      <c r="CC1" s="732"/>
      <c r="CD1" s="733"/>
      <c r="CG1" s="734" t="s">
        <v>1295</v>
      </c>
      <c r="CH1" s="732"/>
      <c r="CI1" s="733"/>
    </row>
    <row r="3" spans="1:87" x14ac:dyDescent="0.25">
      <c r="A3" s="1" t="s">
        <v>1065</v>
      </c>
      <c r="B3" t="s">
        <v>656</v>
      </c>
      <c r="C3" t="s">
        <v>1060</v>
      </c>
      <c r="D3" t="s">
        <v>446</v>
      </c>
      <c r="H3" s="1" t="s">
        <v>2</v>
      </c>
      <c r="I3" t="s">
        <v>1064</v>
      </c>
      <c r="M3" s="1" t="s">
        <v>2</v>
      </c>
      <c r="N3" t="s">
        <v>19</v>
      </c>
      <c r="R3" s="1" t="s">
        <v>2</v>
      </c>
      <c r="S3" s="2">
        <v>2015</v>
      </c>
      <c r="V3" s="1" t="s">
        <v>2</v>
      </c>
      <c r="W3" s="2">
        <v>2016</v>
      </c>
      <c r="AC3" s="1" t="s">
        <v>2</v>
      </c>
      <c r="AD3" s="2">
        <v>2015</v>
      </c>
      <c r="AG3" s="1" t="s">
        <v>2</v>
      </c>
      <c r="AH3" t="s">
        <v>19</v>
      </c>
      <c r="AM3" s="1" t="s">
        <v>1065</v>
      </c>
      <c r="AN3" t="s">
        <v>1072</v>
      </c>
      <c r="AO3" t="s">
        <v>1071</v>
      </c>
      <c r="AT3" s="1" t="s">
        <v>16</v>
      </c>
      <c r="AU3" t="s">
        <v>655</v>
      </c>
      <c r="AV3" t="s">
        <v>654</v>
      </c>
      <c r="AW3" t="s">
        <v>1278</v>
      </c>
      <c r="AX3" t="s">
        <v>1161</v>
      </c>
      <c r="AY3" t="s">
        <v>1279</v>
      </c>
      <c r="BC3" s="1" t="s">
        <v>2</v>
      </c>
      <c r="BD3" s="2">
        <v>2015</v>
      </c>
      <c r="BI3" s="1" t="s">
        <v>2</v>
      </c>
      <c r="BJ3" t="s">
        <v>19</v>
      </c>
      <c r="BR3" s="1" t="s">
        <v>2</v>
      </c>
      <c r="BS3" s="2">
        <v>2016</v>
      </c>
      <c r="BW3" s="1" t="s">
        <v>2</v>
      </c>
      <c r="BX3" s="2">
        <v>2016</v>
      </c>
      <c r="CB3" s="1" t="s">
        <v>2</v>
      </c>
      <c r="CC3" s="2">
        <v>2016</v>
      </c>
      <c r="CD3" s="554"/>
      <c r="CG3" s="1" t="s">
        <v>2</v>
      </c>
      <c r="CH3" t="s">
        <v>19</v>
      </c>
    </row>
    <row r="4" spans="1:87" x14ac:dyDescent="0.25">
      <c r="A4" s="2">
        <v>2015</v>
      </c>
      <c r="B4" s="244">
        <v>73464060</v>
      </c>
      <c r="C4" s="244">
        <v>38027378.280000001</v>
      </c>
      <c r="D4" s="85">
        <v>1.9318728590510656</v>
      </c>
      <c r="H4" s="2">
        <v>2015</v>
      </c>
      <c r="I4" s="67">
        <v>82.00333333333333</v>
      </c>
      <c r="M4" s="1" t="s">
        <v>1054</v>
      </c>
      <c r="N4" t="s">
        <v>19</v>
      </c>
      <c r="AM4" s="2">
        <v>2015</v>
      </c>
      <c r="AN4" s="244">
        <v>450559.71000000008</v>
      </c>
      <c r="AO4" s="71">
        <v>2886.6899999999996</v>
      </c>
      <c r="AP4" s="71"/>
      <c r="AT4" s="2" t="s">
        <v>1322</v>
      </c>
      <c r="AU4" s="4">
        <v>125473.46</v>
      </c>
      <c r="AV4" s="4">
        <v>674679</v>
      </c>
      <c r="AW4" s="4"/>
      <c r="AX4" s="4"/>
      <c r="AY4" s="4"/>
    </row>
    <row r="5" spans="1:87" x14ac:dyDescent="0.25">
      <c r="A5" s="3">
        <v>1</v>
      </c>
      <c r="B5" s="244">
        <v>19818618</v>
      </c>
      <c r="C5" s="244">
        <v>12675792.76</v>
      </c>
      <c r="D5" s="85">
        <v>1.5635012638057677</v>
      </c>
      <c r="H5" s="3">
        <v>1</v>
      </c>
      <c r="I5" s="67">
        <v>80.19</v>
      </c>
      <c r="M5" s="1" t="s">
        <v>1</v>
      </c>
      <c r="N5" t="s">
        <v>19</v>
      </c>
      <c r="R5" s="1" t="s">
        <v>16</v>
      </c>
      <c r="S5" t="s">
        <v>1297</v>
      </c>
      <c r="V5" s="1" t="s">
        <v>16</v>
      </c>
      <c r="W5" t="s">
        <v>1297</v>
      </c>
      <c r="AC5" s="1" t="s">
        <v>16</v>
      </c>
      <c r="AD5" t="s">
        <v>226</v>
      </c>
      <c r="AG5" s="1" t="s">
        <v>16</v>
      </c>
      <c r="AH5" t="s">
        <v>226</v>
      </c>
      <c r="AM5" s="3">
        <v>1</v>
      </c>
      <c r="AN5" s="244">
        <v>36431.279999999999</v>
      </c>
      <c r="AO5" s="71">
        <v>334.9</v>
      </c>
      <c r="AP5" s="71"/>
      <c r="AT5" s="2" t="s">
        <v>1320</v>
      </c>
      <c r="AU5" s="4">
        <v>133805.53</v>
      </c>
      <c r="AV5" s="4">
        <v>451903</v>
      </c>
      <c r="AW5" s="4"/>
      <c r="AX5" s="4"/>
      <c r="AY5" s="4"/>
      <c r="BC5" s="1" t="s">
        <v>16</v>
      </c>
      <c r="BD5" t="s">
        <v>0</v>
      </c>
      <c r="BE5" t="s">
        <v>1163</v>
      </c>
      <c r="BI5" s="1" t="s">
        <v>16</v>
      </c>
      <c r="BJ5" t="s">
        <v>1282</v>
      </c>
      <c r="BM5" s="1" t="s">
        <v>16</v>
      </c>
      <c r="BN5" t="s">
        <v>1307</v>
      </c>
      <c r="BR5" s="1" t="s">
        <v>1287</v>
      </c>
      <c r="BS5" t="s">
        <v>1288</v>
      </c>
      <c r="BT5" t="s">
        <v>1289</v>
      </c>
      <c r="BW5" s="1" t="s">
        <v>16</v>
      </c>
      <c r="BX5" t="s">
        <v>1288</v>
      </c>
      <c r="BY5" t="s">
        <v>1292</v>
      </c>
      <c r="CB5" s="1" t="s">
        <v>16</v>
      </c>
      <c r="CC5" t="s">
        <v>1288</v>
      </c>
      <c r="CD5" t="s">
        <v>1292</v>
      </c>
      <c r="CG5" s="1" t="s">
        <v>16</v>
      </c>
      <c r="CH5" t="s">
        <v>1294</v>
      </c>
      <c r="CI5" t="s">
        <v>1292</v>
      </c>
    </row>
    <row r="6" spans="1:87" x14ac:dyDescent="0.25">
      <c r="A6" s="541" t="s">
        <v>7</v>
      </c>
      <c r="B6" s="244">
        <v>19818618</v>
      </c>
      <c r="C6" s="244">
        <v>12675792.76</v>
      </c>
      <c r="D6" s="85">
        <v>1.5635012638057677</v>
      </c>
      <c r="H6" s="541" t="s">
        <v>7</v>
      </c>
      <c r="I6" s="67">
        <v>80.19</v>
      </c>
      <c r="R6" s="2"/>
      <c r="S6" s="244">
        <v>281016087</v>
      </c>
      <c r="T6" s="244"/>
      <c r="V6" s="2"/>
      <c r="W6" s="244">
        <v>10926225</v>
      </c>
      <c r="AC6" s="2" t="s">
        <v>1344</v>
      </c>
      <c r="AD6" s="4">
        <v>21327292</v>
      </c>
      <c r="AG6" s="2" t="s">
        <v>17</v>
      </c>
      <c r="AH6" s="4"/>
      <c r="AM6" s="541" t="s">
        <v>7</v>
      </c>
      <c r="AN6" s="244">
        <v>36431.279999999999</v>
      </c>
      <c r="AO6" s="71">
        <v>334.9</v>
      </c>
      <c r="AP6" s="71"/>
      <c r="AR6" s="39"/>
      <c r="AT6" s="2" t="s">
        <v>1324</v>
      </c>
      <c r="AU6" s="4">
        <v>33888.339999999997</v>
      </c>
      <c r="AV6" s="4">
        <v>314610</v>
      </c>
      <c r="AW6" s="4"/>
      <c r="AX6" s="4"/>
      <c r="AY6" s="4"/>
      <c r="BC6" s="2" t="s">
        <v>1322</v>
      </c>
      <c r="BD6" s="4">
        <v>674679</v>
      </c>
      <c r="BE6" s="4"/>
      <c r="BI6" s="2" t="s">
        <v>495</v>
      </c>
      <c r="BJ6" s="4">
        <v>283375450</v>
      </c>
      <c r="BM6" s="2">
        <v>2014</v>
      </c>
      <c r="BN6" s="67">
        <v>0</v>
      </c>
      <c r="BR6" s="2" t="s">
        <v>1183</v>
      </c>
      <c r="BS6" s="67">
        <v>6.56</v>
      </c>
      <c r="BT6" s="67">
        <v>93.44</v>
      </c>
      <c r="BW6" s="2" t="s">
        <v>1181</v>
      </c>
      <c r="BX6" s="4">
        <v>40.39</v>
      </c>
      <c r="BY6" s="4">
        <v>59.61</v>
      </c>
      <c r="CB6" s="2" t="s">
        <v>1182</v>
      </c>
      <c r="CC6" s="4">
        <v>26.03</v>
      </c>
      <c r="CD6" s="4">
        <v>73.97</v>
      </c>
      <c r="CG6" s="2" t="s">
        <v>243</v>
      </c>
      <c r="CH6" s="4"/>
      <c r="CI6" s="4"/>
    </row>
    <row r="7" spans="1:87" x14ac:dyDescent="0.25">
      <c r="A7" s="3">
        <v>11</v>
      </c>
      <c r="B7" s="244">
        <v>20813105</v>
      </c>
      <c r="C7" s="244">
        <v>12675792.76</v>
      </c>
      <c r="D7" s="85">
        <v>1.6419568696072624</v>
      </c>
      <c r="H7" s="3">
        <v>2</v>
      </c>
      <c r="I7" s="67">
        <v>83.07</v>
      </c>
      <c r="M7" s="1" t="s">
        <v>182</v>
      </c>
      <c r="N7" t="s">
        <v>1069</v>
      </c>
      <c r="R7" s="2" t="s">
        <v>243</v>
      </c>
      <c r="S7" s="244">
        <v>480592</v>
      </c>
      <c r="T7" s="244"/>
      <c r="V7" s="2" t="s">
        <v>243</v>
      </c>
      <c r="W7" s="244">
        <v>237462</v>
      </c>
      <c r="AC7" s="2" t="s">
        <v>1334</v>
      </c>
      <c r="AD7" s="4">
        <v>27577841</v>
      </c>
      <c r="AM7" s="3">
        <v>2</v>
      </c>
      <c r="AN7" s="244">
        <v>27052</v>
      </c>
      <c r="AO7" s="71">
        <v>343.44</v>
      </c>
      <c r="AP7" s="71"/>
      <c r="AT7" s="2" t="s">
        <v>1326</v>
      </c>
      <c r="AU7" s="4">
        <v>47530.36</v>
      </c>
      <c r="AV7" s="4">
        <v>470107.44</v>
      </c>
      <c r="AW7" s="4"/>
      <c r="AX7" s="4"/>
      <c r="AY7" s="4"/>
      <c r="BC7" s="2" t="s">
        <v>1320</v>
      </c>
      <c r="BD7" s="4">
        <v>451903</v>
      </c>
      <c r="BE7" s="4"/>
      <c r="BI7" s="2" t="s">
        <v>491</v>
      </c>
      <c r="BJ7" s="4">
        <v>10845804</v>
      </c>
      <c r="BM7" s="3" t="s">
        <v>495</v>
      </c>
      <c r="BN7" s="67">
        <v>0</v>
      </c>
      <c r="BR7" s="2" t="s">
        <v>17</v>
      </c>
      <c r="BS7" s="67">
        <v>6.56</v>
      </c>
      <c r="BT7" s="67">
        <v>93.44</v>
      </c>
      <c r="BW7" s="2" t="s">
        <v>17</v>
      </c>
      <c r="BX7" s="4">
        <v>40.39</v>
      </c>
      <c r="BY7" s="4">
        <v>59.61</v>
      </c>
      <c r="CB7" s="2" t="s">
        <v>17</v>
      </c>
      <c r="CC7" s="4">
        <v>26.03</v>
      </c>
      <c r="CD7" s="4">
        <v>73.97</v>
      </c>
      <c r="CG7" s="2" t="s">
        <v>17</v>
      </c>
      <c r="CH7" s="4"/>
      <c r="CI7" s="4"/>
    </row>
    <row r="8" spans="1:87" x14ac:dyDescent="0.25">
      <c r="A8" s="541" t="s">
        <v>13</v>
      </c>
      <c r="B8" s="244">
        <v>20813105</v>
      </c>
      <c r="C8" s="244">
        <v>12675792.76</v>
      </c>
      <c r="D8" s="85">
        <v>1.6419568696072624</v>
      </c>
      <c r="H8" s="541" t="s">
        <v>15</v>
      </c>
      <c r="I8" s="67">
        <v>83.07</v>
      </c>
      <c r="M8" s="2"/>
      <c r="N8" s="244">
        <v>293503200</v>
      </c>
      <c r="Q8" s="244"/>
      <c r="R8" s="2" t="s">
        <v>17</v>
      </c>
      <c r="S8" s="244">
        <v>281496679</v>
      </c>
      <c r="T8" s="244"/>
      <c r="V8" s="2" t="s">
        <v>17</v>
      </c>
      <c r="W8" s="244">
        <v>11163687</v>
      </c>
      <c r="AC8" s="2" t="s">
        <v>1340</v>
      </c>
      <c r="AD8" s="4">
        <v>74128402</v>
      </c>
      <c r="AM8" s="541" t="s">
        <v>15</v>
      </c>
      <c r="AN8" s="244">
        <v>27052</v>
      </c>
      <c r="AO8" s="71">
        <v>343.44</v>
      </c>
      <c r="AP8" s="71"/>
      <c r="AT8" s="2" t="s">
        <v>1344</v>
      </c>
      <c r="AU8" s="4">
        <v>161481.60000000001</v>
      </c>
      <c r="AV8" s="4">
        <v>21327292</v>
      </c>
      <c r="AW8" s="4"/>
      <c r="AX8" s="4"/>
      <c r="AY8" s="4"/>
      <c r="BC8" s="2" t="s">
        <v>1324</v>
      </c>
      <c r="BD8" s="4">
        <v>314610</v>
      </c>
      <c r="BE8" s="4"/>
      <c r="BI8" s="2" t="s">
        <v>17</v>
      </c>
      <c r="BJ8" s="4">
        <v>294221254</v>
      </c>
      <c r="BM8" s="2">
        <v>2015</v>
      </c>
      <c r="BN8" s="67">
        <v>71.22</v>
      </c>
    </row>
    <row r="9" spans="1:87" x14ac:dyDescent="0.25">
      <c r="A9" s="3">
        <v>12</v>
      </c>
      <c r="B9" s="244">
        <v>32832337</v>
      </c>
      <c r="C9" s="244">
        <v>12675792.76</v>
      </c>
      <c r="D9" s="85">
        <v>2.5901604437401673</v>
      </c>
      <c r="H9" s="3">
        <v>3</v>
      </c>
      <c r="I9" s="67">
        <v>80.42</v>
      </c>
      <c r="M9" s="2" t="s">
        <v>243</v>
      </c>
      <c r="N9" s="244">
        <v>718054</v>
      </c>
      <c r="Q9" s="244"/>
      <c r="AC9" s="2" t="s">
        <v>1338</v>
      </c>
      <c r="AD9" s="4">
        <v>141707660</v>
      </c>
      <c r="AM9" s="3">
        <v>3</v>
      </c>
      <c r="AN9" s="244">
        <v>32374.7</v>
      </c>
      <c r="AO9" s="71">
        <v>218.12</v>
      </c>
      <c r="AP9" s="71"/>
      <c r="AT9" s="2" t="s">
        <v>1334</v>
      </c>
      <c r="AU9" s="4">
        <v>1369510.26</v>
      </c>
      <c r="AV9" s="4">
        <v>27580082.190000001</v>
      </c>
      <c r="AW9" s="4"/>
      <c r="AX9" s="4"/>
      <c r="AY9" s="4"/>
      <c r="BC9" s="2" t="s">
        <v>1326</v>
      </c>
      <c r="BD9" s="4">
        <v>465180</v>
      </c>
      <c r="BE9" s="4">
        <v>4927.4399999999996</v>
      </c>
      <c r="BM9" s="3" t="s">
        <v>495</v>
      </c>
      <c r="BN9" s="67">
        <v>42.31</v>
      </c>
    </row>
    <row r="10" spans="1:87" x14ac:dyDescent="0.25">
      <c r="A10" s="541" t="s">
        <v>14</v>
      </c>
      <c r="B10" s="244">
        <v>32832337</v>
      </c>
      <c r="C10" s="244">
        <v>12675792.76</v>
      </c>
      <c r="D10" s="85">
        <v>2.5901604437401673</v>
      </c>
      <c r="H10" s="541" t="s">
        <v>6</v>
      </c>
      <c r="I10" s="67">
        <v>80.42</v>
      </c>
      <c r="M10" s="2" t="s">
        <v>17</v>
      </c>
      <c r="N10" s="244">
        <v>294221254</v>
      </c>
      <c r="Q10" s="244"/>
      <c r="AC10" s="2" t="s">
        <v>17</v>
      </c>
      <c r="AD10" s="4">
        <v>264741195</v>
      </c>
      <c r="AM10" s="541" t="s">
        <v>6</v>
      </c>
      <c r="AN10" s="244">
        <v>32374.7</v>
      </c>
      <c r="AO10" s="71">
        <v>218.12</v>
      </c>
      <c r="AP10" s="71"/>
      <c r="AT10" s="2" t="s">
        <v>1342</v>
      </c>
      <c r="AU10" s="4">
        <v>95524.78</v>
      </c>
      <c r="AV10" s="4">
        <v>1368756</v>
      </c>
      <c r="AW10" s="4"/>
      <c r="AX10" s="4"/>
      <c r="AY10" s="4"/>
      <c r="BC10" s="2" t="s">
        <v>1344</v>
      </c>
      <c r="BD10" s="4">
        <v>21327292</v>
      </c>
      <c r="BE10" s="4"/>
      <c r="BM10" s="3" t="s">
        <v>491</v>
      </c>
      <c r="BN10" s="67">
        <v>28.91</v>
      </c>
    </row>
    <row r="11" spans="1:87" x14ac:dyDescent="0.25">
      <c r="A11" s="2" t="s">
        <v>17</v>
      </c>
      <c r="B11" s="244">
        <v>73464060</v>
      </c>
      <c r="C11" s="244">
        <v>38027378.280000001</v>
      </c>
      <c r="D11" s="85">
        <v>1.9318728590510656</v>
      </c>
      <c r="H11" s="3">
        <v>4</v>
      </c>
      <c r="I11" s="67">
        <v>77.47</v>
      </c>
      <c r="AM11" s="3">
        <v>4</v>
      </c>
      <c r="AN11" s="244">
        <v>71897.05</v>
      </c>
      <c r="AO11" s="71">
        <v>170.31</v>
      </c>
      <c r="AP11" s="71"/>
      <c r="AT11" s="2" t="s">
        <v>1353</v>
      </c>
      <c r="AU11" s="4">
        <v>35439.29</v>
      </c>
      <c r="AV11" s="4">
        <v>958550.7</v>
      </c>
      <c r="AW11" s="4"/>
      <c r="AX11" s="4"/>
      <c r="AY11" s="4"/>
      <c r="BC11" s="2" t="s">
        <v>1334</v>
      </c>
      <c r="BD11" s="4">
        <v>27577841</v>
      </c>
      <c r="BE11" s="4">
        <v>2241.19</v>
      </c>
      <c r="BM11" s="2">
        <v>2016</v>
      </c>
      <c r="BN11" s="67">
        <v>61.83</v>
      </c>
    </row>
    <row r="12" spans="1:87" x14ac:dyDescent="0.25">
      <c r="H12" s="541" t="s">
        <v>9</v>
      </c>
      <c r="I12" s="67">
        <v>77.47</v>
      </c>
      <c r="AM12" s="541" t="s">
        <v>9</v>
      </c>
      <c r="AN12" s="244">
        <v>71897.05</v>
      </c>
      <c r="AO12" s="71">
        <v>170.31</v>
      </c>
      <c r="AP12" s="71"/>
      <c r="AT12" s="2" t="s">
        <v>1348</v>
      </c>
      <c r="AU12" s="4">
        <v>82926.820000000007</v>
      </c>
      <c r="AV12" s="4">
        <v>1355402</v>
      </c>
      <c r="AW12" s="4"/>
      <c r="AX12" s="4"/>
      <c r="AY12" s="4"/>
      <c r="BC12" s="2" t="s">
        <v>1342</v>
      </c>
      <c r="BD12" s="4">
        <v>1368756</v>
      </c>
      <c r="BE12" s="4"/>
      <c r="BM12" s="3" t="s">
        <v>495</v>
      </c>
      <c r="BN12" s="67">
        <v>43.11</v>
      </c>
    </row>
    <row r="13" spans="1:87" x14ac:dyDescent="0.25">
      <c r="H13" s="3">
        <v>5</v>
      </c>
      <c r="I13" s="67">
        <v>78.25</v>
      </c>
      <c r="T13" s="39"/>
      <c r="U13" s="39"/>
      <c r="AM13" s="3">
        <v>5</v>
      </c>
      <c r="AN13" s="244">
        <v>51525.8</v>
      </c>
      <c r="AO13" s="71">
        <v>207.23</v>
      </c>
      <c r="AP13" s="71"/>
      <c r="AT13" s="2" t="s">
        <v>1363</v>
      </c>
      <c r="AU13" s="4">
        <v>16072.38</v>
      </c>
      <c r="AV13" s="4"/>
      <c r="AW13" s="4"/>
      <c r="AX13" s="4"/>
      <c r="AY13" s="4"/>
      <c r="BC13" s="2" t="s">
        <v>1353</v>
      </c>
      <c r="BD13" s="4">
        <v>957873</v>
      </c>
      <c r="BE13" s="4">
        <v>677.7</v>
      </c>
      <c r="BM13" s="3" t="s">
        <v>491</v>
      </c>
      <c r="BN13" s="67">
        <v>18.72</v>
      </c>
    </row>
    <row r="14" spans="1:87" x14ac:dyDescent="0.25">
      <c r="H14" s="541" t="s">
        <v>4</v>
      </c>
      <c r="I14" s="67">
        <v>78.25</v>
      </c>
      <c r="T14" s="39"/>
      <c r="U14" s="39"/>
      <c r="AM14" s="541" t="s">
        <v>4</v>
      </c>
      <c r="AN14" s="244">
        <v>51525.8</v>
      </c>
      <c r="AO14" s="71">
        <v>207.23</v>
      </c>
      <c r="AP14" s="71"/>
      <c r="AT14" s="2" t="s">
        <v>1316</v>
      </c>
      <c r="AU14" s="4">
        <v>118663.55</v>
      </c>
      <c r="AV14" s="4">
        <v>417329.44</v>
      </c>
      <c r="AW14" s="4"/>
      <c r="AX14" s="4"/>
      <c r="AY14" s="4"/>
      <c r="BC14" s="2" t="s">
        <v>1348</v>
      </c>
      <c r="BD14" s="4">
        <v>1355402</v>
      </c>
      <c r="BE14" s="4"/>
      <c r="BM14" s="2" t="s">
        <v>17</v>
      </c>
      <c r="BN14" s="67">
        <v>133.05000000000001</v>
      </c>
    </row>
    <row r="15" spans="1:87" x14ac:dyDescent="0.25">
      <c r="H15" s="3">
        <v>6</v>
      </c>
      <c r="I15" s="67">
        <v>83.04</v>
      </c>
      <c r="AM15" s="3">
        <v>6</v>
      </c>
      <c r="AN15" s="244">
        <v>32271.88</v>
      </c>
      <c r="AO15" s="71">
        <v>299.14</v>
      </c>
      <c r="AP15" s="71"/>
      <c r="AT15" s="2" t="s">
        <v>1340</v>
      </c>
      <c r="AU15" s="4">
        <v>6639332.6200000001</v>
      </c>
      <c r="AV15" s="4">
        <v>74144853.319999993</v>
      </c>
      <c r="AW15" s="4">
        <v>1560888</v>
      </c>
      <c r="AX15" s="4"/>
      <c r="AY15" s="4"/>
      <c r="BC15" s="2" t="s">
        <v>1316</v>
      </c>
      <c r="BD15" s="4">
        <v>417328</v>
      </c>
      <c r="BE15" s="4">
        <v>1.44</v>
      </c>
    </row>
    <row r="16" spans="1:87" x14ac:dyDescent="0.25">
      <c r="H16" s="541" t="s">
        <v>12</v>
      </c>
      <c r="I16" s="67">
        <v>83.04</v>
      </c>
      <c r="AM16" s="541" t="s">
        <v>12</v>
      </c>
      <c r="AN16" s="244">
        <v>32271.88</v>
      </c>
      <c r="AO16" s="71">
        <v>299.14</v>
      </c>
      <c r="AP16" s="71"/>
      <c r="AT16" s="2" t="s">
        <v>1346</v>
      </c>
      <c r="AU16" s="4">
        <v>25344.55</v>
      </c>
      <c r="AV16" s="4">
        <v>1680008</v>
      </c>
      <c r="AW16" s="4"/>
      <c r="AX16" s="4"/>
      <c r="AY16" s="4"/>
      <c r="BC16" s="2" t="s">
        <v>1340</v>
      </c>
      <c r="BD16" s="4">
        <v>74128402</v>
      </c>
      <c r="BE16" s="4">
        <v>16451.32</v>
      </c>
    </row>
    <row r="17" spans="8:57" x14ac:dyDescent="0.25">
      <c r="H17" s="3">
        <v>7</v>
      </c>
      <c r="I17" s="67">
        <v>85.65</v>
      </c>
      <c r="AM17" s="3">
        <v>7</v>
      </c>
      <c r="AN17" s="244">
        <v>26942.51</v>
      </c>
      <c r="AO17" s="71">
        <v>226.6</v>
      </c>
      <c r="AP17" s="71"/>
      <c r="AT17" s="2" t="s">
        <v>1328</v>
      </c>
      <c r="AU17" s="4">
        <v>120775.64</v>
      </c>
      <c r="AV17" s="4">
        <v>1760892</v>
      </c>
      <c r="AW17" s="4"/>
      <c r="AX17" s="4"/>
      <c r="AY17" s="4"/>
      <c r="BC17" s="2" t="s">
        <v>1346</v>
      </c>
      <c r="BD17" s="4">
        <v>1680008</v>
      </c>
      <c r="BE17" s="4"/>
    </row>
    <row r="18" spans="8:57" x14ac:dyDescent="0.25">
      <c r="H18" s="541" t="s">
        <v>8</v>
      </c>
      <c r="I18" s="67">
        <v>85.65</v>
      </c>
      <c r="AM18" s="541" t="s">
        <v>8</v>
      </c>
      <c r="AN18" s="244">
        <v>26942.51</v>
      </c>
      <c r="AO18" s="71">
        <v>226.6</v>
      </c>
      <c r="AP18" s="71"/>
      <c r="AR18" s="39"/>
      <c r="AT18" s="2" t="s">
        <v>1338</v>
      </c>
      <c r="AU18" s="4">
        <v>1417727.16</v>
      </c>
      <c r="AV18" s="4">
        <v>141707660</v>
      </c>
      <c r="AW18" s="4"/>
      <c r="AX18" s="4"/>
      <c r="AY18" s="4"/>
      <c r="BC18" s="2" t="s">
        <v>1328</v>
      </c>
      <c r="BD18" s="4">
        <v>1760892</v>
      </c>
      <c r="BE18" s="4"/>
    </row>
    <row r="19" spans="8:57" x14ac:dyDescent="0.25">
      <c r="H19" s="3">
        <v>8</v>
      </c>
      <c r="I19" s="67">
        <v>85.3</v>
      </c>
      <c r="AM19" s="3">
        <v>8</v>
      </c>
      <c r="AN19" s="244">
        <v>45381.45</v>
      </c>
      <c r="AO19" s="71">
        <v>344.37</v>
      </c>
      <c r="AP19" s="71"/>
      <c r="AR19" s="39"/>
      <c r="AT19" s="2" t="s">
        <v>1350</v>
      </c>
      <c r="AU19" s="4">
        <v>116396.19</v>
      </c>
      <c r="AV19" s="4">
        <v>406.62</v>
      </c>
      <c r="AW19" s="4"/>
      <c r="AX19" s="4"/>
      <c r="AY19" s="4"/>
      <c r="BC19" s="2" t="s">
        <v>1338</v>
      </c>
      <c r="BD19" s="4">
        <v>141707660</v>
      </c>
      <c r="BE19" s="4"/>
    </row>
    <row r="20" spans="8:57" x14ac:dyDescent="0.25">
      <c r="H20" s="541" t="s">
        <v>10</v>
      </c>
      <c r="I20" s="67">
        <v>85.3</v>
      </c>
      <c r="AM20" s="541" t="s">
        <v>10</v>
      </c>
      <c r="AN20" s="244">
        <v>45381.45</v>
      </c>
      <c r="AO20" s="71">
        <v>344.37</v>
      </c>
      <c r="AP20" s="71"/>
      <c r="AT20" s="2" t="s">
        <v>1330</v>
      </c>
      <c r="AU20" s="4">
        <v>346892.17</v>
      </c>
      <c r="AV20" s="4">
        <v>1343569.02</v>
      </c>
      <c r="AW20" s="4"/>
      <c r="AX20" s="4"/>
      <c r="AY20" s="4"/>
      <c r="BC20" s="2" t="s">
        <v>1350</v>
      </c>
      <c r="BD20" s="4"/>
      <c r="BE20" s="4">
        <v>406.62</v>
      </c>
    </row>
    <row r="21" spans="8:57" x14ac:dyDescent="0.25">
      <c r="H21" s="3">
        <v>9</v>
      </c>
      <c r="I21" s="67">
        <v>84.18</v>
      </c>
      <c r="AM21" s="3">
        <v>9</v>
      </c>
      <c r="AN21" s="244">
        <v>33034.400000000001</v>
      </c>
      <c r="AO21" s="71">
        <v>248.91</v>
      </c>
      <c r="AP21" s="71"/>
      <c r="AT21" s="2" t="s">
        <v>1332</v>
      </c>
      <c r="AU21" s="4">
        <v>276360.13</v>
      </c>
      <c r="AV21" s="4">
        <v>4123450</v>
      </c>
      <c r="AW21" s="4"/>
      <c r="AX21" s="4"/>
      <c r="AY21" s="4"/>
      <c r="BC21" s="2" t="s">
        <v>1330</v>
      </c>
      <c r="BD21" s="4">
        <v>1339471</v>
      </c>
      <c r="BE21" s="4">
        <v>4098.0200000000004</v>
      </c>
    </row>
    <row r="22" spans="8:57" x14ac:dyDescent="0.25">
      <c r="H22" s="541" t="s">
        <v>5</v>
      </c>
      <c r="I22" s="67">
        <v>84.18</v>
      </c>
      <c r="AM22" s="541" t="s">
        <v>5</v>
      </c>
      <c r="AN22" s="244">
        <v>33034.400000000001</v>
      </c>
      <c r="AO22" s="71">
        <v>248.91</v>
      </c>
      <c r="AP22" s="71"/>
      <c r="AT22" s="2" t="s">
        <v>1357</v>
      </c>
      <c r="AU22" s="4">
        <v>16660.64</v>
      </c>
      <c r="AV22" s="4">
        <v>2475.27</v>
      </c>
      <c r="AW22" s="4"/>
      <c r="AX22" s="4"/>
      <c r="AY22" s="4"/>
      <c r="BC22" s="2" t="s">
        <v>1332</v>
      </c>
      <c r="BD22" s="4">
        <v>4123450</v>
      </c>
      <c r="BE22" s="4"/>
    </row>
    <row r="23" spans="8:57" x14ac:dyDescent="0.25">
      <c r="H23" s="3">
        <v>10</v>
      </c>
      <c r="I23" s="67">
        <v>83.93</v>
      </c>
      <c r="AM23" s="3">
        <v>10</v>
      </c>
      <c r="AN23" s="244">
        <v>22415.81</v>
      </c>
      <c r="AO23" s="71">
        <v>232.46</v>
      </c>
      <c r="AP23" s="71"/>
      <c r="AT23" s="2" t="s">
        <v>1336</v>
      </c>
      <c r="AU23" s="4">
        <v>99713.23</v>
      </c>
      <c r="AV23" s="4">
        <v>21151.91</v>
      </c>
      <c r="AW23" s="4"/>
      <c r="AX23" s="4"/>
      <c r="AY23" s="4"/>
      <c r="BC23" s="2" t="s">
        <v>1357</v>
      </c>
      <c r="BD23" s="4"/>
      <c r="BE23" s="4">
        <v>2475.27</v>
      </c>
    </row>
    <row r="24" spans="8:57" x14ac:dyDescent="0.25">
      <c r="H24" s="541" t="s">
        <v>11</v>
      </c>
      <c r="I24" s="67">
        <v>83.93</v>
      </c>
      <c r="AM24" s="541" t="s">
        <v>11</v>
      </c>
      <c r="AN24" s="244">
        <v>22415.81</v>
      </c>
      <c r="AO24" s="71">
        <v>232.46</v>
      </c>
      <c r="AP24" s="71"/>
      <c r="AT24" s="2" t="s">
        <v>1359</v>
      </c>
      <c r="AU24" s="4">
        <v>16118.24</v>
      </c>
      <c r="AV24" s="4"/>
      <c r="AW24" s="4"/>
      <c r="AX24" s="4"/>
      <c r="AY24" s="4"/>
      <c r="BC24" s="2" t="s">
        <v>1336</v>
      </c>
      <c r="BD24" s="4"/>
      <c r="BE24" s="4">
        <v>21151.91</v>
      </c>
    </row>
    <row r="25" spans="8:57" x14ac:dyDescent="0.25">
      <c r="H25" s="3">
        <v>11</v>
      </c>
      <c r="I25" s="67">
        <v>82.3</v>
      </c>
      <c r="AM25" s="3">
        <v>11</v>
      </c>
      <c r="AN25" s="244">
        <v>35700</v>
      </c>
      <c r="AO25" s="71">
        <v>103.17</v>
      </c>
      <c r="AP25" s="71"/>
      <c r="AT25" s="2" t="s">
        <v>1355</v>
      </c>
      <c r="AU25" s="4">
        <v>59657.14</v>
      </c>
      <c r="AV25" s="4"/>
      <c r="AW25" s="4"/>
      <c r="AX25" s="4"/>
      <c r="AY25" s="4"/>
      <c r="BC25" s="2" t="s">
        <v>1318</v>
      </c>
      <c r="BD25" s="4">
        <v>1365340</v>
      </c>
      <c r="BE25" s="4"/>
    </row>
    <row r="26" spans="8:57" x14ac:dyDescent="0.25">
      <c r="H26" s="541" t="s">
        <v>13</v>
      </c>
      <c r="I26" s="67">
        <v>82.3</v>
      </c>
      <c r="AM26" s="541" t="s">
        <v>13</v>
      </c>
      <c r="AN26" s="244">
        <v>35700</v>
      </c>
      <c r="AO26" s="71">
        <v>103.17</v>
      </c>
      <c r="AP26" s="71"/>
      <c r="AT26" s="2" t="s">
        <v>1318</v>
      </c>
      <c r="AU26" s="4">
        <v>452581.52</v>
      </c>
      <c r="AV26" s="4">
        <v>1365340</v>
      </c>
      <c r="AW26" s="4"/>
      <c r="AX26" s="4"/>
      <c r="AY26" s="4"/>
      <c r="BC26" s="2" t="s">
        <v>243</v>
      </c>
      <c r="BD26" s="4">
        <v>480592</v>
      </c>
      <c r="BE26" s="4"/>
    </row>
    <row r="27" spans="8:57" x14ac:dyDescent="0.25">
      <c r="H27" s="3">
        <v>12</v>
      </c>
      <c r="I27" s="67">
        <v>80.239999999999995</v>
      </c>
      <c r="AM27" s="3">
        <v>12</v>
      </c>
      <c r="AN27" s="244">
        <v>35532.83</v>
      </c>
      <c r="AO27" s="71">
        <v>158.04</v>
      </c>
      <c r="AP27" s="71"/>
      <c r="AT27" s="2" t="s">
        <v>1361</v>
      </c>
      <c r="AU27" s="4">
        <v>52721.36</v>
      </c>
      <c r="AV27" s="4"/>
      <c r="AW27" s="4"/>
      <c r="AX27" s="4"/>
      <c r="AY27" s="4"/>
      <c r="BC27" s="2" t="s">
        <v>17</v>
      </c>
      <c r="BD27" s="4">
        <v>281496679</v>
      </c>
      <c r="BE27" s="4">
        <v>52430.909999999996</v>
      </c>
    </row>
    <row r="28" spans="8:57" x14ac:dyDescent="0.25">
      <c r="H28" s="541" t="s">
        <v>14</v>
      </c>
      <c r="I28" s="67">
        <v>80.239999999999995</v>
      </c>
      <c r="AM28" s="541" t="s">
        <v>14</v>
      </c>
      <c r="AN28" s="244">
        <v>35532.83</v>
      </c>
      <c r="AO28" s="71">
        <v>158.04</v>
      </c>
      <c r="AP28" s="71"/>
      <c r="AT28" s="2" t="s">
        <v>243</v>
      </c>
      <c r="AU28" s="4"/>
      <c r="AV28" s="4"/>
      <c r="AW28" s="4"/>
      <c r="AX28" s="4"/>
      <c r="AY28" s="4"/>
    </row>
    <row r="29" spans="8:57" x14ac:dyDescent="0.25">
      <c r="H29" s="2" t="s">
        <v>17</v>
      </c>
      <c r="I29" s="67">
        <v>82.00333333333333</v>
      </c>
      <c r="AM29" s="2" t="s">
        <v>17</v>
      </c>
      <c r="AN29" s="244">
        <v>450559.71000000008</v>
      </c>
      <c r="AO29" s="71">
        <v>2886.6899999999996</v>
      </c>
      <c r="AP29" s="71"/>
      <c r="AT29" s="2" t="s">
        <v>17</v>
      </c>
      <c r="AU29" s="4">
        <v>11860596.960000003</v>
      </c>
      <c r="AV29" s="4">
        <v>281068517.91000003</v>
      </c>
      <c r="AW29" s="4">
        <v>1560888</v>
      </c>
      <c r="AX29" s="4"/>
      <c r="AY29" s="4"/>
    </row>
    <row r="30" spans="8:57" x14ac:dyDescent="0.25">
      <c r="AP30" s="71"/>
    </row>
    <row r="31" spans="8:57" x14ac:dyDescent="0.25">
      <c r="AP31" s="71"/>
    </row>
    <row r="32" spans="8:57" x14ac:dyDescent="0.25">
      <c r="AP32" s="71"/>
    </row>
    <row r="33" spans="42:42" x14ac:dyDescent="0.25">
      <c r="AP33" s="71"/>
    </row>
    <row r="34" spans="42:42" x14ac:dyDescent="0.25">
      <c r="AP34" s="71"/>
    </row>
    <row r="35" spans="42:42" x14ac:dyDescent="0.25">
      <c r="AP35" s="71"/>
    </row>
    <row r="36" spans="42:42" x14ac:dyDescent="0.25">
      <c r="AP36" s="71"/>
    </row>
    <row r="37" spans="42:42" x14ac:dyDescent="0.25">
      <c r="AP37" s="71"/>
    </row>
    <row r="38" spans="42:42" x14ac:dyDescent="0.25">
      <c r="AP38" s="71"/>
    </row>
    <row r="39" spans="42:42" x14ac:dyDescent="0.25">
      <c r="AP39" s="71"/>
    </row>
    <row r="40" spans="42:42" x14ac:dyDescent="0.25">
      <c r="AP40" s="71"/>
    </row>
    <row r="41" spans="42:42" x14ac:dyDescent="0.25">
      <c r="AP41" s="71"/>
    </row>
    <row r="42" spans="42:42" x14ac:dyDescent="0.25">
      <c r="AP42" s="71"/>
    </row>
  </sheetData>
  <mergeCells count="13">
    <mergeCell ref="CB1:CD1"/>
    <mergeCell ref="CG1:CI1"/>
    <mergeCell ref="BM1:BN1"/>
    <mergeCell ref="BI1:BJ1"/>
    <mergeCell ref="AM1:AO1"/>
    <mergeCell ref="BC1:BE1"/>
    <mergeCell ref="BR1:BT1"/>
    <mergeCell ref="BW1:BY1"/>
    <mergeCell ref="A1:D1"/>
    <mergeCell ref="H1:I1"/>
    <mergeCell ref="AT1:AY1"/>
    <mergeCell ref="AC1:AD1"/>
    <mergeCell ref="AH1:AI1"/>
  </mergeCells>
  <pageMargins left="0.7" right="0.7" top="0.75" bottom="0.75" header="0.3" footer="0.3"/>
  <drawing r:id="rId17"/>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C000"/>
  </sheetPr>
  <dimension ref="A1:BN21"/>
  <sheetViews>
    <sheetView topLeftCell="R1" workbookViewId="0"/>
  </sheetViews>
  <sheetFormatPr defaultRowHeight="15" x14ac:dyDescent="0.25"/>
  <cols>
    <col min="1" max="1" width="11.42578125" customWidth="1"/>
    <col min="2" max="2" width="13.85546875" customWidth="1"/>
    <col min="3" max="3" width="17.140625" customWidth="1"/>
    <col min="4" max="4" width="16.5703125" customWidth="1"/>
    <col min="5" max="5" width="17.7109375" customWidth="1"/>
    <col min="6" max="6" width="17.28515625" customWidth="1"/>
    <col min="7" max="7" width="13.28515625" customWidth="1"/>
    <col min="8" max="8" width="20.140625" customWidth="1"/>
    <col min="9" max="9" width="16.28515625" customWidth="1"/>
    <col min="10" max="10" width="9.85546875" customWidth="1"/>
    <col min="11" max="11" width="16.28515625" customWidth="1"/>
    <col min="12" max="12" width="20.140625" customWidth="1"/>
    <col min="13" max="13" width="11.42578125" customWidth="1"/>
    <col min="14" max="14" width="13.85546875" customWidth="1"/>
    <col min="15" max="15" width="17.140625" customWidth="1"/>
    <col min="16" max="16" width="16.5703125" customWidth="1"/>
    <col min="17" max="17" width="17.7109375" customWidth="1"/>
    <col min="18" max="18" width="17.28515625" customWidth="1"/>
    <col min="19" max="19" width="16.28515625" customWidth="1"/>
    <col min="20" max="20" width="9.85546875" customWidth="1"/>
    <col min="21" max="21" width="16.28515625" customWidth="1"/>
    <col min="22" max="22" width="20.140625" customWidth="1"/>
    <col min="23" max="23" width="11.42578125" customWidth="1"/>
    <col min="24" max="24" width="13.85546875" customWidth="1"/>
    <col min="25" max="25" width="17.140625" customWidth="1"/>
    <col min="26" max="26" width="16.5703125" customWidth="1"/>
    <col min="27" max="27" width="17.7109375" customWidth="1"/>
    <col min="28" max="28" width="17.28515625" customWidth="1"/>
    <col min="29" max="29" width="16.28515625" customWidth="1"/>
    <col min="30" max="30" width="9.85546875" customWidth="1"/>
    <col min="31" max="31" width="16.28515625" customWidth="1"/>
    <col min="32" max="32" width="11.42578125" customWidth="1"/>
    <col min="33" max="33" width="13.85546875" customWidth="1"/>
    <col min="34" max="34" width="11.7109375" customWidth="1"/>
    <col min="35" max="35" width="16.28515625" customWidth="1"/>
    <col min="36" max="36" width="9.85546875" customWidth="1"/>
    <col min="37" max="37" width="16.28515625" customWidth="1"/>
    <col min="38" max="38" width="11.42578125" customWidth="1"/>
    <col min="39" max="39" width="13.85546875" customWidth="1"/>
    <col min="40" max="40" width="11.7109375" customWidth="1"/>
    <col min="41" max="41" width="16.28515625" customWidth="1"/>
    <col min="42" max="42" width="9.85546875" customWidth="1"/>
    <col min="43" max="43" width="16.28515625" customWidth="1"/>
    <col min="44" max="44" width="11.42578125" customWidth="1"/>
    <col min="45" max="45" width="13.85546875" customWidth="1"/>
    <col min="46" max="46" width="11.7109375" customWidth="1"/>
    <col min="47" max="47" width="16.28515625" customWidth="1"/>
    <col min="48" max="48" width="9.85546875" customWidth="1"/>
    <col min="49" max="49" width="16.28515625" customWidth="1"/>
    <col min="50" max="50" width="11.42578125" customWidth="1"/>
    <col min="51" max="51" width="13.85546875" customWidth="1"/>
    <col min="52" max="52" width="11.7109375" customWidth="1"/>
    <col min="53" max="53" width="16.28515625" customWidth="1"/>
    <col min="54" max="54" width="9.85546875" customWidth="1"/>
    <col min="55" max="55" width="16.28515625" customWidth="1"/>
    <col min="56" max="56" width="11.42578125" customWidth="1"/>
    <col min="57" max="57" width="13.85546875" customWidth="1"/>
    <col min="58" max="58" width="11.7109375" customWidth="1"/>
    <col min="59" max="59" width="16.28515625" customWidth="1"/>
    <col min="60" max="60" width="9.85546875" customWidth="1"/>
    <col min="61" max="61" width="16.28515625" customWidth="1"/>
    <col min="62" max="62" width="11.42578125" customWidth="1"/>
    <col min="63" max="63" width="13.85546875" customWidth="1"/>
    <col min="64" max="64" width="11.7109375" customWidth="1"/>
    <col min="65" max="65" width="16.28515625" customWidth="1"/>
    <col min="66" max="66" width="9.85546875" customWidth="1"/>
    <col min="67" max="67" width="16.28515625" customWidth="1"/>
    <col min="68" max="68" width="9.85546875" customWidth="1"/>
  </cols>
  <sheetData>
    <row r="1" spans="1:66" x14ac:dyDescent="0.25">
      <c r="A1">
        <v>24</v>
      </c>
      <c r="B1" s="734" t="s">
        <v>1092</v>
      </c>
      <c r="C1" s="732"/>
      <c r="D1" s="732"/>
      <c r="E1" s="732"/>
      <c r="F1" s="732"/>
      <c r="G1" s="732"/>
      <c r="H1" s="732"/>
      <c r="I1" s="573"/>
      <c r="J1" s="573"/>
      <c r="K1" s="567"/>
      <c r="L1" s="564"/>
      <c r="M1" s="559"/>
      <c r="N1" s="559">
        <v>25</v>
      </c>
      <c r="O1" s="564" t="s">
        <v>1093</v>
      </c>
      <c r="P1" s="565"/>
      <c r="Q1" s="565"/>
      <c r="R1" s="565"/>
      <c r="S1" s="565"/>
      <c r="T1" s="566"/>
      <c r="U1" s="567"/>
      <c r="V1" s="561"/>
      <c r="W1" s="562"/>
      <c r="X1" s="562">
        <v>26</v>
      </c>
      <c r="Y1" s="564" t="s">
        <v>1094</v>
      </c>
      <c r="Z1" s="565"/>
      <c r="AA1" s="565"/>
      <c r="AB1" s="565"/>
      <c r="AC1" s="565"/>
      <c r="AD1" s="566"/>
      <c r="AE1" s="567"/>
      <c r="AF1" s="561"/>
      <c r="AG1" s="562"/>
      <c r="AH1" s="562">
        <v>27</v>
      </c>
      <c r="AI1" s="564" t="s">
        <v>99</v>
      </c>
      <c r="AJ1" s="566"/>
      <c r="AK1" s="567"/>
      <c r="AL1" s="564"/>
      <c r="AM1" s="562"/>
      <c r="AN1" s="562">
        <v>28</v>
      </c>
      <c r="AO1" s="564" t="s">
        <v>1173</v>
      </c>
      <c r="AP1" s="566"/>
      <c r="AQ1" s="567"/>
      <c r="AR1" s="564"/>
      <c r="AS1" s="562"/>
      <c r="AT1" s="562">
        <v>29</v>
      </c>
      <c r="AU1" s="564" t="s">
        <v>1174</v>
      </c>
      <c r="AV1" s="566"/>
      <c r="AW1" s="567"/>
      <c r="AX1" s="564"/>
      <c r="AY1" s="562"/>
      <c r="AZ1" s="562">
        <v>30</v>
      </c>
      <c r="BA1" s="562" t="s">
        <v>1175</v>
      </c>
      <c r="BB1" s="563"/>
      <c r="BD1" s="561"/>
      <c r="BE1" s="562"/>
      <c r="BF1" s="562">
        <v>31</v>
      </c>
      <c r="BG1" s="562" t="s">
        <v>1176</v>
      </c>
      <c r="BH1" s="563"/>
      <c r="BJ1" s="558"/>
      <c r="BK1" s="559"/>
      <c r="BL1" s="559">
        <v>32</v>
      </c>
      <c r="BM1" s="562" t="s">
        <v>1177</v>
      </c>
      <c r="BN1" s="560"/>
    </row>
    <row r="2" spans="1:66" x14ac:dyDescent="0.25">
      <c r="A2" t="s">
        <v>1004</v>
      </c>
      <c r="B2" t="s">
        <v>1005</v>
      </c>
      <c r="C2" t="s">
        <v>1048</v>
      </c>
      <c r="D2" t="s">
        <v>1049</v>
      </c>
      <c r="E2" t="s">
        <v>1050</v>
      </c>
      <c r="F2" t="s">
        <v>1051</v>
      </c>
      <c r="G2" t="s">
        <v>230</v>
      </c>
      <c r="H2" t="s">
        <v>1002</v>
      </c>
      <c r="I2" t="s">
        <v>1053</v>
      </c>
      <c r="J2" t="s">
        <v>1054</v>
      </c>
      <c r="L2" t="s">
        <v>1002</v>
      </c>
      <c r="M2" t="s">
        <v>1004</v>
      </c>
      <c r="N2" t="s">
        <v>1005</v>
      </c>
      <c r="O2" t="s">
        <v>1048</v>
      </c>
      <c r="P2" t="s">
        <v>1049</v>
      </c>
      <c r="Q2" t="s">
        <v>1050</v>
      </c>
      <c r="R2" t="s">
        <v>1051</v>
      </c>
      <c r="S2" t="s">
        <v>1053</v>
      </c>
      <c r="T2" t="s">
        <v>1054</v>
      </c>
      <c r="V2" t="s">
        <v>1002</v>
      </c>
      <c r="W2" t="s">
        <v>1004</v>
      </c>
      <c r="X2" t="s">
        <v>1005</v>
      </c>
      <c r="Y2" t="s">
        <v>1048</v>
      </c>
      <c r="Z2" t="s">
        <v>1049</v>
      </c>
      <c r="AA2" t="s">
        <v>1050</v>
      </c>
      <c r="AB2" t="s">
        <v>1051</v>
      </c>
      <c r="AC2" t="s">
        <v>1053</v>
      </c>
      <c r="AD2" t="s">
        <v>1054</v>
      </c>
      <c r="AF2" t="s">
        <v>1004</v>
      </c>
      <c r="AG2" t="s">
        <v>1005</v>
      </c>
      <c r="AH2" t="s">
        <v>1052</v>
      </c>
      <c r="AI2" t="s">
        <v>1053</v>
      </c>
      <c r="AJ2" t="s">
        <v>1054</v>
      </c>
      <c r="AL2" t="s">
        <v>1004</v>
      </c>
      <c r="AM2" t="s">
        <v>1005</v>
      </c>
      <c r="AN2" t="s">
        <v>1052</v>
      </c>
      <c r="AO2" t="s">
        <v>1053</v>
      </c>
      <c r="AP2" t="s">
        <v>1054</v>
      </c>
      <c r="AR2" t="s">
        <v>1004</v>
      </c>
      <c r="AS2" t="s">
        <v>1005</v>
      </c>
      <c r="AT2" t="s">
        <v>1052</v>
      </c>
      <c r="AU2" t="s">
        <v>1053</v>
      </c>
      <c r="AV2" t="s">
        <v>1054</v>
      </c>
      <c r="AX2" t="s">
        <v>1004</v>
      </c>
      <c r="AY2" t="s">
        <v>1005</v>
      </c>
      <c r="AZ2" t="s">
        <v>1052</v>
      </c>
      <c r="BA2" t="s">
        <v>1053</v>
      </c>
      <c r="BB2" t="s">
        <v>1054</v>
      </c>
      <c r="BD2" t="s">
        <v>1004</v>
      </c>
      <c r="BE2" t="s">
        <v>1005</v>
      </c>
      <c r="BF2" t="s">
        <v>1052</v>
      </c>
      <c r="BG2" t="s">
        <v>1053</v>
      </c>
      <c r="BH2" t="s">
        <v>1054</v>
      </c>
      <c r="BJ2" t="s">
        <v>1004</v>
      </c>
      <c r="BK2" t="s">
        <v>1005</v>
      </c>
      <c r="BL2" t="s">
        <v>1052</v>
      </c>
      <c r="BM2" t="s">
        <v>1053</v>
      </c>
      <c r="BN2" t="s">
        <v>1054</v>
      </c>
    </row>
    <row r="3" spans="1:66" x14ac:dyDescent="0.25">
      <c r="A3">
        <v>2015</v>
      </c>
      <c r="B3">
        <v>10</v>
      </c>
      <c r="F3">
        <v>100</v>
      </c>
      <c r="G3" t="s">
        <v>1254</v>
      </c>
      <c r="I3" t="s">
        <v>6</v>
      </c>
      <c r="J3">
        <v>3</v>
      </c>
      <c r="M3">
        <v>2015</v>
      </c>
      <c r="N3" t="s">
        <v>1253</v>
      </c>
      <c r="O3">
        <v>32.14</v>
      </c>
      <c r="R3">
        <v>67.86</v>
      </c>
      <c r="W3">
        <v>2016</v>
      </c>
      <c r="X3" t="s">
        <v>1253</v>
      </c>
      <c r="AB3">
        <v>100</v>
      </c>
      <c r="AF3">
        <v>2015</v>
      </c>
      <c r="AG3" t="s">
        <v>1249</v>
      </c>
      <c r="AH3">
        <v>42068</v>
      </c>
      <c r="AI3" t="s">
        <v>10</v>
      </c>
      <c r="AJ3">
        <v>8</v>
      </c>
      <c r="AL3">
        <v>2015</v>
      </c>
      <c r="AM3" t="s">
        <v>1253</v>
      </c>
      <c r="AN3">
        <v>41978.8</v>
      </c>
      <c r="AR3">
        <v>2016</v>
      </c>
      <c r="AS3" t="s">
        <v>1253</v>
      </c>
      <c r="AT3">
        <v>42240</v>
      </c>
      <c r="AX3">
        <v>2015</v>
      </c>
      <c r="AY3" t="s">
        <v>1249</v>
      </c>
      <c r="AZ3">
        <v>933.06</v>
      </c>
      <c r="BA3" t="s">
        <v>10</v>
      </c>
      <c r="BB3">
        <v>8</v>
      </c>
      <c r="BD3">
        <v>2015</v>
      </c>
      <c r="BE3" t="s">
        <v>1253</v>
      </c>
      <c r="BF3">
        <v>13063.03</v>
      </c>
      <c r="BJ3">
        <v>2016</v>
      </c>
      <c r="BK3" t="s">
        <v>1253</v>
      </c>
      <c r="BL3">
        <v>24901.58</v>
      </c>
    </row>
    <row r="4" spans="1:66" x14ac:dyDescent="0.25">
      <c r="A4">
        <v>2015</v>
      </c>
      <c r="B4">
        <v>10</v>
      </c>
      <c r="F4">
        <v>100</v>
      </c>
      <c r="G4" t="s">
        <v>1255</v>
      </c>
      <c r="I4" t="s">
        <v>6</v>
      </c>
      <c r="J4">
        <v>3</v>
      </c>
      <c r="L4" s="39"/>
      <c r="M4" s="39"/>
      <c r="AF4">
        <v>2015</v>
      </c>
      <c r="AG4" t="s">
        <v>1251</v>
      </c>
      <c r="AH4">
        <v>42135</v>
      </c>
      <c r="AI4" t="s">
        <v>11</v>
      </c>
      <c r="AJ4">
        <v>10</v>
      </c>
      <c r="AX4">
        <v>2015</v>
      </c>
      <c r="AY4" t="s">
        <v>1251</v>
      </c>
      <c r="AZ4">
        <v>59500</v>
      </c>
      <c r="BA4" t="s">
        <v>11</v>
      </c>
      <c r="BB4">
        <v>10</v>
      </c>
    </row>
    <row r="5" spans="1:66" x14ac:dyDescent="0.25">
      <c r="A5">
        <v>2015</v>
      </c>
      <c r="B5">
        <v>10</v>
      </c>
      <c r="F5">
        <v>100</v>
      </c>
      <c r="G5" t="s">
        <v>1256</v>
      </c>
      <c r="I5" t="s">
        <v>6</v>
      </c>
      <c r="J5">
        <v>3</v>
      </c>
      <c r="K5" s="39"/>
      <c r="L5" s="39"/>
      <c r="M5" s="39"/>
      <c r="AF5">
        <v>2015</v>
      </c>
      <c r="AG5" t="s">
        <v>1245</v>
      </c>
      <c r="AH5">
        <v>41861</v>
      </c>
      <c r="AI5" t="s">
        <v>7</v>
      </c>
      <c r="AJ5">
        <v>1</v>
      </c>
      <c r="AX5">
        <v>2015</v>
      </c>
      <c r="AY5" t="s">
        <v>1245</v>
      </c>
      <c r="AZ5">
        <v>640</v>
      </c>
      <c r="BA5" t="s">
        <v>7</v>
      </c>
      <c r="BB5">
        <v>1</v>
      </c>
    </row>
    <row r="6" spans="1:66" x14ac:dyDescent="0.25">
      <c r="A6">
        <v>2016</v>
      </c>
      <c r="B6">
        <v>9</v>
      </c>
      <c r="F6">
        <v>100</v>
      </c>
      <c r="G6" t="s">
        <v>1257</v>
      </c>
      <c r="I6" t="s">
        <v>15</v>
      </c>
      <c r="J6">
        <v>2</v>
      </c>
      <c r="K6" s="39"/>
      <c r="L6" s="39"/>
      <c r="M6" s="39"/>
      <c r="AF6">
        <v>2016</v>
      </c>
      <c r="AG6" t="s">
        <v>1245</v>
      </c>
      <c r="AH6">
        <v>42234</v>
      </c>
      <c r="AI6" t="s">
        <v>7</v>
      </c>
      <c r="AJ6">
        <v>1</v>
      </c>
      <c r="AX6">
        <v>2016</v>
      </c>
      <c r="AY6" t="s">
        <v>1245</v>
      </c>
      <c r="AZ6">
        <v>165.66</v>
      </c>
      <c r="BA6" t="s">
        <v>7</v>
      </c>
      <c r="BB6">
        <v>1</v>
      </c>
    </row>
    <row r="7" spans="1:66" x14ac:dyDescent="0.25">
      <c r="A7">
        <v>2015</v>
      </c>
      <c r="B7">
        <v>9</v>
      </c>
      <c r="F7">
        <v>100</v>
      </c>
      <c r="G7" t="s">
        <v>1258</v>
      </c>
      <c r="I7" t="s">
        <v>15</v>
      </c>
      <c r="J7">
        <v>2</v>
      </c>
      <c r="K7" s="39"/>
      <c r="L7" s="39"/>
      <c r="AF7">
        <v>2015</v>
      </c>
      <c r="AG7" t="s">
        <v>1246</v>
      </c>
      <c r="AH7">
        <v>41904</v>
      </c>
      <c r="AI7" t="s">
        <v>15</v>
      </c>
      <c r="AJ7">
        <v>2</v>
      </c>
      <c r="AX7">
        <v>2015</v>
      </c>
      <c r="AY7" t="s">
        <v>1246</v>
      </c>
      <c r="AZ7">
        <v>4154</v>
      </c>
      <c r="BA7" t="s">
        <v>15</v>
      </c>
      <c r="BB7">
        <v>2</v>
      </c>
    </row>
    <row r="8" spans="1:66" x14ac:dyDescent="0.25">
      <c r="A8">
        <v>2015</v>
      </c>
      <c r="B8">
        <v>9</v>
      </c>
      <c r="F8">
        <v>100</v>
      </c>
      <c r="G8" t="s">
        <v>1259</v>
      </c>
      <c r="I8" t="s">
        <v>15</v>
      </c>
      <c r="J8">
        <v>2</v>
      </c>
      <c r="K8" s="39"/>
      <c r="L8" s="39"/>
      <c r="AF8">
        <v>2016</v>
      </c>
      <c r="AG8" t="s">
        <v>1246</v>
      </c>
      <c r="AH8">
        <v>42246</v>
      </c>
      <c r="AI8" t="s">
        <v>15</v>
      </c>
      <c r="AJ8">
        <v>2</v>
      </c>
      <c r="AX8">
        <v>2016</v>
      </c>
      <c r="AY8" t="s">
        <v>1246</v>
      </c>
      <c r="AZ8">
        <v>49637.5</v>
      </c>
      <c r="BA8" t="s">
        <v>15</v>
      </c>
      <c r="BB8">
        <v>2</v>
      </c>
    </row>
    <row r="9" spans="1:66" x14ac:dyDescent="0.25">
      <c r="A9">
        <v>2015</v>
      </c>
      <c r="B9">
        <v>9</v>
      </c>
      <c r="F9">
        <v>100</v>
      </c>
      <c r="G9" t="s">
        <v>1260</v>
      </c>
      <c r="I9" t="s">
        <v>15</v>
      </c>
      <c r="J9">
        <v>2</v>
      </c>
      <c r="K9" s="39"/>
      <c r="L9" s="39"/>
      <c r="AF9">
        <v>2015</v>
      </c>
      <c r="AG9" t="s">
        <v>665</v>
      </c>
      <c r="AH9">
        <v>41926</v>
      </c>
      <c r="AI9" t="s">
        <v>6</v>
      </c>
      <c r="AJ9">
        <v>3</v>
      </c>
      <c r="AX9">
        <v>2015</v>
      </c>
      <c r="AY9" t="s">
        <v>665</v>
      </c>
      <c r="AZ9">
        <v>88.09</v>
      </c>
      <c r="BA9" t="s">
        <v>6</v>
      </c>
      <c r="BB9">
        <v>3</v>
      </c>
    </row>
    <row r="10" spans="1:66" x14ac:dyDescent="0.25">
      <c r="A10">
        <v>2016</v>
      </c>
      <c r="B10">
        <v>8</v>
      </c>
      <c r="F10">
        <v>100</v>
      </c>
      <c r="G10" t="s">
        <v>1261</v>
      </c>
      <c r="I10" t="s">
        <v>7</v>
      </c>
      <c r="J10">
        <v>1</v>
      </c>
      <c r="K10" s="39"/>
      <c r="L10" s="39"/>
    </row>
    <row r="11" spans="1:66" x14ac:dyDescent="0.25">
      <c r="A11">
        <v>2016</v>
      </c>
      <c r="B11">
        <v>8</v>
      </c>
      <c r="F11">
        <v>100</v>
      </c>
      <c r="G11" t="s">
        <v>472</v>
      </c>
      <c r="I11" t="s">
        <v>7</v>
      </c>
      <c r="J11">
        <v>1</v>
      </c>
    </row>
    <row r="12" spans="1:66" x14ac:dyDescent="0.25">
      <c r="A12">
        <v>2015</v>
      </c>
      <c r="B12">
        <v>8</v>
      </c>
      <c r="F12">
        <v>100</v>
      </c>
      <c r="G12" t="s">
        <v>1262</v>
      </c>
      <c r="I12" t="s">
        <v>7</v>
      </c>
      <c r="J12">
        <v>1</v>
      </c>
    </row>
    <row r="13" spans="1:66" x14ac:dyDescent="0.25">
      <c r="A13">
        <v>2015</v>
      </c>
      <c r="B13">
        <v>8</v>
      </c>
      <c r="C13">
        <v>71.430000000000007</v>
      </c>
      <c r="F13">
        <v>28.57</v>
      </c>
      <c r="G13" t="s">
        <v>472</v>
      </c>
      <c r="I13" t="s">
        <v>7</v>
      </c>
      <c r="J13">
        <v>1</v>
      </c>
    </row>
    <row r="14" spans="1:66" x14ac:dyDescent="0.25">
      <c r="A14">
        <v>2015</v>
      </c>
      <c r="B14">
        <v>5</v>
      </c>
      <c r="F14">
        <v>100</v>
      </c>
      <c r="G14" t="s">
        <v>1263</v>
      </c>
      <c r="I14" t="s">
        <v>11</v>
      </c>
      <c r="J14">
        <v>10</v>
      </c>
    </row>
    <row r="15" spans="1:66" x14ac:dyDescent="0.25">
      <c r="A15">
        <v>2015</v>
      </c>
      <c r="B15">
        <v>3</v>
      </c>
      <c r="C15">
        <v>100</v>
      </c>
      <c r="G15" t="s">
        <v>1264</v>
      </c>
      <c r="I15" t="s">
        <v>10</v>
      </c>
      <c r="J15">
        <v>8</v>
      </c>
    </row>
    <row r="16" spans="1:66" x14ac:dyDescent="0.25">
      <c r="A16">
        <v>2015</v>
      </c>
      <c r="B16">
        <v>3</v>
      </c>
      <c r="F16">
        <v>100</v>
      </c>
      <c r="G16" t="s">
        <v>1265</v>
      </c>
      <c r="I16" t="s">
        <v>10</v>
      </c>
      <c r="J16">
        <v>8</v>
      </c>
    </row>
    <row r="18" spans="1:10" x14ac:dyDescent="0.25">
      <c r="A18" s="39"/>
      <c r="B18" s="39"/>
      <c r="C18" s="39"/>
      <c r="D18" s="39"/>
      <c r="E18" s="39"/>
      <c r="F18" s="39"/>
      <c r="G18" s="39"/>
      <c r="H18" s="39"/>
      <c r="I18" s="39"/>
      <c r="J18" s="39"/>
    </row>
    <row r="19" spans="1:10" x14ac:dyDescent="0.25">
      <c r="A19" s="39"/>
      <c r="D19" s="39"/>
      <c r="E19" s="39"/>
      <c r="F19" s="39"/>
      <c r="G19" s="39"/>
      <c r="H19" s="39"/>
      <c r="I19" s="39"/>
      <c r="J19" s="39"/>
    </row>
    <row r="20" spans="1:10" x14ac:dyDescent="0.25">
      <c r="A20" s="39"/>
      <c r="D20" s="39"/>
      <c r="E20" s="39"/>
      <c r="F20" s="39"/>
      <c r="G20" s="39"/>
      <c r="H20" s="39"/>
      <c r="I20" s="39"/>
      <c r="J20" s="39"/>
    </row>
    <row r="21" spans="1:10" x14ac:dyDescent="0.25">
      <c r="A21" s="39"/>
      <c r="D21" s="39"/>
      <c r="E21" s="39"/>
      <c r="F21" s="39"/>
      <c r="G21" s="39"/>
      <c r="H21" s="39"/>
      <c r="I21" s="39"/>
      <c r="J21" s="39"/>
    </row>
  </sheetData>
  <mergeCells count="1">
    <mergeCell ref="B1:H1"/>
  </mergeCells>
  <pageMargins left="0.7" right="0.7" top="0.75" bottom="0.75" header="0.3" footer="0.3"/>
  <drawing r:id="rId1"/>
  <tableParts count="9">
    <tablePart r:id="rId2"/>
    <tablePart r:id="rId3"/>
    <tablePart r:id="rId4"/>
    <tablePart r:id="rId5"/>
    <tablePart r:id="rId6"/>
    <tablePart r:id="rId7"/>
    <tablePart r:id="rId8"/>
    <tablePart r:id="rId9"/>
    <tablePart r:id="rId10"/>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C000"/>
  </sheetPr>
  <dimension ref="A1:O23"/>
  <sheetViews>
    <sheetView workbookViewId="0"/>
  </sheetViews>
  <sheetFormatPr defaultRowHeight="15" x14ac:dyDescent="0.25"/>
  <cols>
    <col min="1" max="1" width="13.140625" customWidth="1"/>
    <col min="2" max="2" width="7.28515625" customWidth="1"/>
    <col min="3" max="3" width="6.7109375" customWidth="1"/>
    <col min="4" max="4" width="7.85546875" customWidth="1"/>
    <col min="5" max="5" width="8.140625" customWidth="1"/>
    <col min="9" max="9" width="13.140625" bestFit="1" customWidth="1"/>
    <col min="10" max="10" width="23.42578125" bestFit="1" customWidth="1"/>
    <col min="14" max="14" width="13.140625" bestFit="1" customWidth="1"/>
    <col min="15" max="15" width="23.42578125" bestFit="1" customWidth="1"/>
  </cols>
  <sheetData>
    <row r="1" spans="1:15" x14ac:dyDescent="0.25">
      <c r="A1" s="564" t="s">
        <v>1088</v>
      </c>
      <c r="B1" s="565"/>
      <c r="C1" s="565"/>
      <c r="D1" s="565"/>
      <c r="E1" s="566"/>
      <c r="I1" s="734" t="s">
        <v>1096</v>
      </c>
      <c r="J1" s="733"/>
      <c r="N1" s="734" t="s">
        <v>1097</v>
      </c>
      <c r="O1" s="733"/>
    </row>
    <row r="3" spans="1:15" x14ac:dyDescent="0.25">
      <c r="I3" s="1" t="s">
        <v>16</v>
      </c>
      <c r="J3" t="s">
        <v>1095</v>
      </c>
      <c r="N3" s="1" t="s">
        <v>16</v>
      </c>
      <c r="O3" t="s">
        <v>1097</v>
      </c>
    </row>
    <row r="4" spans="1:15" x14ac:dyDescent="0.25">
      <c r="A4" s="1" t="s">
        <v>1310</v>
      </c>
      <c r="B4" t="s">
        <v>19</v>
      </c>
      <c r="I4" s="2">
        <v>2015</v>
      </c>
      <c r="J4" s="4">
        <v>41978.8</v>
      </c>
      <c r="N4" s="2">
        <v>2015</v>
      </c>
      <c r="O4" s="244">
        <v>13063.03</v>
      </c>
    </row>
    <row r="5" spans="1:15" x14ac:dyDescent="0.25">
      <c r="I5" s="3">
        <v>1</v>
      </c>
      <c r="J5" s="4">
        <v>41861</v>
      </c>
      <c r="N5" s="3">
        <v>1</v>
      </c>
      <c r="O5" s="244">
        <v>640</v>
      </c>
    </row>
    <row r="6" spans="1:15" x14ac:dyDescent="0.25">
      <c r="A6" s="1" t="s">
        <v>16</v>
      </c>
      <c r="B6" t="s">
        <v>1309</v>
      </c>
      <c r="C6" t="s">
        <v>1089</v>
      </c>
      <c r="D6" t="s">
        <v>1090</v>
      </c>
      <c r="E6" t="s">
        <v>1091</v>
      </c>
      <c r="I6" s="541" t="s">
        <v>7</v>
      </c>
      <c r="J6" s="4">
        <v>41861</v>
      </c>
      <c r="N6" s="541" t="s">
        <v>7</v>
      </c>
      <c r="O6" s="244">
        <v>640</v>
      </c>
    </row>
    <row r="7" spans="1:15" x14ac:dyDescent="0.25">
      <c r="A7" s="2">
        <v>2015</v>
      </c>
      <c r="B7" s="67">
        <v>171.43</v>
      </c>
      <c r="C7" s="86"/>
      <c r="D7" s="67"/>
      <c r="E7" s="67">
        <v>928.56999999999994</v>
      </c>
      <c r="I7" s="3">
        <v>2</v>
      </c>
      <c r="J7" s="4">
        <v>41904</v>
      </c>
      <c r="N7" s="3">
        <v>2</v>
      </c>
      <c r="O7" s="244">
        <v>4154</v>
      </c>
    </row>
    <row r="8" spans="1:15" x14ac:dyDescent="0.25">
      <c r="A8" s="3">
        <v>1</v>
      </c>
      <c r="B8" s="67"/>
      <c r="C8" s="86"/>
      <c r="D8" s="67"/>
      <c r="E8" s="67"/>
      <c r="I8" s="541" t="s">
        <v>15</v>
      </c>
      <c r="J8" s="4">
        <v>41904</v>
      </c>
      <c r="N8" s="541" t="s">
        <v>15</v>
      </c>
      <c r="O8" s="244">
        <v>4154</v>
      </c>
    </row>
    <row r="9" spans="1:15" x14ac:dyDescent="0.25">
      <c r="A9" s="541" t="s">
        <v>7</v>
      </c>
      <c r="B9" s="67">
        <v>71.430000000000007</v>
      </c>
      <c r="C9" s="86"/>
      <c r="D9" s="67"/>
      <c r="E9" s="67">
        <v>128.57</v>
      </c>
      <c r="I9" s="3">
        <v>3</v>
      </c>
      <c r="J9" s="4">
        <v>41926</v>
      </c>
      <c r="N9" s="3">
        <v>3</v>
      </c>
      <c r="O9" s="244">
        <v>88.09</v>
      </c>
    </row>
    <row r="10" spans="1:15" x14ac:dyDescent="0.25">
      <c r="A10" s="3">
        <v>2</v>
      </c>
      <c r="B10" s="67"/>
      <c r="C10" s="86"/>
      <c r="D10" s="67"/>
      <c r="E10" s="67"/>
      <c r="I10" s="541" t="s">
        <v>6</v>
      </c>
      <c r="J10" s="4">
        <v>41926</v>
      </c>
      <c r="N10" s="541" t="s">
        <v>6</v>
      </c>
      <c r="O10" s="244">
        <v>88.09</v>
      </c>
    </row>
    <row r="11" spans="1:15" x14ac:dyDescent="0.25">
      <c r="A11" s="541" t="s">
        <v>15</v>
      </c>
      <c r="B11" s="67"/>
      <c r="C11" s="86"/>
      <c r="D11" s="67"/>
      <c r="E11" s="67">
        <v>300</v>
      </c>
      <c r="I11" s="3">
        <v>8</v>
      </c>
      <c r="J11" s="4">
        <v>42068</v>
      </c>
      <c r="N11" s="3">
        <v>8</v>
      </c>
      <c r="O11" s="244">
        <v>933.06</v>
      </c>
    </row>
    <row r="12" spans="1:15" x14ac:dyDescent="0.25">
      <c r="A12" s="3">
        <v>3</v>
      </c>
      <c r="B12" s="67"/>
      <c r="C12" s="86"/>
      <c r="D12" s="67"/>
      <c r="E12" s="67"/>
      <c r="I12" s="541" t="s">
        <v>10</v>
      </c>
      <c r="J12" s="4">
        <v>42068</v>
      </c>
      <c r="N12" s="541" t="s">
        <v>10</v>
      </c>
      <c r="O12" s="244">
        <v>933.06</v>
      </c>
    </row>
    <row r="13" spans="1:15" x14ac:dyDescent="0.25">
      <c r="A13" s="541" t="s">
        <v>6</v>
      </c>
      <c r="B13" s="67"/>
      <c r="C13" s="86"/>
      <c r="D13" s="67"/>
      <c r="E13" s="67">
        <v>300</v>
      </c>
      <c r="I13" s="3">
        <v>10</v>
      </c>
      <c r="J13" s="4">
        <v>42135</v>
      </c>
      <c r="N13" s="3">
        <v>10</v>
      </c>
      <c r="O13" s="244">
        <v>59500</v>
      </c>
    </row>
    <row r="14" spans="1:15" x14ac:dyDescent="0.25">
      <c r="A14" s="3">
        <v>8</v>
      </c>
      <c r="B14" s="67"/>
      <c r="C14" s="86"/>
      <c r="D14" s="67"/>
      <c r="E14" s="67"/>
      <c r="I14" s="541" t="s">
        <v>11</v>
      </c>
      <c r="J14" s="4">
        <v>42135</v>
      </c>
      <c r="N14" s="541" t="s">
        <v>11</v>
      </c>
      <c r="O14" s="244">
        <v>59500</v>
      </c>
    </row>
    <row r="15" spans="1:15" x14ac:dyDescent="0.25">
      <c r="A15" s="541" t="s">
        <v>10</v>
      </c>
      <c r="B15" s="67">
        <v>100</v>
      </c>
      <c r="C15" s="86"/>
      <c r="D15" s="67"/>
      <c r="E15" s="67">
        <v>100</v>
      </c>
      <c r="I15" s="2">
        <v>2016</v>
      </c>
      <c r="J15" s="4">
        <v>42240</v>
      </c>
      <c r="N15" s="2">
        <v>2016</v>
      </c>
      <c r="O15" s="244">
        <v>24901.58</v>
      </c>
    </row>
    <row r="16" spans="1:15" x14ac:dyDescent="0.25">
      <c r="A16" s="3">
        <v>10</v>
      </c>
      <c r="B16" s="67"/>
      <c r="C16" s="86"/>
      <c r="D16" s="67"/>
      <c r="E16" s="67"/>
      <c r="I16" s="3">
        <v>1</v>
      </c>
      <c r="J16" s="4">
        <v>42234</v>
      </c>
      <c r="N16" s="3">
        <v>1</v>
      </c>
      <c r="O16" s="244">
        <v>165.66</v>
      </c>
    </row>
    <row r="17" spans="1:15" x14ac:dyDescent="0.25">
      <c r="A17" s="541" t="s">
        <v>11</v>
      </c>
      <c r="B17" s="67"/>
      <c r="C17" s="86"/>
      <c r="D17" s="67"/>
      <c r="E17" s="67">
        <v>100</v>
      </c>
      <c r="I17" s="541" t="s">
        <v>7</v>
      </c>
      <c r="J17" s="4">
        <v>42234</v>
      </c>
      <c r="N17" s="541" t="s">
        <v>7</v>
      </c>
      <c r="O17" s="244">
        <v>165.66</v>
      </c>
    </row>
    <row r="18" spans="1:15" x14ac:dyDescent="0.25">
      <c r="A18" s="2">
        <v>2016</v>
      </c>
      <c r="B18" s="67"/>
      <c r="C18" s="86"/>
      <c r="D18" s="67"/>
      <c r="E18" s="67">
        <v>300</v>
      </c>
      <c r="I18" s="3">
        <v>2</v>
      </c>
      <c r="J18" s="4">
        <v>42246</v>
      </c>
      <c r="N18" s="3">
        <v>2</v>
      </c>
      <c r="O18" s="244">
        <v>49637.5</v>
      </c>
    </row>
    <row r="19" spans="1:15" x14ac:dyDescent="0.25">
      <c r="A19" s="3">
        <v>1</v>
      </c>
      <c r="B19" s="67"/>
      <c r="C19" s="86"/>
      <c r="D19" s="67"/>
      <c r="E19" s="67"/>
      <c r="I19" s="541" t="s">
        <v>15</v>
      </c>
      <c r="J19" s="4">
        <v>42246</v>
      </c>
      <c r="N19" s="541" t="s">
        <v>15</v>
      </c>
      <c r="O19" s="244">
        <v>49637.5</v>
      </c>
    </row>
    <row r="20" spans="1:15" x14ac:dyDescent="0.25">
      <c r="A20" s="541" t="s">
        <v>7</v>
      </c>
      <c r="B20" s="67"/>
      <c r="C20" s="86"/>
      <c r="D20" s="67"/>
      <c r="E20" s="67">
        <v>200</v>
      </c>
      <c r="I20" s="2" t="s">
        <v>17</v>
      </c>
      <c r="J20" s="4">
        <v>42053.428571428572</v>
      </c>
      <c r="N20" s="2" t="s">
        <v>17</v>
      </c>
      <c r="O20" s="244">
        <v>16445.472857142857</v>
      </c>
    </row>
    <row r="21" spans="1:15" x14ac:dyDescent="0.25">
      <c r="A21" s="3">
        <v>2</v>
      </c>
      <c r="B21" s="67"/>
      <c r="C21" s="86"/>
      <c r="D21" s="67"/>
      <c r="E21" s="67"/>
    </row>
    <row r="22" spans="1:15" x14ac:dyDescent="0.25">
      <c r="A22" s="541" t="s">
        <v>15</v>
      </c>
      <c r="B22" s="67"/>
      <c r="C22" s="86"/>
      <c r="D22" s="67"/>
      <c r="E22" s="67">
        <v>100</v>
      </c>
    </row>
    <row r="23" spans="1:15" x14ac:dyDescent="0.25">
      <c r="A23" s="2" t="s">
        <v>17</v>
      </c>
      <c r="B23" s="67">
        <v>171.43</v>
      </c>
      <c r="C23" s="86"/>
      <c r="D23" s="67"/>
      <c r="E23" s="67">
        <v>1228.57</v>
      </c>
    </row>
  </sheetData>
  <mergeCells count="2">
    <mergeCell ref="N1:O1"/>
    <mergeCell ref="I1:J1"/>
  </mergeCells>
  <pageMargins left="0.7" right="0.7" top="0.75" bottom="0.75" header="0.3" footer="0.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FFC000"/>
  </sheetPr>
  <dimension ref="A1:AZ16"/>
  <sheetViews>
    <sheetView topLeftCell="AM1" workbookViewId="0">
      <selection activeCell="AR22" sqref="AR22"/>
    </sheetView>
  </sheetViews>
  <sheetFormatPr defaultRowHeight="15" x14ac:dyDescent="0.25"/>
  <cols>
    <col min="1" max="1" width="11.42578125" customWidth="1"/>
    <col min="2" max="2" width="13.85546875" customWidth="1"/>
    <col min="3" max="3" width="10.28515625" customWidth="1"/>
    <col min="4" max="4" width="12" customWidth="1"/>
    <col min="5" max="5" width="14.85546875" customWidth="1"/>
    <col min="6" max="6" width="16.28515625" customWidth="1"/>
    <col min="7" max="7" width="9.85546875" customWidth="1"/>
    <col min="9" max="9" width="11.42578125" customWidth="1"/>
    <col min="10" max="10" width="13.85546875" customWidth="1"/>
    <col min="11" max="11" width="11.140625" customWidth="1"/>
    <col min="12" max="12" width="12" customWidth="1"/>
    <col min="13" max="13" width="14.85546875" customWidth="1"/>
    <col min="14" max="14" width="16.28515625" customWidth="1"/>
    <col min="15" max="15" width="9.85546875" customWidth="1"/>
    <col min="17" max="17" width="11.42578125" customWidth="1"/>
    <col min="18" max="18" width="13.85546875" customWidth="1"/>
    <col min="19" max="19" width="10.28515625" customWidth="1"/>
    <col min="20" max="20" width="12" customWidth="1"/>
    <col min="21" max="21" width="14.85546875" customWidth="1"/>
    <col min="22" max="22" width="16.28515625" customWidth="1"/>
    <col min="23" max="23" width="9.85546875" customWidth="1"/>
    <col min="25" max="25" width="11.42578125" customWidth="1"/>
    <col min="26" max="26" width="13.85546875" customWidth="1"/>
    <col min="27" max="27" width="10.28515625" customWidth="1"/>
    <col min="28" max="28" width="12" customWidth="1"/>
    <col min="29" max="29" width="14.85546875" customWidth="1"/>
    <col min="30" max="30" width="16.28515625" customWidth="1"/>
    <col min="31" max="31" width="9.85546875" customWidth="1"/>
    <col min="33" max="33" width="11.42578125" customWidth="1"/>
    <col min="34" max="34" width="13.85546875" customWidth="1"/>
    <col min="35" max="35" width="10.28515625" customWidth="1"/>
    <col min="36" max="36" width="12" customWidth="1"/>
    <col min="37" max="37" width="14.85546875" customWidth="1"/>
    <col min="38" max="38" width="16.28515625" customWidth="1"/>
    <col min="39" max="39" width="9.85546875" customWidth="1"/>
    <col min="42" max="42" width="13.140625" customWidth="1"/>
    <col min="43" max="43" width="14.7109375" customWidth="1"/>
    <col min="44" max="44" width="16.42578125" customWidth="1"/>
    <col min="45" max="45" width="19.42578125" customWidth="1"/>
  </cols>
  <sheetData>
    <row r="1" spans="1:52" x14ac:dyDescent="0.25">
      <c r="A1" s="558">
        <v>33</v>
      </c>
      <c r="B1" s="732" t="s">
        <v>1075</v>
      </c>
      <c r="C1" s="732"/>
      <c r="D1" s="732"/>
      <c r="E1" s="732"/>
      <c r="F1" s="732"/>
      <c r="G1" s="733"/>
      <c r="I1" s="558">
        <v>34</v>
      </c>
      <c r="J1" s="732" t="s">
        <v>1086</v>
      </c>
      <c r="K1" s="732"/>
      <c r="L1" s="732"/>
      <c r="M1" s="732"/>
      <c r="N1" s="732"/>
      <c r="O1" s="733"/>
      <c r="Q1" s="558">
        <v>35</v>
      </c>
      <c r="R1" s="732" t="s">
        <v>1087</v>
      </c>
      <c r="S1" s="732"/>
      <c r="T1" s="732"/>
      <c r="U1" s="732"/>
      <c r="V1" s="732"/>
      <c r="W1" s="733"/>
      <c r="Y1" s="558">
        <v>36</v>
      </c>
      <c r="Z1" s="732" t="s">
        <v>1164</v>
      </c>
      <c r="AA1" s="732"/>
      <c r="AB1" s="732"/>
      <c r="AC1" s="732"/>
      <c r="AD1" s="732"/>
      <c r="AE1" s="733"/>
      <c r="AG1" s="558">
        <v>37</v>
      </c>
      <c r="AH1" s="732" t="s">
        <v>1076</v>
      </c>
      <c r="AI1" s="732"/>
      <c r="AJ1" s="732"/>
      <c r="AK1" s="732"/>
      <c r="AL1" s="732"/>
      <c r="AM1" s="733"/>
      <c r="AZ1" s="552"/>
    </row>
    <row r="2" spans="1:52" x14ac:dyDescent="0.25">
      <c r="A2" t="s">
        <v>1004</v>
      </c>
      <c r="B2" t="s">
        <v>1005</v>
      </c>
      <c r="C2" t="s">
        <v>1041</v>
      </c>
      <c r="D2" t="s">
        <v>1042</v>
      </c>
      <c r="E2" t="s">
        <v>1043</v>
      </c>
      <c r="F2" t="s">
        <v>1053</v>
      </c>
      <c r="G2" t="s">
        <v>1054</v>
      </c>
      <c r="I2" t="s">
        <v>1004</v>
      </c>
      <c r="J2" t="s">
        <v>1005</v>
      </c>
      <c r="K2" t="s">
        <v>1041</v>
      </c>
      <c r="L2" t="s">
        <v>1042</v>
      </c>
      <c r="M2" t="s">
        <v>1043</v>
      </c>
      <c r="N2" t="s">
        <v>1053</v>
      </c>
      <c r="O2" t="s">
        <v>1054</v>
      </c>
      <c r="Q2" t="s">
        <v>1004</v>
      </c>
      <c r="R2" t="s">
        <v>1005</v>
      </c>
      <c r="S2" t="s">
        <v>1041</v>
      </c>
      <c r="T2" t="s">
        <v>1042</v>
      </c>
      <c r="U2" t="s">
        <v>1043</v>
      </c>
      <c r="V2" t="s">
        <v>1053</v>
      </c>
      <c r="W2" t="s">
        <v>1054</v>
      </c>
      <c r="Y2" t="s">
        <v>1004</v>
      </c>
      <c r="Z2" t="s">
        <v>1005</v>
      </c>
      <c r="AA2" t="s">
        <v>1041</v>
      </c>
      <c r="AB2" t="s">
        <v>1042</v>
      </c>
      <c r="AC2" t="s">
        <v>1043</v>
      </c>
      <c r="AD2" t="s">
        <v>1053</v>
      </c>
      <c r="AE2" t="s">
        <v>1054</v>
      </c>
      <c r="AG2" t="s">
        <v>1004</v>
      </c>
      <c r="AH2" t="s">
        <v>1005</v>
      </c>
      <c r="AI2" t="s">
        <v>1041</v>
      </c>
      <c r="AJ2" t="s">
        <v>1042</v>
      </c>
      <c r="AK2" t="s">
        <v>1043</v>
      </c>
      <c r="AL2" t="s">
        <v>1053</v>
      </c>
      <c r="AM2" t="s">
        <v>1054</v>
      </c>
    </row>
    <row r="3" spans="1:52" x14ac:dyDescent="0.25">
      <c r="A3">
        <v>2015</v>
      </c>
      <c r="B3">
        <v>1</v>
      </c>
      <c r="C3">
        <v>33620.75</v>
      </c>
      <c r="D3">
        <v>20400.25</v>
      </c>
      <c r="E3">
        <v>164.8</v>
      </c>
      <c r="F3" t="s">
        <v>12</v>
      </c>
      <c r="G3">
        <v>6</v>
      </c>
      <c r="I3">
        <v>2015</v>
      </c>
      <c r="J3">
        <v>0</v>
      </c>
      <c r="K3">
        <v>1962143.66</v>
      </c>
      <c r="L3">
        <v>3247094.4</v>
      </c>
      <c r="M3">
        <v>60.42</v>
      </c>
      <c r="Q3">
        <v>2016</v>
      </c>
      <c r="R3">
        <v>0</v>
      </c>
      <c r="S3">
        <v>50762.62</v>
      </c>
      <c r="T3">
        <v>37519.42</v>
      </c>
      <c r="U3">
        <v>135.29</v>
      </c>
      <c r="Y3">
        <v>2015</v>
      </c>
      <c r="Z3">
        <v>1</v>
      </c>
      <c r="AA3">
        <v>15904.48</v>
      </c>
      <c r="AB3">
        <v>1619.85</v>
      </c>
      <c r="AC3">
        <v>981.84</v>
      </c>
      <c r="AD3" t="s">
        <v>12</v>
      </c>
      <c r="AE3">
        <v>6</v>
      </c>
      <c r="AG3">
        <v>2015</v>
      </c>
      <c r="AH3">
        <v>1</v>
      </c>
      <c r="AI3">
        <v>17588.27</v>
      </c>
      <c r="AJ3">
        <v>18780.400000000001</v>
      </c>
      <c r="AK3">
        <v>93.65</v>
      </c>
      <c r="AL3" t="s">
        <v>12</v>
      </c>
      <c r="AM3">
        <v>6</v>
      </c>
    </row>
    <row r="4" spans="1:52" x14ac:dyDescent="0.25">
      <c r="A4">
        <v>2015</v>
      </c>
      <c r="B4">
        <v>2</v>
      </c>
      <c r="C4">
        <v>448120.92</v>
      </c>
      <c r="D4">
        <v>310917.89</v>
      </c>
      <c r="E4">
        <v>144.12</v>
      </c>
      <c r="F4" t="s">
        <v>8</v>
      </c>
      <c r="G4">
        <v>7</v>
      </c>
      <c r="Y4">
        <v>2015</v>
      </c>
      <c r="Z4">
        <v>2</v>
      </c>
      <c r="AA4">
        <v>164182.76999999999</v>
      </c>
      <c r="AB4">
        <v>5904.29</v>
      </c>
      <c r="AC4">
        <v>2780.73</v>
      </c>
      <c r="AD4" t="s">
        <v>8</v>
      </c>
      <c r="AE4">
        <v>7</v>
      </c>
      <c r="AG4">
        <v>2015</v>
      </c>
      <c r="AH4">
        <v>2</v>
      </c>
      <c r="AI4">
        <v>282243.55</v>
      </c>
      <c r="AJ4">
        <v>281132.56</v>
      </c>
      <c r="AK4">
        <v>100.39</v>
      </c>
      <c r="AL4" t="s">
        <v>8</v>
      </c>
      <c r="AM4">
        <v>7</v>
      </c>
    </row>
    <row r="5" spans="1:52" x14ac:dyDescent="0.25">
      <c r="A5">
        <v>2015</v>
      </c>
      <c r="B5">
        <v>3</v>
      </c>
      <c r="C5">
        <v>161461.21</v>
      </c>
      <c r="D5">
        <v>170431.59</v>
      </c>
      <c r="E5">
        <v>94.73</v>
      </c>
      <c r="F5" t="s">
        <v>10</v>
      </c>
      <c r="G5">
        <v>8</v>
      </c>
      <c r="Y5">
        <v>2015</v>
      </c>
      <c r="Z5">
        <v>3</v>
      </c>
      <c r="AA5">
        <v>55279.33</v>
      </c>
      <c r="AB5">
        <v>2462.2800000000002</v>
      </c>
      <c r="AC5">
        <v>2245.04</v>
      </c>
      <c r="AD5" t="s">
        <v>10</v>
      </c>
      <c r="AE5">
        <v>8</v>
      </c>
      <c r="AG5">
        <v>2015</v>
      </c>
      <c r="AH5">
        <v>3</v>
      </c>
      <c r="AI5">
        <v>104758.63</v>
      </c>
      <c r="AJ5">
        <v>106784.31</v>
      </c>
      <c r="AK5">
        <v>98.1</v>
      </c>
      <c r="AL5" t="s">
        <v>10</v>
      </c>
      <c r="AM5">
        <v>8</v>
      </c>
    </row>
    <row r="6" spans="1:52" x14ac:dyDescent="0.25">
      <c r="A6">
        <v>2015</v>
      </c>
      <c r="B6">
        <v>4</v>
      </c>
      <c r="C6">
        <v>31915.26</v>
      </c>
      <c r="D6">
        <v>23851.98</v>
      </c>
      <c r="E6">
        <v>133.80000000000001</v>
      </c>
      <c r="F6" t="s">
        <v>5</v>
      </c>
      <c r="G6">
        <v>9</v>
      </c>
      <c r="Y6">
        <v>2015</v>
      </c>
      <c r="Z6">
        <v>4</v>
      </c>
      <c r="AA6">
        <v>13427.02</v>
      </c>
      <c r="AB6">
        <v>4153.62</v>
      </c>
      <c r="AC6">
        <v>323.26</v>
      </c>
      <c r="AD6" t="s">
        <v>5</v>
      </c>
      <c r="AE6">
        <v>9</v>
      </c>
      <c r="AG6">
        <v>2015</v>
      </c>
      <c r="AH6">
        <v>4</v>
      </c>
      <c r="AI6">
        <v>17678.919999999998</v>
      </c>
      <c r="AJ6">
        <v>16262.59</v>
      </c>
      <c r="AK6">
        <v>108.7</v>
      </c>
      <c r="AL6" t="s">
        <v>5</v>
      </c>
      <c r="AM6">
        <v>9</v>
      </c>
    </row>
    <row r="7" spans="1:52" x14ac:dyDescent="0.25">
      <c r="A7">
        <v>2015</v>
      </c>
      <c r="B7">
        <v>5</v>
      </c>
      <c r="C7">
        <v>129503.32</v>
      </c>
      <c r="D7">
        <v>179213.1</v>
      </c>
      <c r="E7">
        <v>72.260000000000005</v>
      </c>
      <c r="F7" t="s">
        <v>11</v>
      </c>
      <c r="G7">
        <v>10</v>
      </c>
      <c r="Y7">
        <v>2015</v>
      </c>
      <c r="Z7">
        <v>5</v>
      </c>
      <c r="AA7">
        <v>43181.24</v>
      </c>
      <c r="AB7">
        <v>2833.66</v>
      </c>
      <c r="AC7">
        <v>1523.86</v>
      </c>
      <c r="AD7" t="s">
        <v>11</v>
      </c>
      <c r="AE7">
        <v>10</v>
      </c>
      <c r="AG7">
        <v>2015</v>
      </c>
      <c r="AH7">
        <v>5</v>
      </c>
      <c r="AI7">
        <v>86268.44</v>
      </c>
      <c r="AJ7">
        <v>90269.39</v>
      </c>
      <c r="AK7">
        <v>95.56</v>
      </c>
      <c r="AL7" t="s">
        <v>11</v>
      </c>
      <c r="AM7">
        <v>10</v>
      </c>
    </row>
    <row r="8" spans="1:52" x14ac:dyDescent="0.25">
      <c r="A8">
        <v>2015</v>
      </c>
      <c r="B8">
        <v>6</v>
      </c>
      <c r="C8">
        <v>33104.44</v>
      </c>
      <c r="D8">
        <v>64636.98</v>
      </c>
      <c r="E8">
        <v>51.21</v>
      </c>
      <c r="F8" t="s">
        <v>13</v>
      </c>
      <c r="G8">
        <v>11</v>
      </c>
      <c r="Y8">
        <v>2015</v>
      </c>
      <c r="Z8">
        <v>6</v>
      </c>
      <c r="AA8">
        <v>15477.57</v>
      </c>
      <c r="AB8">
        <v>1811.32</v>
      </c>
      <c r="AC8">
        <v>854.49</v>
      </c>
      <c r="AD8" t="s">
        <v>13</v>
      </c>
      <c r="AE8">
        <v>11</v>
      </c>
      <c r="AG8">
        <v>2015</v>
      </c>
      <c r="AH8">
        <v>6</v>
      </c>
      <c r="AI8">
        <v>15280.63</v>
      </c>
      <c r="AJ8">
        <v>21674.82</v>
      </c>
      <c r="AK8">
        <v>70.489999999999995</v>
      </c>
      <c r="AL8" t="s">
        <v>13</v>
      </c>
      <c r="AM8">
        <v>11</v>
      </c>
    </row>
    <row r="9" spans="1:52" x14ac:dyDescent="0.25">
      <c r="A9">
        <v>2015</v>
      </c>
      <c r="B9">
        <v>7</v>
      </c>
      <c r="C9">
        <v>747071.01</v>
      </c>
      <c r="D9">
        <v>1755597.02</v>
      </c>
      <c r="E9">
        <v>42.55</v>
      </c>
      <c r="F9" t="s">
        <v>14</v>
      </c>
      <c r="G9">
        <v>12</v>
      </c>
      <c r="Y9">
        <v>2015</v>
      </c>
      <c r="Z9">
        <v>7</v>
      </c>
      <c r="AA9">
        <v>269230.86</v>
      </c>
      <c r="AB9">
        <v>15685.94</v>
      </c>
      <c r="AC9">
        <v>1716.38</v>
      </c>
      <c r="AD9" t="s">
        <v>14</v>
      </c>
      <c r="AE9">
        <v>12</v>
      </c>
      <c r="AG9">
        <v>2015</v>
      </c>
      <c r="AH9">
        <v>7</v>
      </c>
      <c r="AI9">
        <v>469224.07</v>
      </c>
      <c r="AJ9">
        <v>673627.09</v>
      </c>
      <c r="AK9">
        <v>69.650000000000006</v>
      </c>
      <c r="AL9" t="s">
        <v>14</v>
      </c>
      <c r="AM9">
        <v>12</v>
      </c>
    </row>
    <row r="10" spans="1:52" x14ac:dyDescent="0.25">
      <c r="A10">
        <v>2015</v>
      </c>
      <c r="B10">
        <v>8</v>
      </c>
      <c r="C10">
        <v>77366.48</v>
      </c>
      <c r="D10">
        <v>21908.55</v>
      </c>
      <c r="E10">
        <v>353.13</v>
      </c>
      <c r="F10" t="s">
        <v>7</v>
      </c>
      <c r="G10">
        <v>1</v>
      </c>
      <c r="Y10">
        <v>2015</v>
      </c>
      <c r="Z10">
        <v>8</v>
      </c>
      <c r="AA10">
        <v>33323.07</v>
      </c>
      <c r="AB10">
        <v>48</v>
      </c>
      <c r="AC10">
        <v>69423.06</v>
      </c>
      <c r="AD10" t="s">
        <v>7</v>
      </c>
      <c r="AE10">
        <v>1</v>
      </c>
      <c r="AG10">
        <v>2015</v>
      </c>
      <c r="AH10">
        <v>8</v>
      </c>
      <c r="AI10">
        <v>43280.98</v>
      </c>
      <c r="AJ10">
        <v>20874.3</v>
      </c>
      <c r="AK10">
        <v>207.34</v>
      </c>
      <c r="AL10" t="s">
        <v>7</v>
      </c>
      <c r="AM10">
        <v>1</v>
      </c>
    </row>
    <row r="11" spans="1:52" x14ac:dyDescent="0.25">
      <c r="A11">
        <v>2016</v>
      </c>
      <c r="B11">
        <v>8</v>
      </c>
      <c r="C11">
        <v>31849.759999999998</v>
      </c>
      <c r="D11">
        <v>23613.27</v>
      </c>
      <c r="E11">
        <v>134.88</v>
      </c>
      <c r="F11" t="s">
        <v>7</v>
      </c>
      <c r="G11">
        <v>1</v>
      </c>
      <c r="Y11">
        <v>2016</v>
      </c>
      <c r="Z11">
        <v>8</v>
      </c>
      <c r="AA11">
        <v>10539.27</v>
      </c>
      <c r="AB11">
        <v>1142.6500000000001</v>
      </c>
      <c r="AC11">
        <v>922.35</v>
      </c>
      <c r="AD11" t="s">
        <v>7</v>
      </c>
      <c r="AE11">
        <v>1</v>
      </c>
      <c r="AG11">
        <v>2016</v>
      </c>
      <c r="AH11">
        <v>8</v>
      </c>
      <c r="AI11">
        <v>20562.13</v>
      </c>
      <c r="AJ11">
        <v>21870.62</v>
      </c>
      <c r="AK11">
        <v>94.01</v>
      </c>
      <c r="AL11" t="s">
        <v>7</v>
      </c>
      <c r="AM11">
        <v>1</v>
      </c>
    </row>
    <row r="12" spans="1:52" x14ac:dyDescent="0.25">
      <c r="A12">
        <v>2015</v>
      </c>
      <c r="B12">
        <v>9</v>
      </c>
      <c r="C12">
        <v>201580.5</v>
      </c>
      <c r="D12">
        <v>91521.51</v>
      </c>
      <c r="E12">
        <v>220.25</v>
      </c>
      <c r="F12" t="s">
        <v>15</v>
      </c>
      <c r="G12">
        <v>2</v>
      </c>
      <c r="Y12">
        <v>2015</v>
      </c>
      <c r="Z12">
        <v>9</v>
      </c>
      <c r="AA12">
        <v>36263.07</v>
      </c>
      <c r="AB12">
        <v>852.25</v>
      </c>
      <c r="AC12">
        <v>4254.9799999999996</v>
      </c>
      <c r="AD12" t="s">
        <v>15</v>
      </c>
      <c r="AE12">
        <v>2</v>
      </c>
      <c r="AG12">
        <v>2015</v>
      </c>
      <c r="AH12">
        <v>9</v>
      </c>
      <c r="AI12">
        <v>163596.14000000001</v>
      </c>
      <c r="AJ12">
        <v>63995.95</v>
      </c>
      <c r="AK12">
        <v>255.63</v>
      </c>
      <c r="AL12" t="s">
        <v>15</v>
      </c>
      <c r="AM12">
        <v>2</v>
      </c>
    </row>
    <row r="13" spans="1:52" x14ac:dyDescent="0.25">
      <c r="A13">
        <v>2016</v>
      </c>
      <c r="B13">
        <v>9</v>
      </c>
      <c r="C13">
        <v>18912.86</v>
      </c>
      <c r="D13">
        <v>13906.15</v>
      </c>
      <c r="E13">
        <v>136</v>
      </c>
      <c r="F13" t="s">
        <v>15</v>
      </c>
      <c r="G13">
        <v>2</v>
      </c>
      <c r="Y13">
        <v>2016</v>
      </c>
      <c r="Z13">
        <v>9</v>
      </c>
      <c r="AA13">
        <v>8129.75</v>
      </c>
      <c r="AB13">
        <v>2014.83</v>
      </c>
      <c r="AC13">
        <v>403.49</v>
      </c>
      <c r="AD13" t="s">
        <v>15</v>
      </c>
      <c r="AE13">
        <v>2</v>
      </c>
      <c r="AG13">
        <v>2016</v>
      </c>
      <c r="AH13">
        <v>9</v>
      </c>
      <c r="AI13">
        <v>10004.49</v>
      </c>
      <c r="AJ13">
        <v>11328.82</v>
      </c>
      <c r="AK13">
        <v>88.31</v>
      </c>
      <c r="AL13" t="s">
        <v>15</v>
      </c>
      <c r="AM13">
        <v>2</v>
      </c>
    </row>
    <row r="14" spans="1:52" x14ac:dyDescent="0.25">
      <c r="A14">
        <v>2015</v>
      </c>
      <c r="B14">
        <v>10</v>
      </c>
      <c r="C14">
        <v>27599.09</v>
      </c>
      <c r="D14">
        <v>228505.85</v>
      </c>
      <c r="E14">
        <v>12.07</v>
      </c>
      <c r="F14" t="s">
        <v>6</v>
      </c>
      <c r="G14">
        <v>3</v>
      </c>
      <c r="Y14">
        <v>2015</v>
      </c>
      <c r="Z14">
        <v>10</v>
      </c>
      <c r="AA14">
        <v>18795.72</v>
      </c>
      <c r="AB14">
        <v>1079.32</v>
      </c>
      <c r="AC14">
        <v>1741.44</v>
      </c>
      <c r="AD14" t="s">
        <v>6</v>
      </c>
      <c r="AE14">
        <v>3</v>
      </c>
      <c r="AG14">
        <v>2015</v>
      </c>
      <c r="AH14">
        <v>10</v>
      </c>
      <c r="AI14">
        <v>8180.42</v>
      </c>
      <c r="AJ14">
        <v>7591.03</v>
      </c>
      <c r="AK14">
        <v>107.76</v>
      </c>
      <c r="AL14" t="s">
        <v>6</v>
      </c>
      <c r="AM14">
        <v>3</v>
      </c>
    </row>
    <row r="15" spans="1:52" x14ac:dyDescent="0.25">
      <c r="A15">
        <v>2015</v>
      </c>
      <c r="B15">
        <v>11</v>
      </c>
      <c r="C15">
        <v>26196.54</v>
      </c>
      <c r="D15">
        <v>356482.81</v>
      </c>
      <c r="E15">
        <v>7.34</v>
      </c>
      <c r="F15" t="s">
        <v>9</v>
      </c>
      <c r="G15">
        <v>4</v>
      </c>
      <c r="Y15">
        <v>2015</v>
      </c>
      <c r="Z15">
        <v>11</v>
      </c>
      <c r="AA15">
        <v>15604.41</v>
      </c>
      <c r="AB15">
        <v>979.34</v>
      </c>
      <c r="AC15">
        <v>1593.35</v>
      </c>
      <c r="AD15" t="s">
        <v>9</v>
      </c>
      <c r="AE15">
        <v>4</v>
      </c>
      <c r="AG15">
        <v>2015</v>
      </c>
      <c r="AH15">
        <v>11</v>
      </c>
      <c r="AI15">
        <v>9457.0499999999993</v>
      </c>
      <c r="AJ15">
        <v>11615.97</v>
      </c>
      <c r="AK15">
        <v>81.41</v>
      </c>
      <c r="AL15" t="s">
        <v>9</v>
      </c>
      <c r="AM15">
        <v>4</v>
      </c>
    </row>
    <row r="16" spans="1:52" x14ac:dyDescent="0.25">
      <c r="A16">
        <v>2015</v>
      </c>
      <c r="B16">
        <v>12</v>
      </c>
      <c r="C16">
        <v>44604.14</v>
      </c>
      <c r="D16">
        <v>23626.87</v>
      </c>
      <c r="E16">
        <v>188.78</v>
      </c>
      <c r="F16" t="s">
        <v>4</v>
      </c>
      <c r="G16">
        <v>5</v>
      </c>
      <c r="Y16">
        <v>2015</v>
      </c>
      <c r="Z16">
        <v>12</v>
      </c>
      <c r="AA16">
        <v>25318.68</v>
      </c>
      <c r="AB16">
        <v>1189.3900000000001</v>
      </c>
      <c r="AC16">
        <v>2128.71</v>
      </c>
      <c r="AD16" t="s">
        <v>4</v>
      </c>
      <c r="AE16">
        <v>5</v>
      </c>
      <c r="AG16">
        <v>2015</v>
      </c>
      <c r="AH16">
        <v>12</v>
      </c>
      <c r="AI16">
        <v>18740.78</v>
      </c>
      <c r="AJ16">
        <v>22062.48</v>
      </c>
      <c r="AK16">
        <v>84.94</v>
      </c>
      <c r="AL16" t="s">
        <v>4</v>
      </c>
      <c r="AM16">
        <v>5</v>
      </c>
    </row>
  </sheetData>
  <mergeCells count="5">
    <mergeCell ref="B1:G1"/>
    <mergeCell ref="AH1:AM1"/>
    <mergeCell ref="Z1:AE1"/>
    <mergeCell ref="J1:O1"/>
    <mergeCell ref="R1:W1"/>
  </mergeCells>
  <pageMargins left="0.7" right="0.7" top="0.75" bottom="0.75" header="0.3" footer="0.3"/>
  <drawing r:id="rId1"/>
  <tableParts count="5">
    <tablePart r:id="rId2"/>
    <tablePart r:id="rId3"/>
    <tablePart r:id="rId4"/>
    <tablePart r:id="rId5"/>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C000"/>
  </sheetPr>
  <dimension ref="A1:T30"/>
  <sheetViews>
    <sheetView workbookViewId="0"/>
  </sheetViews>
  <sheetFormatPr defaultRowHeight="15" x14ac:dyDescent="0.25"/>
  <cols>
    <col min="1" max="1" width="13.140625" bestFit="1" customWidth="1"/>
    <col min="2" max="3" width="10.140625" customWidth="1"/>
    <col min="4" max="4" width="15" customWidth="1"/>
    <col min="9" max="9" width="13.140625" customWidth="1"/>
    <col min="10" max="10" width="7.85546875" customWidth="1"/>
    <col min="11" max="11" width="9.140625" customWidth="1"/>
    <col min="12" max="12" width="16.85546875" customWidth="1"/>
    <col min="14" max="14" width="7.7109375" customWidth="1"/>
    <col min="15" max="15" width="9.7109375" customWidth="1"/>
    <col min="16" max="16" width="13.140625" customWidth="1"/>
    <col min="17" max="18" width="10.140625" customWidth="1"/>
    <col min="19" max="19" width="14.5703125" customWidth="1"/>
    <col min="20" max="20" width="19.85546875" bestFit="1" customWidth="1"/>
  </cols>
  <sheetData>
    <row r="1" spans="1:20" x14ac:dyDescent="0.25">
      <c r="A1" s="561" t="s">
        <v>1078</v>
      </c>
      <c r="B1" s="559"/>
      <c r="C1" s="559"/>
      <c r="D1" s="560"/>
      <c r="I1" s="734" t="s">
        <v>1079</v>
      </c>
      <c r="J1" s="732"/>
      <c r="K1" s="732"/>
      <c r="L1" s="733"/>
      <c r="M1" s="554"/>
      <c r="P1" s="739" t="s">
        <v>1076</v>
      </c>
      <c r="Q1" s="740"/>
      <c r="R1" s="740"/>
      <c r="S1" s="741"/>
      <c r="T1" s="552"/>
    </row>
    <row r="3" spans="1:20" x14ac:dyDescent="0.25">
      <c r="A3" s="1" t="s">
        <v>16</v>
      </c>
      <c r="B3" t="s">
        <v>1084</v>
      </c>
      <c r="C3" t="s">
        <v>1082</v>
      </c>
      <c r="D3" t="s">
        <v>1085</v>
      </c>
      <c r="I3" s="1" t="s">
        <v>16</v>
      </c>
      <c r="J3" t="s">
        <v>1165</v>
      </c>
      <c r="K3" t="s">
        <v>1080</v>
      </c>
      <c r="L3" t="s">
        <v>1077</v>
      </c>
    </row>
    <row r="4" spans="1:20" x14ac:dyDescent="0.25">
      <c r="A4" s="2">
        <v>2015</v>
      </c>
      <c r="B4" s="244">
        <v>1962143.66</v>
      </c>
      <c r="C4" s="244">
        <v>3247094.4000000004</v>
      </c>
      <c r="D4" s="5">
        <v>0.60427675277934623</v>
      </c>
      <c r="I4" s="2">
        <v>2015</v>
      </c>
      <c r="J4" s="4">
        <v>705988.22</v>
      </c>
      <c r="K4" s="4">
        <v>38619.26</v>
      </c>
      <c r="L4" s="5">
        <v>18.280728838408606</v>
      </c>
      <c r="P4" s="1" t="s">
        <v>16</v>
      </c>
      <c r="Q4" t="s">
        <v>1081</v>
      </c>
      <c r="R4" t="s">
        <v>1082</v>
      </c>
      <c r="S4" t="s">
        <v>1083</v>
      </c>
    </row>
    <row r="5" spans="1:20" x14ac:dyDescent="0.25">
      <c r="A5" s="3">
        <v>1</v>
      </c>
      <c r="B5" s="244">
        <v>77366.48</v>
      </c>
      <c r="C5" s="244">
        <v>21908.55</v>
      </c>
      <c r="D5" s="5">
        <v>3.5313373089501585</v>
      </c>
      <c r="I5" s="3">
        <v>1</v>
      </c>
      <c r="J5" s="4">
        <v>33323.07</v>
      </c>
      <c r="K5" s="4">
        <v>48</v>
      </c>
      <c r="L5" s="5">
        <v>694.23062500000003</v>
      </c>
      <c r="P5" s="2">
        <v>2015</v>
      </c>
      <c r="Q5" s="244">
        <v>1236297.8799999999</v>
      </c>
      <c r="R5" s="244">
        <v>1334670.8899999999</v>
      </c>
      <c r="S5" s="85">
        <v>0.92629418178139777</v>
      </c>
    </row>
    <row r="6" spans="1:20" x14ac:dyDescent="0.25">
      <c r="A6" s="541" t="s">
        <v>7</v>
      </c>
      <c r="B6" s="244">
        <v>77366.48</v>
      </c>
      <c r="C6" s="244">
        <v>21908.55</v>
      </c>
      <c r="D6" s="5">
        <v>3.5313373089501585</v>
      </c>
      <c r="I6" s="541" t="s">
        <v>7</v>
      </c>
      <c r="J6" s="4">
        <v>33323.07</v>
      </c>
      <c r="K6" s="4">
        <v>48</v>
      </c>
      <c r="L6" s="5">
        <v>694.23062500000003</v>
      </c>
      <c r="P6" s="3">
        <v>1</v>
      </c>
      <c r="Q6" s="244">
        <v>43280.98</v>
      </c>
      <c r="R6" s="244">
        <v>20874.3</v>
      </c>
      <c r="S6" s="85">
        <v>2.0734098867985993</v>
      </c>
    </row>
    <row r="7" spans="1:20" x14ac:dyDescent="0.25">
      <c r="A7" s="3">
        <v>2</v>
      </c>
      <c r="B7" s="244">
        <v>201580.5</v>
      </c>
      <c r="C7" s="244">
        <v>91521.51</v>
      </c>
      <c r="D7" s="5">
        <v>2.2025477945020793</v>
      </c>
      <c r="I7" s="3">
        <v>2</v>
      </c>
      <c r="J7" s="4">
        <v>36263.07</v>
      </c>
      <c r="K7" s="4">
        <v>852.25</v>
      </c>
      <c r="L7" s="5">
        <v>42.54980346142564</v>
      </c>
      <c r="P7" s="541" t="s">
        <v>7</v>
      </c>
      <c r="Q7" s="244">
        <v>43280.98</v>
      </c>
      <c r="R7" s="244">
        <v>20874.3</v>
      </c>
      <c r="S7" s="85">
        <v>2.0734098867985993</v>
      </c>
    </row>
    <row r="8" spans="1:20" x14ac:dyDescent="0.25">
      <c r="A8" s="541" t="s">
        <v>15</v>
      </c>
      <c r="B8" s="244">
        <v>201580.5</v>
      </c>
      <c r="C8" s="244">
        <v>91521.51</v>
      </c>
      <c r="D8" s="5">
        <v>2.2025477945020793</v>
      </c>
      <c r="I8" s="541" t="s">
        <v>15</v>
      </c>
      <c r="J8" s="4">
        <v>36263.07</v>
      </c>
      <c r="K8" s="4">
        <v>852.25</v>
      </c>
      <c r="L8" s="5">
        <v>42.54980346142564</v>
      </c>
      <c r="P8" s="3">
        <v>2</v>
      </c>
      <c r="Q8" s="244">
        <v>163596.14000000001</v>
      </c>
      <c r="R8" s="244">
        <v>63995.95</v>
      </c>
      <c r="S8" s="85">
        <v>2.5563514566156145</v>
      </c>
    </row>
    <row r="9" spans="1:20" x14ac:dyDescent="0.25">
      <c r="A9" s="3">
        <v>3</v>
      </c>
      <c r="B9" s="244">
        <v>27599.09</v>
      </c>
      <c r="C9" s="244">
        <v>228505.85</v>
      </c>
      <c r="D9" s="5">
        <v>0.12078067147952667</v>
      </c>
      <c r="I9" s="3">
        <v>3</v>
      </c>
      <c r="J9" s="4">
        <v>18795.72</v>
      </c>
      <c r="K9" s="4">
        <v>1079.32</v>
      </c>
      <c r="L9" s="5">
        <v>17.414409072378909</v>
      </c>
      <c r="P9" s="541" t="s">
        <v>15</v>
      </c>
      <c r="Q9" s="244">
        <v>163596.14000000001</v>
      </c>
      <c r="R9" s="244">
        <v>63995.95</v>
      </c>
      <c r="S9" s="85">
        <v>2.5563514566156145</v>
      </c>
    </row>
    <row r="10" spans="1:20" x14ac:dyDescent="0.25">
      <c r="A10" s="541" t="s">
        <v>6</v>
      </c>
      <c r="B10" s="244">
        <v>27599.09</v>
      </c>
      <c r="C10" s="244">
        <v>228505.85</v>
      </c>
      <c r="D10" s="5">
        <v>0.12078067147952667</v>
      </c>
      <c r="I10" s="541" t="s">
        <v>6</v>
      </c>
      <c r="J10" s="4">
        <v>18795.72</v>
      </c>
      <c r="K10" s="4">
        <v>1079.32</v>
      </c>
      <c r="L10" s="5">
        <v>17.414409072378909</v>
      </c>
      <c r="P10" s="3">
        <v>3</v>
      </c>
      <c r="Q10" s="244">
        <v>8180.42</v>
      </c>
      <c r="R10" s="244">
        <v>7591.03</v>
      </c>
      <c r="S10" s="85">
        <v>1.0776429549086224</v>
      </c>
    </row>
    <row r="11" spans="1:20" x14ac:dyDescent="0.25">
      <c r="A11" s="3">
        <v>4</v>
      </c>
      <c r="B11" s="244">
        <v>26196.54</v>
      </c>
      <c r="C11" s="244">
        <v>356482.81</v>
      </c>
      <c r="D11" s="5">
        <v>7.3486124057426508E-2</v>
      </c>
      <c r="I11" s="3">
        <v>4</v>
      </c>
      <c r="J11" s="4">
        <v>15604.41</v>
      </c>
      <c r="K11" s="4">
        <v>979.34</v>
      </c>
      <c r="L11" s="5">
        <v>15.933598137521187</v>
      </c>
      <c r="P11" s="541" t="s">
        <v>6</v>
      </c>
      <c r="Q11" s="244">
        <v>8180.42</v>
      </c>
      <c r="R11" s="244">
        <v>7591.03</v>
      </c>
      <c r="S11" s="85">
        <v>1.0776429549086224</v>
      </c>
    </row>
    <row r="12" spans="1:20" x14ac:dyDescent="0.25">
      <c r="A12" s="541" t="s">
        <v>9</v>
      </c>
      <c r="B12" s="244">
        <v>26196.54</v>
      </c>
      <c r="C12" s="244">
        <v>356482.81</v>
      </c>
      <c r="D12" s="5">
        <v>7.3486124057426508E-2</v>
      </c>
      <c r="I12" s="541" t="s">
        <v>9</v>
      </c>
      <c r="J12" s="4">
        <v>15604.41</v>
      </c>
      <c r="K12" s="4">
        <v>979.34</v>
      </c>
      <c r="L12" s="5">
        <v>15.933598137521187</v>
      </c>
      <c r="P12" s="3">
        <v>4</v>
      </c>
      <c r="Q12" s="244">
        <v>9457.0499999999993</v>
      </c>
      <c r="R12" s="244">
        <v>11615.97</v>
      </c>
      <c r="S12" s="85">
        <v>0.81414208197851745</v>
      </c>
    </row>
    <row r="13" spans="1:20" x14ac:dyDescent="0.25">
      <c r="A13" s="3">
        <v>5</v>
      </c>
      <c r="B13" s="244">
        <v>44604.14</v>
      </c>
      <c r="C13" s="244">
        <v>23626.87</v>
      </c>
      <c r="D13" s="5">
        <v>1.8878564955916717</v>
      </c>
      <c r="I13" s="3">
        <v>5</v>
      </c>
      <c r="J13" s="4">
        <v>25318.68</v>
      </c>
      <c r="K13" s="4">
        <v>1189.3900000000001</v>
      </c>
      <c r="L13" s="5">
        <v>21.287113562414344</v>
      </c>
      <c r="P13" s="541" t="s">
        <v>9</v>
      </c>
      <c r="Q13" s="244">
        <v>9457.0499999999993</v>
      </c>
      <c r="R13" s="244">
        <v>11615.97</v>
      </c>
      <c r="S13" s="85">
        <v>0.81414208197851745</v>
      </c>
    </row>
    <row r="14" spans="1:20" x14ac:dyDescent="0.25">
      <c r="A14" s="541" t="s">
        <v>4</v>
      </c>
      <c r="B14" s="244">
        <v>44604.14</v>
      </c>
      <c r="C14" s="244">
        <v>23626.87</v>
      </c>
      <c r="D14" s="5">
        <v>1.8878564955916717</v>
      </c>
      <c r="I14" s="541" t="s">
        <v>4</v>
      </c>
      <c r="J14" s="4">
        <v>25318.68</v>
      </c>
      <c r="K14" s="4">
        <v>1189.3900000000001</v>
      </c>
      <c r="L14" s="5">
        <v>21.287113562414344</v>
      </c>
      <c r="P14" s="3">
        <v>5</v>
      </c>
      <c r="Q14" s="244">
        <v>18740.78</v>
      </c>
      <c r="R14" s="244">
        <v>22062.48</v>
      </c>
      <c r="S14" s="85">
        <v>0.84944122328949412</v>
      </c>
    </row>
    <row r="15" spans="1:20" x14ac:dyDescent="0.25">
      <c r="A15" s="3">
        <v>6</v>
      </c>
      <c r="B15" s="244">
        <v>33620.75</v>
      </c>
      <c r="C15" s="244">
        <v>20400.25</v>
      </c>
      <c r="D15" s="5">
        <v>1.6480557836301026</v>
      </c>
      <c r="I15" s="3">
        <v>6</v>
      </c>
      <c r="J15" s="4">
        <v>15904.48</v>
      </c>
      <c r="K15" s="4">
        <v>1619.85</v>
      </c>
      <c r="L15" s="5">
        <v>9.8184893662993495</v>
      </c>
      <c r="P15" s="541" t="s">
        <v>4</v>
      </c>
      <c r="Q15" s="244">
        <v>18740.78</v>
      </c>
      <c r="R15" s="244">
        <v>22062.48</v>
      </c>
      <c r="S15" s="85">
        <v>0.84944122328949412</v>
      </c>
    </row>
    <row r="16" spans="1:20" x14ac:dyDescent="0.25">
      <c r="A16" s="541" t="s">
        <v>12</v>
      </c>
      <c r="B16" s="244">
        <v>33620.75</v>
      </c>
      <c r="C16" s="244">
        <v>20400.25</v>
      </c>
      <c r="D16" s="5">
        <v>1.6480557836301026</v>
      </c>
      <c r="I16" s="541" t="s">
        <v>12</v>
      </c>
      <c r="J16" s="4">
        <v>15904.48</v>
      </c>
      <c r="K16" s="4">
        <v>1619.85</v>
      </c>
      <c r="L16" s="5">
        <v>9.8184893662993495</v>
      </c>
      <c r="P16" s="3">
        <v>6</v>
      </c>
      <c r="Q16" s="244">
        <v>17588.27</v>
      </c>
      <c r="R16" s="244">
        <v>18780.400000000001</v>
      </c>
      <c r="S16" s="85">
        <v>0.93652265127473322</v>
      </c>
    </row>
    <row r="17" spans="1:19" x14ac:dyDescent="0.25">
      <c r="A17" s="3">
        <v>7</v>
      </c>
      <c r="B17" s="244">
        <v>448120.92</v>
      </c>
      <c r="C17" s="244">
        <v>310917.89</v>
      </c>
      <c r="D17" s="5">
        <v>1.4412838064737927</v>
      </c>
      <c r="I17" s="3">
        <v>7</v>
      </c>
      <c r="J17" s="4">
        <v>164182.76999999999</v>
      </c>
      <c r="K17" s="4">
        <v>5904.29</v>
      </c>
      <c r="L17" s="5">
        <v>27.807368879238652</v>
      </c>
      <c r="P17" s="541" t="s">
        <v>12</v>
      </c>
      <c r="Q17" s="244">
        <v>17588.27</v>
      </c>
      <c r="R17" s="244">
        <v>18780.400000000001</v>
      </c>
      <c r="S17" s="85">
        <v>0.93652265127473322</v>
      </c>
    </row>
    <row r="18" spans="1:19" x14ac:dyDescent="0.25">
      <c r="A18" s="541" t="s">
        <v>8</v>
      </c>
      <c r="B18" s="244">
        <v>448120.92</v>
      </c>
      <c r="C18" s="244">
        <v>310917.89</v>
      </c>
      <c r="D18" s="5">
        <v>1.4412838064737927</v>
      </c>
      <c r="I18" s="541" t="s">
        <v>8</v>
      </c>
      <c r="J18" s="4">
        <v>164182.76999999999</v>
      </c>
      <c r="K18" s="4">
        <v>5904.29</v>
      </c>
      <c r="L18" s="5">
        <v>27.807368879238652</v>
      </c>
      <c r="P18" s="3">
        <v>7</v>
      </c>
      <c r="Q18" s="244">
        <v>282243.55</v>
      </c>
      <c r="R18" s="244">
        <v>281132.56</v>
      </c>
      <c r="S18" s="85">
        <v>1.0039518368132101</v>
      </c>
    </row>
    <row r="19" spans="1:19" x14ac:dyDescent="0.25">
      <c r="A19" s="3">
        <v>8</v>
      </c>
      <c r="B19" s="244">
        <v>161461.21</v>
      </c>
      <c r="C19" s="244">
        <v>170431.59</v>
      </c>
      <c r="D19" s="5">
        <v>0.9473666824325232</v>
      </c>
      <c r="I19" s="3">
        <v>8</v>
      </c>
      <c r="J19" s="4">
        <v>55279.33</v>
      </c>
      <c r="K19" s="4">
        <v>2462.2800000000002</v>
      </c>
      <c r="L19" s="5">
        <v>22.450464610036224</v>
      </c>
      <c r="P19" s="541" t="s">
        <v>8</v>
      </c>
      <c r="Q19" s="244">
        <v>282243.55</v>
      </c>
      <c r="R19" s="244">
        <v>281132.56</v>
      </c>
      <c r="S19" s="85">
        <v>1.0039518368132101</v>
      </c>
    </row>
    <row r="20" spans="1:19" x14ac:dyDescent="0.25">
      <c r="A20" s="541" t="s">
        <v>10</v>
      </c>
      <c r="B20" s="244">
        <v>161461.21</v>
      </c>
      <c r="C20" s="244">
        <v>170431.59</v>
      </c>
      <c r="D20" s="5">
        <v>0.9473666824325232</v>
      </c>
      <c r="I20" s="541" t="s">
        <v>10</v>
      </c>
      <c r="J20" s="4">
        <v>55279.33</v>
      </c>
      <c r="K20" s="4">
        <v>2462.2800000000002</v>
      </c>
      <c r="L20" s="5">
        <v>22.450464610036224</v>
      </c>
      <c r="P20" s="3">
        <v>8</v>
      </c>
      <c r="Q20" s="244">
        <v>104758.63</v>
      </c>
      <c r="R20" s="244">
        <v>106784.31</v>
      </c>
      <c r="S20" s="85">
        <v>0.98103017194192677</v>
      </c>
    </row>
    <row r="21" spans="1:19" x14ac:dyDescent="0.25">
      <c r="A21" s="3">
        <v>9</v>
      </c>
      <c r="B21" s="244">
        <v>31915.26</v>
      </c>
      <c r="C21" s="244">
        <v>23851.98</v>
      </c>
      <c r="D21" s="5">
        <v>1.3380549539283531</v>
      </c>
      <c r="I21" s="3">
        <v>9</v>
      </c>
      <c r="J21" s="4">
        <v>13427.02</v>
      </c>
      <c r="K21" s="4">
        <v>4153.62</v>
      </c>
      <c r="L21" s="5">
        <v>3.2326067382187107</v>
      </c>
      <c r="P21" s="541" t="s">
        <v>10</v>
      </c>
      <c r="Q21" s="244">
        <v>104758.63</v>
      </c>
      <c r="R21" s="244">
        <v>106784.31</v>
      </c>
      <c r="S21" s="85">
        <v>0.98103017194192677</v>
      </c>
    </row>
    <row r="22" spans="1:19" x14ac:dyDescent="0.25">
      <c r="A22" s="541" t="s">
        <v>5</v>
      </c>
      <c r="B22" s="244">
        <v>31915.26</v>
      </c>
      <c r="C22" s="244">
        <v>23851.98</v>
      </c>
      <c r="D22" s="5">
        <v>1.3380549539283531</v>
      </c>
      <c r="I22" s="541" t="s">
        <v>5</v>
      </c>
      <c r="J22" s="4">
        <v>13427.02</v>
      </c>
      <c r="K22" s="4">
        <v>4153.62</v>
      </c>
      <c r="L22" s="5">
        <v>3.2326067382187107</v>
      </c>
      <c r="P22" s="3">
        <v>9</v>
      </c>
      <c r="Q22" s="244">
        <v>17678.919999999998</v>
      </c>
      <c r="R22" s="244">
        <v>16262.59</v>
      </c>
      <c r="S22" s="85">
        <v>1.0870912935762385</v>
      </c>
    </row>
    <row r="23" spans="1:19" x14ac:dyDescent="0.25">
      <c r="A23" s="3">
        <v>10</v>
      </c>
      <c r="B23" s="244">
        <v>129503.32</v>
      </c>
      <c r="C23" s="244">
        <v>179213.1</v>
      </c>
      <c r="D23" s="5">
        <v>0.72262195118548811</v>
      </c>
      <c r="I23" s="3">
        <v>10</v>
      </c>
      <c r="J23" s="4">
        <v>43181.24</v>
      </c>
      <c r="K23" s="4">
        <v>2833.66</v>
      </c>
      <c r="L23" s="5">
        <v>15.238680716811473</v>
      </c>
      <c r="P23" s="541" t="s">
        <v>5</v>
      </c>
      <c r="Q23" s="244">
        <v>17678.919999999998</v>
      </c>
      <c r="R23" s="244">
        <v>16262.59</v>
      </c>
      <c r="S23" s="85">
        <v>1.0870912935762385</v>
      </c>
    </row>
    <row r="24" spans="1:19" x14ac:dyDescent="0.25">
      <c r="A24" s="541" t="s">
        <v>11</v>
      </c>
      <c r="B24" s="244">
        <v>129503.32</v>
      </c>
      <c r="C24" s="244">
        <v>179213.1</v>
      </c>
      <c r="D24" s="5">
        <v>0.72262195118548811</v>
      </c>
      <c r="I24" s="541" t="s">
        <v>11</v>
      </c>
      <c r="J24" s="4">
        <v>43181.24</v>
      </c>
      <c r="K24" s="4">
        <v>2833.66</v>
      </c>
      <c r="L24" s="5">
        <v>15.238680716811473</v>
      </c>
      <c r="P24" s="3">
        <v>10</v>
      </c>
      <c r="Q24" s="244">
        <v>86268.44</v>
      </c>
      <c r="R24" s="244">
        <v>90269.39</v>
      </c>
      <c r="S24" s="85">
        <v>0.95567766659329367</v>
      </c>
    </row>
    <row r="25" spans="1:19" x14ac:dyDescent="0.25">
      <c r="A25" s="3">
        <v>11</v>
      </c>
      <c r="B25" s="244">
        <v>33104.44</v>
      </c>
      <c r="C25" s="244">
        <v>64636.98</v>
      </c>
      <c r="D25" s="5">
        <v>0.51215944804351932</v>
      </c>
      <c r="I25" s="3">
        <v>11</v>
      </c>
      <c r="J25" s="4">
        <v>15477.57</v>
      </c>
      <c r="K25" s="4">
        <v>1811.32</v>
      </c>
      <c r="L25" s="5">
        <v>8.5449119978799999</v>
      </c>
      <c r="P25" s="541" t="s">
        <v>11</v>
      </c>
      <c r="Q25" s="244">
        <v>86268.44</v>
      </c>
      <c r="R25" s="244">
        <v>90269.39</v>
      </c>
      <c r="S25" s="85">
        <v>0.95567766659329367</v>
      </c>
    </row>
    <row r="26" spans="1:19" x14ac:dyDescent="0.25">
      <c r="A26" s="541" t="s">
        <v>13</v>
      </c>
      <c r="B26" s="244">
        <v>33104.44</v>
      </c>
      <c r="C26" s="244">
        <v>64636.98</v>
      </c>
      <c r="D26" s="5">
        <v>0.51215944804351932</v>
      </c>
      <c r="I26" s="541" t="s">
        <v>13</v>
      </c>
      <c r="J26" s="4">
        <v>15477.57</v>
      </c>
      <c r="K26" s="4">
        <v>1811.32</v>
      </c>
      <c r="L26" s="5">
        <v>8.5449119978799999</v>
      </c>
      <c r="P26" s="3">
        <v>11</v>
      </c>
      <c r="Q26" s="244">
        <v>15280.63</v>
      </c>
      <c r="R26" s="244">
        <v>21674.82</v>
      </c>
      <c r="S26" s="85">
        <v>0.70499455128116406</v>
      </c>
    </row>
    <row r="27" spans="1:19" x14ac:dyDescent="0.25">
      <c r="A27" s="3">
        <v>12</v>
      </c>
      <c r="B27" s="244">
        <v>747071.01</v>
      </c>
      <c r="C27" s="244">
        <v>1755597.02</v>
      </c>
      <c r="D27" s="5">
        <v>0.4255367271015304</v>
      </c>
      <c r="I27" s="3">
        <v>12</v>
      </c>
      <c r="J27" s="4">
        <v>269230.86</v>
      </c>
      <c r="K27" s="4">
        <v>15685.94</v>
      </c>
      <c r="L27" s="5">
        <v>17.163833343746052</v>
      </c>
      <c r="P27" s="541" t="s">
        <v>13</v>
      </c>
      <c r="Q27" s="244">
        <v>15280.63</v>
      </c>
      <c r="R27" s="244">
        <v>21674.82</v>
      </c>
      <c r="S27" s="85">
        <v>0.70499455128116406</v>
      </c>
    </row>
    <row r="28" spans="1:19" x14ac:dyDescent="0.25">
      <c r="A28" s="541" t="s">
        <v>14</v>
      </c>
      <c r="B28" s="244">
        <v>747071.01</v>
      </c>
      <c r="C28" s="244">
        <v>1755597.02</v>
      </c>
      <c r="D28" s="5">
        <v>0.4255367271015304</v>
      </c>
      <c r="I28" s="541" t="s">
        <v>14</v>
      </c>
      <c r="J28" s="4">
        <v>269230.86</v>
      </c>
      <c r="K28" s="4">
        <v>15685.94</v>
      </c>
      <c r="L28" s="5">
        <v>17.163833343746052</v>
      </c>
      <c r="P28" s="3">
        <v>12</v>
      </c>
      <c r="Q28" s="244">
        <v>469224.07</v>
      </c>
      <c r="R28" s="244">
        <v>673627.09</v>
      </c>
      <c r="S28" s="85">
        <v>0.69656353933153137</v>
      </c>
    </row>
    <row r="29" spans="1:19" x14ac:dyDescent="0.25">
      <c r="A29" s="2" t="s">
        <v>17</v>
      </c>
      <c r="B29" s="244">
        <v>1962143.66</v>
      </c>
      <c r="C29" s="244">
        <v>3247094.4000000004</v>
      </c>
      <c r="D29" s="5">
        <v>0.60427675277934623</v>
      </c>
      <c r="I29" s="2" t="s">
        <v>17</v>
      </c>
      <c r="J29" s="4">
        <v>705988.22</v>
      </c>
      <c r="K29" s="4">
        <v>38619.26</v>
      </c>
      <c r="L29" s="5">
        <v>18.280728838408606</v>
      </c>
      <c r="P29" s="541" t="s">
        <v>14</v>
      </c>
      <c r="Q29" s="244">
        <v>469224.07</v>
      </c>
      <c r="R29" s="244">
        <v>673627.09</v>
      </c>
      <c r="S29" s="85">
        <v>0.69656353933153137</v>
      </c>
    </row>
    <row r="30" spans="1:19" x14ac:dyDescent="0.25">
      <c r="P30" s="2" t="s">
        <v>17</v>
      </c>
      <c r="Q30" s="244">
        <v>1236297.8799999999</v>
      </c>
      <c r="R30" s="244">
        <v>1334670.8899999999</v>
      </c>
      <c r="S30" s="85">
        <v>0.92629418178139777</v>
      </c>
    </row>
  </sheetData>
  <mergeCells count="2">
    <mergeCell ref="P1:S1"/>
    <mergeCell ref="I1:L1"/>
  </mergeCells>
  <pageMargins left="0.7" right="0.7" top="0.75" bottom="0.75" header="0.3" footer="0.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C000"/>
  </sheetPr>
  <dimension ref="A1:BI31"/>
  <sheetViews>
    <sheetView topLeftCell="G1" workbookViewId="0"/>
  </sheetViews>
  <sheetFormatPr defaultRowHeight="15" x14ac:dyDescent="0.25"/>
  <cols>
    <col min="1" max="1" width="11.42578125" customWidth="1"/>
    <col min="2" max="2" width="13.85546875" customWidth="1"/>
    <col min="3" max="3" width="8.140625" customWidth="1"/>
    <col min="4" max="4" width="16.28515625" customWidth="1"/>
    <col min="5" max="5" width="9.85546875" customWidth="1"/>
    <col min="7" max="7" width="11.42578125" customWidth="1"/>
    <col min="8" max="8" width="13.85546875" customWidth="1"/>
    <col min="9" max="9" width="9.140625" customWidth="1"/>
    <col min="10" max="10" width="11.140625" customWidth="1"/>
    <col min="11" max="11" width="21.7109375" customWidth="1"/>
    <col min="12" max="12" width="16.28515625" customWidth="1"/>
    <col min="13" max="13" width="9.85546875" customWidth="1"/>
    <col min="15" max="15" width="11.42578125" customWidth="1"/>
    <col min="16" max="16" width="13.85546875" customWidth="1"/>
    <col min="17" max="17" width="8.42578125" customWidth="1"/>
    <col min="18" max="18" width="11.140625" customWidth="1"/>
    <col min="19" max="19" width="21.7109375" customWidth="1"/>
    <col min="20" max="20" width="16.28515625" customWidth="1"/>
    <col min="21" max="21" width="9.85546875" customWidth="1"/>
    <col min="23" max="23" width="11.42578125" customWidth="1"/>
    <col min="24" max="24" width="13.85546875" customWidth="1"/>
    <col min="25" max="25" width="8.42578125" customWidth="1"/>
    <col min="26" max="26" width="11.140625" customWidth="1"/>
    <col min="27" max="27" width="21.7109375" customWidth="1"/>
    <col min="28" max="28" width="16.28515625" customWidth="1"/>
    <col min="29" max="29" width="9.85546875" customWidth="1"/>
    <col min="31" max="31" width="11.42578125" customWidth="1"/>
    <col min="32" max="32" width="13.85546875" customWidth="1"/>
    <col min="33" max="33" width="8.140625" customWidth="1"/>
    <col min="34" max="34" width="9.140625" customWidth="1"/>
    <col min="35" max="35" width="12.5703125" customWidth="1"/>
    <col min="36" max="36" width="16.28515625" customWidth="1"/>
    <col min="37" max="37" width="9.85546875" customWidth="1"/>
    <col min="39" max="39" width="11.42578125" customWidth="1"/>
    <col min="40" max="40" width="13.85546875" customWidth="1"/>
    <col min="41" max="42" width="8.140625" customWidth="1"/>
    <col min="43" max="43" width="12.5703125" customWidth="1"/>
    <col min="44" max="44" width="16.28515625" customWidth="1"/>
    <col min="45" max="45" width="9.85546875" customWidth="1"/>
    <col min="47" max="47" width="11.42578125" customWidth="1"/>
    <col min="48" max="48" width="13.85546875" customWidth="1"/>
    <col min="49" max="49" width="8.140625" customWidth="1"/>
    <col min="50" max="50" width="7.85546875" customWidth="1"/>
    <col min="51" max="51" width="12.5703125" customWidth="1"/>
    <col min="52" max="52" width="16.28515625" customWidth="1"/>
    <col min="53" max="53" width="9.85546875" customWidth="1"/>
    <col min="55" max="55" width="11.42578125" customWidth="1"/>
    <col min="56" max="56" width="13.85546875" customWidth="1"/>
    <col min="57" max="57" width="7.7109375" customWidth="1"/>
    <col min="58" max="58" width="9.140625" customWidth="1"/>
    <col min="59" max="59" width="12.5703125" customWidth="1"/>
    <col min="60" max="60" width="16.28515625" customWidth="1"/>
    <col min="61" max="61" width="9.85546875" customWidth="1"/>
    <col min="64" max="64" width="13.140625" customWidth="1"/>
    <col min="65" max="65" width="14.140625" customWidth="1"/>
  </cols>
  <sheetData>
    <row r="1" spans="1:61" s="84" customFormat="1" x14ac:dyDescent="0.25">
      <c r="A1" s="561">
        <v>38</v>
      </c>
      <c r="B1" s="562" t="s">
        <v>1151</v>
      </c>
      <c r="C1" s="562"/>
      <c r="D1" s="562"/>
      <c r="E1" s="563"/>
      <c r="G1" s="561">
        <v>39</v>
      </c>
      <c r="H1" s="562" t="s">
        <v>1140</v>
      </c>
      <c r="I1" s="562"/>
      <c r="J1" s="562"/>
      <c r="K1" s="562"/>
      <c r="L1" s="562"/>
      <c r="M1" s="563"/>
      <c r="O1" s="561">
        <v>40</v>
      </c>
      <c r="P1" s="562" t="s">
        <v>1141</v>
      </c>
      <c r="Q1" s="562"/>
      <c r="R1" s="562"/>
      <c r="S1" s="562"/>
      <c r="T1" s="562"/>
      <c r="U1" s="563"/>
      <c r="W1" s="561">
        <v>41</v>
      </c>
      <c r="X1" s="562" t="s">
        <v>1142</v>
      </c>
      <c r="Y1" s="562"/>
      <c r="Z1" s="562"/>
      <c r="AA1" s="562"/>
      <c r="AB1" s="562"/>
      <c r="AC1" s="563"/>
      <c r="AE1" s="571">
        <v>42</v>
      </c>
      <c r="AF1" s="562" t="s">
        <v>1147</v>
      </c>
      <c r="AG1" s="562"/>
      <c r="AH1" s="562"/>
      <c r="AI1" s="562"/>
      <c r="AJ1" s="562"/>
      <c r="AK1" s="563"/>
      <c r="AM1" s="84">
        <v>43</v>
      </c>
      <c r="AN1" s="561" t="s">
        <v>1148</v>
      </c>
      <c r="AO1" s="562"/>
      <c r="AP1" s="562"/>
      <c r="AQ1" s="562"/>
      <c r="AR1" s="562"/>
      <c r="AS1" s="563"/>
      <c r="AU1" s="84">
        <v>44</v>
      </c>
      <c r="AV1" s="561" t="s">
        <v>1149</v>
      </c>
      <c r="AW1" s="562"/>
      <c r="AX1" s="562"/>
      <c r="AY1" s="562"/>
      <c r="AZ1" s="562"/>
      <c r="BA1" s="563"/>
      <c r="BC1" s="84">
        <v>45</v>
      </c>
      <c r="BD1" s="561"/>
      <c r="BE1" s="562" t="s">
        <v>1150</v>
      </c>
      <c r="BF1" s="562"/>
      <c r="BG1" s="562"/>
      <c r="BH1" s="562"/>
      <c r="BI1" s="563"/>
    </row>
    <row r="2" spans="1:61" x14ac:dyDescent="0.25">
      <c r="A2" t="s">
        <v>1004</v>
      </c>
      <c r="B2" t="s">
        <v>1005</v>
      </c>
      <c r="C2" t="s">
        <v>222</v>
      </c>
      <c r="D2" t="s">
        <v>1053</v>
      </c>
      <c r="E2" t="s">
        <v>1054</v>
      </c>
      <c r="G2" t="s">
        <v>1004</v>
      </c>
      <c r="H2" t="s">
        <v>1005</v>
      </c>
      <c r="I2" t="s">
        <v>221</v>
      </c>
      <c r="J2" t="s">
        <v>1044</v>
      </c>
      <c r="K2" t="s">
        <v>1045</v>
      </c>
      <c r="L2" t="s">
        <v>1053</v>
      </c>
      <c r="M2" t="s">
        <v>1054</v>
      </c>
      <c r="O2" t="s">
        <v>1004</v>
      </c>
      <c r="P2" t="s">
        <v>1005</v>
      </c>
      <c r="Q2" t="s">
        <v>221</v>
      </c>
      <c r="R2" t="s">
        <v>1044</v>
      </c>
      <c r="S2" t="s">
        <v>1045</v>
      </c>
      <c r="T2" t="s">
        <v>1053</v>
      </c>
      <c r="U2" t="s">
        <v>1054</v>
      </c>
      <c r="W2" t="s">
        <v>1004</v>
      </c>
      <c r="X2" t="s">
        <v>1005</v>
      </c>
      <c r="Y2" t="s">
        <v>221</v>
      </c>
      <c r="Z2" t="s">
        <v>1044</v>
      </c>
      <c r="AA2" t="s">
        <v>1045</v>
      </c>
      <c r="AB2" t="s">
        <v>1053</v>
      </c>
      <c r="AC2" t="s">
        <v>1054</v>
      </c>
      <c r="AE2" t="s">
        <v>1004</v>
      </c>
      <c r="AF2" t="s">
        <v>1005</v>
      </c>
      <c r="AG2" t="s">
        <v>1046</v>
      </c>
      <c r="AH2" t="s">
        <v>222</v>
      </c>
      <c r="AI2" t="s">
        <v>229</v>
      </c>
      <c r="AJ2" t="s">
        <v>1053</v>
      </c>
      <c r="AK2" t="s">
        <v>1054</v>
      </c>
      <c r="AM2" t="s">
        <v>1004</v>
      </c>
      <c r="AN2" t="s">
        <v>1005</v>
      </c>
      <c r="AO2" t="s">
        <v>1046</v>
      </c>
      <c r="AP2" t="s">
        <v>222</v>
      </c>
      <c r="AQ2" t="s">
        <v>229</v>
      </c>
      <c r="AR2" t="s">
        <v>1053</v>
      </c>
      <c r="AS2" t="s">
        <v>1054</v>
      </c>
      <c r="AU2" t="s">
        <v>1004</v>
      </c>
      <c r="AV2" t="s">
        <v>1005</v>
      </c>
      <c r="AW2" t="s">
        <v>1046</v>
      </c>
      <c r="AX2" t="s">
        <v>222</v>
      </c>
      <c r="AY2" t="s">
        <v>229</v>
      </c>
      <c r="AZ2" t="s">
        <v>1053</v>
      </c>
      <c r="BA2" t="s">
        <v>1054</v>
      </c>
      <c r="BC2" t="s">
        <v>1004</v>
      </c>
      <c r="BD2" t="s">
        <v>1005</v>
      </c>
      <c r="BE2" t="s">
        <v>1047</v>
      </c>
      <c r="BF2" t="s">
        <v>222</v>
      </c>
      <c r="BG2" t="s">
        <v>229</v>
      </c>
      <c r="BH2" t="s">
        <v>1053</v>
      </c>
      <c r="BI2" t="s">
        <v>1054</v>
      </c>
    </row>
    <row r="3" spans="1:61" x14ac:dyDescent="0.25">
      <c r="A3">
        <v>2015</v>
      </c>
      <c r="B3" t="s">
        <v>1247</v>
      </c>
      <c r="C3">
        <v>358.92</v>
      </c>
      <c r="D3" t="s">
        <v>12</v>
      </c>
      <c r="E3">
        <v>6</v>
      </c>
      <c r="G3">
        <v>2015</v>
      </c>
      <c r="H3" t="s">
        <v>1247</v>
      </c>
      <c r="I3">
        <v>17814080</v>
      </c>
      <c r="J3">
        <v>358.92</v>
      </c>
      <c r="K3">
        <v>0</v>
      </c>
      <c r="L3" t="s">
        <v>12</v>
      </c>
      <c r="M3">
        <v>6</v>
      </c>
      <c r="O3">
        <v>2015</v>
      </c>
      <c r="P3" t="s">
        <v>1253</v>
      </c>
      <c r="S3">
        <v>0.01</v>
      </c>
      <c r="W3">
        <v>2016</v>
      </c>
      <c r="X3" t="s">
        <v>1253</v>
      </c>
      <c r="AE3">
        <v>2014</v>
      </c>
      <c r="AF3" t="s">
        <v>665</v>
      </c>
      <c r="AG3" t="s">
        <v>1028</v>
      </c>
      <c r="AH3">
        <v>0.04</v>
      </c>
      <c r="AI3">
        <v>1</v>
      </c>
      <c r="AJ3" t="s">
        <v>6</v>
      </c>
      <c r="AK3">
        <v>3</v>
      </c>
      <c r="AM3">
        <v>2015</v>
      </c>
      <c r="AN3" t="s">
        <v>1253</v>
      </c>
      <c r="AP3">
        <v>29201.5</v>
      </c>
      <c r="AR3" t="s">
        <v>1266</v>
      </c>
      <c r="BC3">
        <v>2014</v>
      </c>
      <c r="BD3" t="s">
        <v>665</v>
      </c>
      <c r="BE3" t="s">
        <v>101</v>
      </c>
      <c r="BF3">
        <v>0.04</v>
      </c>
      <c r="BH3" t="s">
        <v>6</v>
      </c>
      <c r="BI3">
        <v>3</v>
      </c>
    </row>
    <row r="4" spans="1:61" x14ac:dyDescent="0.25">
      <c r="A4">
        <v>2015</v>
      </c>
      <c r="B4" t="s">
        <v>1248</v>
      </c>
      <c r="C4">
        <v>1770.01</v>
      </c>
      <c r="D4" t="s">
        <v>8</v>
      </c>
      <c r="E4">
        <v>7</v>
      </c>
      <c r="G4">
        <v>2015</v>
      </c>
      <c r="H4" t="s">
        <v>1248</v>
      </c>
      <c r="I4">
        <v>15491948</v>
      </c>
      <c r="J4">
        <v>1770.01</v>
      </c>
      <c r="K4">
        <v>0.01</v>
      </c>
      <c r="L4" t="s">
        <v>8</v>
      </c>
      <c r="M4">
        <v>7</v>
      </c>
      <c r="AE4">
        <v>2015</v>
      </c>
      <c r="AF4" t="s">
        <v>1247</v>
      </c>
      <c r="AG4" t="s">
        <v>1013</v>
      </c>
      <c r="AH4">
        <v>113.91</v>
      </c>
      <c r="AI4">
        <v>6</v>
      </c>
      <c r="AJ4" t="s">
        <v>12</v>
      </c>
      <c r="AK4">
        <v>6</v>
      </c>
      <c r="BC4">
        <v>2015</v>
      </c>
      <c r="BD4" t="s">
        <v>1247</v>
      </c>
      <c r="BE4" t="s">
        <v>1012</v>
      </c>
      <c r="BF4">
        <v>358.92</v>
      </c>
      <c r="BH4" t="s">
        <v>12</v>
      </c>
      <c r="BI4">
        <v>6</v>
      </c>
    </row>
    <row r="5" spans="1:61" x14ac:dyDescent="0.25">
      <c r="A5">
        <v>2015</v>
      </c>
      <c r="B5" t="s">
        <v>1249</v>
      </c>
      <c r="C5">
        <v>569.26</v>
      </c>
      <c r="D5" t="s">
        <v>10</v>
      </c>
      <c r="E5">
        <v>8</v>
      </c>
      <c r="G5">
        <v>2015</v>
      </c>
      <c r="H5" t="s">
        <v>1249</v>
      </c>
      <c r="I5">
        <v>30904773</v>
      </c>
      <c r="J5">
        <v>569.26</v>
      </c>
      <c r="K5">
        <v>0</v>
      </c>
      <c r="L5" t="s">
        <v>10</v>
      </c>
      <c r="M5">
        <v>8</v>
      </c>
      <c r="AE5">
        <v>2015</v>
      </c>
      <c r="AF5" t="s">
        <v>1247</v>
      </c>
      <c r="AG5" t="s">
        <v>1015</v>
      </c>
      <c r="AH5">
        <v>200.92</v>
      </c>
      <c r="AI5">
        <v>20</v>
      </c>
      <c r="AJ5" t="s">
        <v>12</v>
      </c>
      <c r="AK5">
        <v>6</v>
      </c>
      <c r="BC5">
        <v>2015</v>
      </c>
      <c r="BD5" t="s">
        <v>1248</v>
      </c>
      <c r="BE5" t="s">
        <v>1016</v>
      </c>
      <c r="BF5">
        <v>76.239999999999995</v>
      </c>
      <c r="BH5" t="s">
        <v>8</v>
      </c>
      <c r="BI5">
        <v>7</v>
      </c>
    </row>
    <row r="6" spans="1:61" x14ac:dyDescent="0.25">
      <c r="A6">
        <v>2015</v>
      </c>
      <c r="B6" t="s">
        <v>1250</v>
      </c>
      <c r="C6">
        <v>3405.11</v>
      </c>
      <c r="D6" t="s">
        <v>5</v>
      </c>
      <c r="E6">
        <v>9</v>
      </c>
      <c r="G6">
        <v>2015</v>
      </c>
      <c r="H6" t="s">
        <v>1250</v>
      </c>
      <c r="I6">
        <v>26460562</v>
      </c>
      <c r="J6">
        <v>3405.11</v>
      </c>
      <c r="K6">
        <v>0.01</v>
      </c>
      <c r="L6" t="s">
        <v>5</v>
      </c>
      <c r="M6">
        <v>9</v>
      </c>
      <c r="AE6">
        <v>2015</v>
      </c>
      <c r="AF6" t="s">
        <v>1247</v>
      </c>
      <c r="AG6" t="s">
        <v>1011</v>
      </c>
      <c r="AH6">
        <v>44.09</v>
      </c>
      <c r="AI6">
        <v>3</v>
      </c>
      <c r="AJ6" t="s">
        <v>12</v>
      </c>
      <c r="AK6">
        <v>6</v>
      </c>
      <c r="BC6">
        <v>2015</v>
      </c>
      <c r="BD6" t="s">
        <v>1248</v>
      </c>
      <c r="BE6" t="s">
        <v>1012</v>
      </c>
      <c r="BF6">
        <v>1432.64</v>
      </c>
      <c r="BH6" t="s">
        <v>8</v>
      </c>
      <c r="BI6">
        <v>7</v>
      </c>
    </row>
    <row r="7" spans="1:61" x14ac:dyDescent="0.25">
      <c r="A7">
        <v>2015</v>
      </c>
      <c r="B7" t="s">
        <v>1251</v>
      </c>
      <c r="C7">
        <v>307.18</v>
      </c>
      <c r="D7" t="s">
        <v>11</v>
      </c>
      <c r="E7">
        <v>10</v>
      </c>
      <c r="G7">
        <v>2015</v>
      </c>
      <c r="H7" t="s">
        <v>1251</v>
      </c>
      <c r="I7">
        <v>19456929</v>
      </c>
      <c r="J7">
        <v>307.18</v>
      </c>
      <c r="K7">
        <v>0</v>
      </c>
      <c r="L7" t="s">
        <v>11</v>
      </c>
      <c r="M7">
        <v>10</v>
      </c>
      <c r="AE7">
        <v>2015</v>
      </c>
      <c r="AF7" t="s">
        <v>1248</v>
      </c>
      <c r="AG7" t="s">
        <v>1020</v>
      </c>
      <c r="AH7">
        <v>196.66</v>
      </c>
      <c r="AI7">
        <v>52</v>
      </c>
      <c r="AJ7" t="s">
        <v>8</v>
      </c>
      <c r="AK7">
        <v>7</v>
      </c>
      <c r="BC7">
        <v>2015</v>
      </c>
      <c r="BD7" t="s">
        <v>1248</v>
      </c>
      <c r="BE7" t="s">
        <v>1014</v>
      </c>
      <c r="BF7">
        <v>261.13</v>
      </c>
      <c r="BH7" t="s">
        <v>8</v>
      </c>
      <c r="BI7">
        <v>7</v>
      </c>
    </row>
    <row r="8" spans="1:61" x14ac:dyDescent="0.25">
      <c r="A8">
        <v>2015</v>
      </c>
      <c r="B8" t="s">
        <v>1252</v>
      </c>
      <c r="C8">
        <v>278.08999999999997</v>
      </c>
      <c r="D8" t="s">
        <v>13</v>
      </c>
      <c r="E8">
        <v>11</v>
      </c>
      <c r="G8">
        <v>2015</v>
      </c>
      <c r="H8" t="s">
        <v>1252</v>
      </c>
      <c r="I8">
        <v>20813105</v>
      </c>
      <c r="J8">
        <v>278.08999999999997</v>
      </c>
      <c r="K8">
        <v>0</v>
      </c>
      <c r="L8" t="s">
        <v>13</v>
      </c>
      <c r="M8">
        <v>11</v>
      </c>
      <c r="AE8">
        <v>2015</v>
      </c>
      <c r="AF8" t="s">
        <v>1248</v>
      </c>
      <c r="AG8" t="s">
        <v>1013</v>
      </c>
      <c r="AH8">
        <v>329.93</v>
      </c>
      <c r="AI8">
        <v>16</v>
      </c>
      <c r="AJ8" t="s">
        <v>8</v>
      </c>
      <c r="AK8">
        <v>7</v>
      </c>
      <c r="BC8">
        <v>2015</v>
      </c>
      <c r="BD8" t="s">
        <v>1249</v>
      </c>
      <c r="BE8" t="s">
        <v>1012</v>
      </c>
      <c r="BF8">
        <v>451.37</v>
      </c>
      <c r="BH8" t="s">
        <v>10</v>
      </c>
      <c r="BI8">
        <v>8</v>
      </c>
    </row>
    <row r="9" spans="1:61" x14ac:dyDescent="0.25">
      <c r="A9">
        <v>2015</v>
      </c>
      <c r="B9" t="s">
        <v>1245</v>
      </c>
      <c r="C9">
        <v>221.42</v>
      </c>
      <c r="D9" t="s">
        <v>7</v>
      </c>
      <c r="E9">
        <v>1</v>
      </c>
      <c r="G9">
        <v>2014</v>
      </c>
      <c r="H9" t="s">
        <v>1244</v>
      </c>
      <c r="I9">
        <v>0</v>
      </c>
      <c r="L9" t="s">
        <v>14</v>
      </c>
      <c r="M9">
        <v>12</v>
      </c>
      <c r="AE9">
        <v>2015</v>
      </c>
      <c r="AF9" t="s">
        <v>1248</v>
      </c>
      <c r="AG9" t="s">
        <v>1015</v>
      </c>
      <c r="AH9">
        <v>83.17</v>
      </c>
      <c r="AI9">
        <v>3</v>
      </c>
      <c r="AJ9" t="s">
        <v>8</v>
      </c>
      <c r="AK9">
        <v>7</v>
      </c>
      <c r="BC9">
        <v>2015</v>
      </c>
      <c r="BD9" t="s">
        <v>1249</v>
      </c>
      <c r="BE9" t="s">
        <v>1014</v>
      </c>
      <c r="BF9">
        <v>117.89</v>
      </c>
      <c r="BH9" t="s">
        <v>10</v>
      </c>
      <c r="BI9">
        <v>8</v>
      </c>
    </row>
    <row r="10" spans="1:61" x14ac:dyDescent="0.25">
      <c r="A10">
        <v>2015</v>
      </c>
      <c r="B10" t="s">
        <v>1246</v>
      </c>
      <c r="C10">
        <v>20751.599999999999</v>
      </c>
      <c r="D10" t="s">
        <v>15</v>
      </c>
      <c r="E10">
        <v>2</v>
      </c>
      <c r="G10">
        <v>2015</v>
      </c>
      <c r="H10" t="s">
        <v>1244</v>
      </c>
      <c r="I10">
        <v>32832337</v>
      </c>
      <c r="L10" t="s">
        <v>14</v>
      </c>
      <c r="M10">
        <v>12</v>
      </c>
      <c r="AE10">
        <v>2015</v>
      </c>
      <c r="AF10" t="s">
        <v>1248</v>
      </c>
      <c r="AG10" t="s">
        <v>1011</v>
      </c>
      <c r="AH10">
        <v>1141.75</v>
      </c>
      <c r="AI10">
        <v>36</v>
      </c>
      <c r="AJ10" t="s">
        <v>8</v>
      </c>
      <c r="AK10">
        <v>7</v>
      </c>
      <c r="BC10">
        <v>2015</v>
      </c>
      <c r="BD10" t="s">
        <v>1250</v>
      </c>
      <c r="BE10" t="s">
        <v>1012</v>
      </c>
      <c r="BF10">
        <v>3405.11</v>
      </c>
      <c r="BH10" t="s">
        <v>5</v>
      </c>
      <c r="BI10">
        <v>9</v>
      </c>
    </row>
    <row r="11" spans="1:61" x14ac:dyDescent="0.25">
      <c r="A11">
        <v>2014</v>
      </c>
      <c r="B11" t="s">
        <v>665</v>
      </c>
      <c r="C11">
        <v>0.04</v>
      </c>
      <c r="D11" t="s">
        <v>6</v>
      </c>
      <c r="E11">
        <v>3</v>
      </c>
      <c r="G11">
        <v>2015</v>
      </c>
      <c r="H11" t="s">
        <v>1245</v>
      </c>
      <c r="I11">
        <v>19818618</v>
      </c>
      <c r="J11">
        <v>221.42</v>
      </c>
      <c r="K11">
        <v>0</v>
      </c>
      <c r="L11" t="s">
        <v>7</v>
      </c>
      <c r="M11">
        <v>1</v>
      </c>
      <c r="AE11">
        <v>2015</v>
      </c>
      <c r="AF11" t="s">
        <v>1248</v>
      </c>
      <c r="AG11" t="s">
        <v>1019</v>
      </c>
      <c r="AH11">
        <v>18.5</v>
      </c>
      <c r="AI11">
        <v>1</v>
      </c>
      <c r="AJ11" t="s">
        <v>8</v>
      </c>
      <c r="AK11">
        <v>7</v>
      </c>
      <c r="BC11">
        <v>2015</v>
      </c>
      <c r="BD11" t="s">
        <v>1251</v>
      </c>
      <c r="BE11" t="s">
        <v>1012</v>
      </c>
      <c r="BF11">
        <v>307.18</v>
      </c>
      <c r="BH11" t="s">
        <v>11</v>
      </c>
      <c r="BI11">
        <v>10</v>
      </c>
    </row>
    <row r="12" spans="1:61" x14ac:dyDescent="0.25">
      <c r="A12">
        <v>2015</v>
      </c>
      <c r="B12" t="s">
        <v>665</v>
      </c>
      <c r="C12">
        <v>901.83</v>
      </c>
      <c r="D12" t="s">
        <v>6</v>
      </c>
      <c r="E12">
        <v>3</v>
      </c>
      <c r="G12">
        <v>2016</v>
      </c>
      <c r="H12" t="s">
        <v>1245</v>
      </c>
      <c r="I12">
        <v>8157987</v>
      </c>
      <c r="L12" t="s">
        <v>7</v>
      </c>
      <c r="M12">
        <v>1</v>
      </c>
      <c r="AE12">
        <v>2015</v>
      </c>
      <c r="AF12" t="s">
        <v>1249</v>
      </c>
      <c r="AG12" t="s">
        <v>1013</v>
      </c>
      <c r="AH12">
        <v>451.37</v>
      </c>
      <c r="AI12">
        <v>17</v>
      </c>
      <c r="AJ12" t="s">
        <v>10</v>
      </c>
      <c r="AK12">
        <v>8</v>
      </c>
      <c r="BC12">
        <v>2015</v>
      </c>
      <c r="BD12" t="s">
        <v>1252</v>
      </c>
      <c r="BE12" t="s">
        <v>1012</v>
      </c>
      <c r="BF12">
        <v>278.08999999999997</v>
      </c>
      <c r="BH12" t="s">
        <v>13</v>
      </c>
      <c r="BI12">
        <v>11</v>
      </c>
    </row>
    <row r="13" spans="1:61" x14ac:dyDescent="0.25">
      <c r="A13">
        <v>2015</v>
      </c>
      <c r="B13" t="s">
        <v>992</v>
      </c>
      <c r="C13">
        <v>317.16000000000003</v>
      </c>
      <c r="D13" t="s">
        <v>9</v>
      </c>
      <c r="E13">
        <v>4</v>
      </c>
      <c r="G13">
        <v>2015</v>
      </c>
      <c r="H13" t="s">
        <v>1246</v>
      </c>
      <c r="I13">
        <v>16312359</v>
      </c>
      <c r="J13">
        <v>20751.599999999999</v>
      </c>
      <c r="K13">
        <v>0.12</v>
      </c>
      <c r="L13" t="s">
        <v>15</v>
      </c>
      <c r="M13">
        <v>2</v>
      </c>
      <c r="AE13">
        <v>2015</v>
      </c>
      <c r="AF13" t="s">
        <v>1249</v>
      </c>
      <c r="AG13" t="s">
        <v>1011</v>
      </c>
      <c r="AH13">
        <v>117.89</v>
      </c>
      <c r="AI13">
        <v>6</v>
      </c>
      <c r="AJ13" t="s">
        <v>10</v>
      </c>
      <c r="AK13">
        <v>8</v>
      </c>
      <c r="BC13">
        <v>2015</v>
      </c>
      <c r="BD13" t="s">
        <v>1245</v>
      </c>
      <c r="BE13" t="s">
        <v>1027</v>
      </c>
      <c r="BF13">
        <v>32.46</v>
      </c>
      <c r="BH13" t="s">
        <v>7</v>
      </c>
      <c r="BI13">
        <v>1</v>
      </c>
    </row>
    <row r="14" spans="1:61" x14ac:dyDescent="0.25">
      <c r="A14">
        <v>2015</v>
      </c>
      <c r="B14" t="s">
        <v>997</v>
      </c>
      <c r="C14">
        <v>320.92</v>
      </c>
      <c r="D14" t="s">
        <v>4</v>
      </c>
      <c r="E14">
        <v>5</v>
      </c>
      <c r="G14">
        <v>2016</v>
      </c>
      <c r="H14" t="s">
        <v>1246</v>
      </c>
      <c r="I14">
        <v>3005700</v>
      </c>
      <c r="L14" t="s">
        <v>15</v>
      </c>
      <c r="M14">
        <v>2</v>
      </c>
      <c r="AE14">
        <v>2015</v>
      </c>
      <c r="AF14" t="s">
        <v>1250</v>
      </c>
      <c r="AG14" t="s">
        <v>1013</v>
      </c>
      <c r="AH14">
        <v>284.02999999999997</v>
      </c>
      <c r="AI14">
        <v>6</v>
      </c>
      <c r="AJ14" t="s">
        <v>5</v>
      </c>
      <c r="AK14">
        <v>9</v>
      </c>
      <c r="BC14">
        <v>2015</v>
      </c>
      <c r="BD14" t="s">
        <v>1245</v>
      </c>
      <c r="BE14" t="s">
        <v>1016</v>
      </c>
      <c r="BF14">
        <v>0.72</v>
      </c>
      <c r="BH14" t="s">
        <v>7</v>
      </c>
      <c r="BI14">
        <v>1</v>
      </c>
    </row>
    <row r="15" spans="1:61" x14ac:dyDescent="0.25">
      <c r="G15">
        <v>2014</v>
      </c>
      <c r="H15" t="s">
        <v>665</v>
      </c>
      <c r="I15">
        <v>1560888</v>
      </c>
      <c r="J15">
        <v>0.04</v>
      </c>
      <c r="K15">
        <v>0</v>
      </c>
      <c r="L15" t="s">
        <v>6</v>
      </c>
      <c r="M15">
        <v>3</v>
      </c>
      <c r="AE15">
        <v>2015</v>
      </c>
      <c r="AF15" t="s">
        <v>1250</v>
      </c>
      <c r="AG15" t="s">
        <v>1011</v>
      </c>
      <c r="AH15">
        <v>3121.08</v>
      </c>
      <c r="AI15">
        <v>20</v>
      </c>
      <c r="AJ15" t="s">
        <v>5</v>
      </c>
      <c r="AK15">
        <v>9</v>
      </c>
      <c r="BC15">
        <v>2015</v>
      </c>
      <c r="BD15" t="s">
        <v>1245</v>
      </c>
      <c r="BE15" t="s">
        <v>1012</v>
      </c>
      <c r="BF15">
        <v>154.49</v>
      </c>
      <c r="BH15" t="s">
        <v>7</v>
      </c>
      <c r="BI15">
        <v>1</v>
      </c>
    </row>
    <row r="16" spans="1:61" x14ac:dyDescent="0.25">
      <c r="G16">
        <v>2015</v>
      </c>
      <c r="H16" t="s">
        <v>665</v>
      </c>
      <c r="I16">
        <v>18162210</v>
      </c>
      <c r="J16">
        <v>901.83</v>
      </c>
      <c r="K16">
        <v>0</v>
      </c>
      <c r="L16" t="s">
        <v>6</v>
      </c>
      <c r="M16">
        <v>3</v>
      </c>
      <c r="AE16">
        <v>2015</v>
      </c>
      <c r="AF16" t="s">
        <v>1251</v>
      </c>
      <c r="AG16" t="s">
        <v>1013</v>
      </c>
      <c r="AH16">
        <v>260.45</v>
      </c>
      <c r="AI16">
        <v>30</v>
      </c>
      <c r="AJ16" t="s">
        <v>11</v>
      </c>
      <c r="AK16">
        <v>10</v>
      </c>
      <c r="BC16">
        <v>2015</v>
      </c>
      <c r="BD16" t="s">
        <v>1245</v>
      </c>
      <c r="BE16" t="s">
        <v>1026</v>
      </c>
      <c r="BF16">
        <v>32.69</v>
      </c>
      <c r="BH16" t="s">
        <v>7</v>
      </c>
      <c r="BI16">
        <v>1</v>
      </c>
    </row>
    <row r="17" spans="7:61" x14ac:dyDescent="0.25">
      <c r="G17">
        <v>2015</v>
      </c>
      <c r="H17" t="s">
        <v>992</v>
      </c>
      <c r="I17">
        <v>36739393</v>
      </c>
      <c r="J17">
        <v>317.16000000000003</v>
      </c>
      <c r="K17">
        <v>0</v>
      </c>
      <c r="L17" t="s">
        <v>9</v>
      </c>
      <c r="M17">
        <v>4</v>
      </c>
      <c r="AE17">
        <v>2015</v>
      </c>
      <c r="AF17" t="s">
        <v>1251</v>
      </c>
      <c r="AG17" t="s">
        <v>1011</v>
      </c>
      <c r="AH17">
        <v>46.73</v>
      </c>
      <c r="AI17">
        <v>4</v>
      </c>
      <c r="AJ17" t="s">
        <v>11</v>
      </c>
      <c r="AK17">
        <v>10</v>
      </c>
      <c r="BC17">
        <v>2015</v>
      </c>
      <c r="BD17" t="s">
        <v>1245</v>
      </c>
      <c r="BE17" t="s">
        <v>1014</v>
      </c>
      <c r="BF17">
        <v>1.06</v>
      </c>
      <c r="BH17" t="s">
        <v>7</v>
      </c>
      <c r="BI17">
        <v>1</v>
      </c>
    </row>
    <row r="18" spans="7:61" x14ac:dyDescent="0.25">
      <c r="G18">
        <v>2015</v>
      </c>
      <c r="H18" t="s">
        <v>997</v>
      </c>
      <c r="I18">
        <v>26690365</v>
      </c>
      <c r="J18">
        <v>320.92</v>
      </c>
      <c r="K18">
        <v>0</v>
      </c>
      <c r="L18" t="s">
        <v>4</v>
      </c>
      <c r="M18">
        <v>5</v>
      </c>
      <c r="AE18">
        <v>2015</v>
      </c>
      <c r="AF18" t="s">
        <v>1252</v>
      </c>
      <c r="AG18" t="s">
        <v>1011</v>
      </c>
      <c r="AH18">
        <v>278.08999999999997</v>
      </c>
      <c r="AI18">
        <v>1</v>
      </c>
      <c r="AJ18" t="s">
        <v>13</v>
      </c>
      <c r="AK18">
        <v>11</v>
      </c>
      <c r="BC18">
        <v>2015</v>
      </c>
      <c r="BD18" t="s">
        <v>1246</v>
      </c>
      <c r="BE18" t="s">
        <v>1012</v>
      </c>
      <c r="BF18">
        <v>20726.61</v>
      </c>
      <c r="BH18" t="s">
        <v>15</v>
      </c>
      <c r="BI18">
        <v>2</v>
      </c>
    </row>
    <row r="19" spans="7:61" x14ac:dyDescent="0.25">
      <c r="AE19">
        <v>2015</v>
      </c>
      <c r="AF19" t="s">
        <v>1245</v>
      </c>
      <c r="AG19" t="s">
        <v>1013</v>
      </c>
      <c r="AH19">
        <v>210.42</v>
      </c>
      <c r="AI19">
        <v>16</v>
      </c>
      <c r="AJ19" t="s">
        <v>7</v>
      </c>
      <c r="AK19">
        <v>1</v>
      </c>
      <c r="BC19">
        <v>2015</v>
      </c>
      <c r="BD19" t="s">
        <v>1246</v>
      </c>
      <c r="BE19" t="s">
        <v>1014</v>
      </c>
      <c r="BF19">
        <v>24.99</v>
      </c>
      <c r="BH19" t="s">
        <v>15</v>
      </c>
      <c r="BI19">
        <v>2</v>
      </c>
    </row>
    <row r="20" spans="7:61" x14ac:dyDescent="0.25">
      <c r="AE20">
        <v>2015</v>
      </c>
      <c r="AF20" t="s">
        <v>1245</v>
      </c>
      <c r="AG20" t="s">
        <v>1011</v>
      </c>
      <c r="AH20">
        <v>11</v>
      </c>
      <c r="AI20">
        <v>27</v>
      </c>
      <c r="AJ20" t="s">
        <v>7</v>
      </c>
      <c r="AK20">
        <v>1</v>
      </c>
      <c r="BC20">
        <v>2015</v>
      </c>
      <c r="BD20" t="s">
        <v>665</v>
      </c>
      <c r="BE20" t="s">
        <v>1012</v>
      </c>
      <c r="BF20">
        <v>751.34</v>
      </c>
      <c r="BH20" t="s">
        <v>6</v>
      </c>
      <c r="BI20">
        <v>3</v>
      </c>
    </row>
    <row r="21" spans="7:61" x14ac:dyDescent="0.25">
      <c r="AE21">
        <v>2015</v>
      </c>
      <c r="AF21" t="s">
        <v>1246</v>
      </c>
      <c r="AG21" t="s">
        <v>1013</v>
      </c>
      <c r="AH21">
        <v>388.71</v>
      </c>
      <c r="AI21">
        <v>42</v>
      </c>
      <c r="AJ21" t="s">
        <v>15</v>
      </c>
      <c r="AK21">
        <v>2</v>
      </c>
      <c r="BC21">
        <v>2015</v>
      </c>
      <c r="BD21" t="s">
        <v>665</v>
      </c>
      <c r="BE21" t="s">
        <v>1024</v>
      </c>
      <c r="BF21">
        <v>32.19</v>
      </c>
      <c r="BH21" t="s">
        <v>6</v>
      </c>
      <c r="BI21">
        <v>3</v>
      </c>
    </row>
    <row r="22" spans="7:61" x14ac:dyDescent="0.25">
      <c r="AE22">
        <v>2015</v>
      </c>
      <c r="AF22" t="s">
        <v>1246</v>
      </c>
      <c r="AG22" t="s">
        <v>1011</v>
      </c>
      <c r="AH22">
        <v>20362.89</v>
      </c>
      <c r="AI22">
        <v>294</v>
      </c>
      <c r="AJ22" t="s">
        <v>15</v>
      </c>
      <c r="AK22">
        <v>2</v>
      </c>
      <c r="BC22">
        <v>2015</v>
      </c>
      <c r="BD22" t="s">
        <v>665</v>
      </c>
      <c r="BE22" t="s">
        <v>1026</v>
      </c>
      <c r="BF22">
        <v>54.62</v>
      </c>
      <c r="BH22" t="s">
        <v>6</v>
      </c>
      <c r="BI22">
        <v>3</v>
      </c>
    </row>
    <row r="23" spans="7:61" x14ac:dyDescent="0.25">
      <c r="AE23">
        <v>2015</v>
      </c>
      <c r="AF23" t="s">
        <v>665</v>
      </c>
      <c r="AG23" t="s">
        <v>1020</v>
      </c>
      <c r="AH23">
        <v>265.18</v>
      </c>
      <c r="AI23">
        <v>5</v>
      </c>
      <c r="AJ23" t="s">
        <v>6</v>
      </c>
      <c r="AK23">
        <v>3</v>
      </c>
      <c r="BC23">
        <v>2015</v>
      </c>
      <c r="BD23" t="s">
        <v>665</v>
      </c>
      <c r="BE23" t="s">
        <v>1014</v>
      </c>
      <c r="BF23">
        <v>63.68</v>
      </c>
      <c r="BH23" t="s">
        <v>6</v>
      </c>
      <c r="BI23">
        <v>3</v>
      </c>
    </row>
    <row r="24" spans="7:61" x14ac:dyDescent="0.25">
      <c r="AE24">
        <v>2015</v>
      </c>
      <c r="AF24" t="s">
        <v>665</v>
      </c>
      <c r="AG24" t="s">
        <v>1013</v>
      </c>
      <c r="AH24">
        <v>432.51</v>
      </c>
      <c r="AI24">
        <v>63</v>
      </c>
      <c r="AJ24" t="s">
        <v>6</v>
      </c>
      <c r="AK24">
        <v>3</v>
      </c>
      <c r="BC24">
        <v>2015</v>
      </c>
      <c r="BD24" t="s">
        <v>992</v>
      </c>
      <c r="BE24" t="s">
        <v>1012</v>
      </c>
      <c r="BF24">
        <v>311.95999999999998</v>
      </c>
      <c r="BH24" t="s">
        <v>9</v>
      </c>
      <c r="BI24">
        <v>4</v>
      </c>
    </row>
    <row r="25" spans="7:61" x14ac:dyDescent="0.25">
      <c r="AE25">
        <v>2015</v>
      </c>
      <c r="AF25" t="s">
        <v>665</v>
      </c>
      <c r="AG25" t="s">
        <v>1011</v>
      </c>
      <c r="AH25">
        <v>204.14</v>
      </c>
      <c r="AI25">
        <v>17</v>
      </c>
      <c r="AJ25" t="s">
        <v>6</v>
      </c>
      <c r="AK25">
        <v>3</v>
      </c>
      <c r="BC25">
        <v>2015</v>
      </c>
      <c r="BD25" t="s">
        <v>992</v>
      </c>
      <c r="BE25" t="s">
        <v>1014</v>
      </c>
      <c r="BF25">
        <v>5.2</v>
      </c>
      <c r="BH25" t="s">
        <v>9</v>
      </c>
      <c r="BI25">
        <v>4</v>
      </c>
    </row>
    <row r="26" spans="7:61" x14ac:dyDescent="0.25">
      <c r="AE26">
        <v>2015</v>
      </c>
      <c r="AF26" t="s">
        <v>992</v>
      </c>
      <c r="AG26" t="s">
        <v>1023</v>
      </c>
      <c r="AH26">
        <v>5.2</v>
      </c>
      <c r="AI26">
        <v>1</v>
      </c>
      <c r="AJ26" t="s">
        <v>9</v>
      </c>
      <c r="AK26">
        <v>4</v>
      </c>
      <c r="BC26">
        <v>2015</v>
      </c>
      <c r="BD26" t="s">
        <v>997</v>
      </c>
      <c r="BE26" t="s">
        <v>1012</v>
      </c>
      <c r="BF26">
        <v>320.92</v>
      </c>
      <c r="BH26" t="s">
        <v>4</v>
      </c>
      <c r="BI26">
        <v>5</v>
      </c>
    </row>
    <row r="27" spans="7:61" x14ac:dyDescent="0.25">
      <c r="AE27">
        <v>2015</v>
      </c>
      <c r="AF27" t="s">
        <v>992</v>
      </c>
      <c r="AG27" t="s">
        <v>1015</v>
      </c>
      <c r="AH27">
        <v>182.84</v>
      </c>
      <c r="AI27">
        <v>9</v>
      </c>
      <c r="AJ27" t="s">
        <v>9</v>
      </c>
      <c r="AK27">
        <v>4</v>
      </c>
    </row>
    <row r="28" spans="7:61" x14ac:dyDescent="0.25">
      <c r="AE28">
        <v>2015</v>
      </c>
      <c r="AF28" t="s">
        <v>992</v>
      </c>
      <c r="AG28" t="s">
        <v>1011</v>
      </c>
      <c r="AH28">
        <v>129.12</v>
      </c>
      <c r="AI28">
        <v>1</v>
      </c>
      <c r="AJ28" t="s">
        <v>9</v>
      </c>
      <c r="AK28">
        <v>4</v>
      </c>
    </row>
    <row r="29" spans="7:61" x14ac:dyDescent="0.25">
      <c r="AE29">
        <v>2015</v>
      </c>
      <c r="AF29" t="s">
        <v>997</v>
      </c>
      <c r="AG29" t="s">
        <v>1013</v>
      </c>
      <c r="AH29">
        <v>1.51</v>
      </c>
      <c r="AI29">
        <v>1</v>
      </c>
      <c r="AJ29" t="s">
        <v>4</v>
      </c>
      <c r="AK29">
        <v>5</v>
      </c>
    </row>
    <row r="30" spans="7:61" x14ac:dyDescent="0.25">
      <c r="AE30">
        <v>2015</v>
      </c>
      <c r="AF30" t="s">
        <v>997</v>
      </c>
      <c r="AG30" t="s">
        <v>1015</v>
      </c>
      <c r="AH30">
        <v>63.05</v>
      </c>
      <c r="AI30">
        <v>2</v>
      </c>
      <c r="AJ30" t="s">
        <v>4</v>
      </c>
      <c r="AK30">
        <v>5</v>
      </c>
    </row>
    <row r="31" spans="7:61" x14ac:dyDescent="0.25">
      <c r="AE31">
        <v>2015</v>
      </c>
      <c r="AF31" t="s">
        <v>997</v>
      </c>
      <c r="AG31" t="s">
        <v>1011</v>
      </c>
      <c r="AH31">
        <v>256.36</v>
      </c>
      <c r="AI31">
        <v>3</v>
      </c>
      <c r="AJ31" t="s">
        <v>4</v>
      </c>
      <c r="AK31">
        <v>5</v>
      </c>
    </row>
  </sheetData>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C000"/>
  </sheetPr>
  <dimension ref="A1:P29"/>
  <sheetViews>
    <sheetView workbookViewId="0">
      <selection activeCell="H19" sqref="H19"/>
    </sheetView>
  </sheetViews>
  <sheetFormatPr defaultRowHeight="15" x14ac:dyDescent="0.25"/>
  <cols>
    <col min="1" max="1" width="13.140625" bestFit="1" customWidth="1"/>
    <col min="2" max="2" width="11.140625" customWidth="1"/>
    <col min="3" max="3" width="8.140625" customWidth="1"/>
    <col min="4" max="4" width="17.28515625" customWidth="1"/>
    <col min="8" max="8" width="13.140625" customWidth="1"/>
    <col min="9" max="9" width="7.5703125" customWidth="1"/>
    <col min="10" max="10" width="6.140625" customWidth="1"/>
    <col min="14" max="14" width="13.140625" bestFit="1" customWidth="1"/>
    <col min="15" max="15" width="14.140625" customWidth="1"/>
  </cols>
  <sheetData>
    <row r="1" spans="1:16" x14ac:dyDescent="0.25">
      <c r="H1" s="558" t="s">
        <v>1152</v>
      </c>
      <c r="I1" s="559"/>
      <c r="J1" s="560"/>
    </row>
    <row r="2" spans="1:16" x14ac:dyDescent="0.25">
      <c r="A2" s="734" t="s">
        <v>1140</v>
      </c>
      <c r="B2" s="732"/>
      <c r="C2" s="732"/>
      <c r="D2" s="733"/>
      <c r="H2" s="734" t="s">
        <v>1154</v>
      </c>
      <c r="I2" s="732"/>
      <c r="J2" s="733"/>
      <c r="N2" s="561" t="s">
        <v>1152</v>
      </c>
      <c r="O2" s="562"/>
      <c r="P2" s="563"/>
    </row>
    <row r="3" spans="1:16" x14ac:dyDescent="0.25">
      <c r="A3" s="1" t="s">
        <v>16</v>
      </c>
      <c r="B3" t="s">
        <v>658</v>
      </c>
      <c r="C3" t="s">
        <v>660</v>
      </c>
      <c r="D3" t="s">
        <v>1153</v>
      </c>
      <c r="H3" s="1" t="s">
        <v>2</v>
      </c>
      <c r="I3" t="s">
        <v>19</v>
      </c>
      <c r="N3" s="1" t="s">
        <v>2</v>
      </c>
      <c r="O3" t="s">
        <v>19</v>
      </c>
    </row>
    <row r="4" spans="1:16" x14ac:dyDescent="0.25">
      <c r="A4" s="2">
        <v>2015</v>
      </c>
      <c r="B4" s="4">
        <v>281496679</v>
      </c>
      <c r="C4" s="4">
        <v>29201.499999999993</v>
      </c>
      <c r="D4" s="86">
        <v>0.14000000000000001</v>
      </c>
      <c r="H4" s="1" t="s">
        <v>1146</v>
      </c>
      <c r="I4" t="s">
        <v>19</v>
      </c>
      <c r="N4" s="1" t="s">
        <v>1143</v>
      </c>
      <c r="O4" t="s">
        <v>19</v>
      </c>
    </row>
    <row r="5" spans="1:16" x14ac:dyDescent="0.25">
      <c r="A5" s="3">
        <v>1</v>
      </c>
      <c r="B5" s="4">
        <v>19818618</v>
      </c>
      <c r="C5" s="4">
        <v>221.42</v>
      </c>
      <c r="D5" s="86">
        <v>0</v>
      </c>
      <c r="H5" s="1" t="s">
        <v>1</v>
      </c>
      <c r="I5" t="s">
        <v>19</v>
      </c>
      <c r="N5" s="1" t="s">
        <v>1</v>
      </c>
      <c r="O5" t="s">
        <v>19</v>
      </c>
    </row>
    <row r="6" spans="1:16" x14ac:dyDescent="0.25">
      <c r="A6" s="541" t="s">
        <v>7</v>
      </c>
      <c r="B6" s="4">
        <v>19818618</v>
      </c>
      <c r="C6" s="4">
        <v>221.42</v>
      </c>
      <c r="D6" s="86">
        <v>0</v>
      </c>
    </row>
    <row r="7" spans="1:16" x14ac:dyDescent="0.25">
      <c r="A7" s="3">
        <v>2</v>
      </c>
      <c r="B7" s="4">
        <v>16312359</v>
      </c>
      <c r="C7" s="4">
        <v>20751.599999999999</v>
      </c>
      <c r="D7" s="86">
        <v>0.12</v>
      </c>
      <c r="H7" s="1" t="s">
        <v>16</v>
      </c>
      <c r="I7" t="s">
        <v>1144</v>
      </c>
      <c r="J7" t="s">
        <v>1145</v>
      </c>
      <c r="N7" s="1" t="s">
        <v>16</v>
      </c>
      <c r="O7" t="s">
        <v>509</v>
      </c>
    </row>
    <row r="8" spans="1:16" x14ac:dyDescent="0.25">
      <c r="A8" s="541" t="s">
        <v>15</v>
      </c>
      <c r="B8" s="4">
        <v>16312359</v>
      </c>
      <c r="C8" s="4">
        <v>20751.599999999999</v>
      </c>
      <c r="D8" s="86">
        <v>0.12</v>
      </c>
      <c r="H8" s="2" t="s">
        <v>1023</v>
      </c>
      <c r="I8" s="244">
        <v>5.2</v>
      </c>
      <c r="J8" s="4">
        <v>1</v>
      </c>
      <c r="N8" s="2"/>
      <c r="O8" s="244">
        <v>0.04</v>
      </c>
    </row>
    <row r="9" spans="1:16" x14ac:dyDescent="0.25">
      <c r="A9" s="3">
        <v>3</v>
      </c>
      <c r="B9" s="4">
        <v>18162210</v>
      </c>
      <c r="C9" s="4">
        <v>901.83</v>
      </c>
      <c r="D9" s="86">
        <v>0</v>
      </c>
      <c r="H9" s="2" t="s">
        <v>1020</v>
      </c>
      <c r="I9" s="244">
        <v>461.84000000000003</v>
      </c>
      <c r="J9" s="4">
        <v>57</v>
      </c>
      <c r="N9" s="2" t="s">
        <v>1027</v>
      </c>
      <c r="O9" s="244">
        <v>32.46</v>
      </c>
    </row>
    <row r="10" spans="1:16" x14ac:dyDescent="0.25">
      <c r="A10" s="541" t="s">
        <v>6</v>
      </c>
      <c r="B10" s="4">
        <v>18162210</v>
      </c>
      <c r="C10" s="4">
        <v>901.83</v>
      </c>
      <c r="D10" s="86">
        <v>0</v>
      </c>
      <c r="H10" s="2" t="s">
        <v>1013</v>
      </c>
      <c r="I10" s="244">
        <v>2472.84</v>
      </c>
      <c r="J10" s="4">
        <v>197</v>
      </c>
      <c r="N10" s="2" t="s">
        <v>1016</v>
      </c>
      <c r="O10" s="244">
        <v>76.959999999999994</v>
      </c>
    </row>
    <row r="11" spans="1:16" x14ac:dyDescent="0.25">
      <c r="A11" s="3">
        <v>4</v>
      </c>
      <c r="B11" s="4">
        <v>36739393</v>
      </c>
      <c r="C11" s="4">
        <v>317.16000000000003</v>
      </c>
      <c r="D11" s="86">
        <v>0</v>
      </c>
      <c r="H11" s="2" t="s">
        <v>1028</v>
      </c>
      <c r="I11" s="244">
        <v>0.04</v>
      </c>
      <c r="J11" s="4">
        <v>1</v>
      </c>
      <c r="N11" s="2" t="s">
        <v>1012</v>
      </c>
      <c r="O11" s="244">
        <v>28498.63</v>
      </c>
    </row>
    <row r="12" spans="1:16" x14ac:dyDescent="0.25">
      <c r="A12" s="541" t="s">
        <v>9</v>
      </c>
      <c r="B12" s="4">
        <v>36739393</v>
      </c>
      <c r="C12" s="4">
        <v>317.16000000000003</v>
      </c>
      <c r="D12" s="86">
        <v>0</v>
      </c>
      <c r="H12" s="2" t="s">
        <v>1015</v>
      </c>
      <c r="I12" s="244">
        <v>529.9799999999999</v>
      </c>
      <c r="J12" s="4">
        <v>34</v>
      </c>
      <c r="N12" s="2" t="s">
        <v>1024</v>
      </c>
      <c r="O12" s="244">
        <v>32.19</v>
      </c>
    </row>
    <row r="13" spans="1:16" x14ac:dyDescent="0.25">
      <c r="A13" s="3">
        <v>5</v>
      </c>
      <c r="B13" s="4">
        <v>26690365</v>
      </c>
      <c r="C13" s="4">
        <v>320.92</v>
      </c>
      <c r="D13" s="86">
        <v>0</v>
      </c>
      <c r="H13" s="2" t="s">
        <v>1011</v>
      </c>
      <c r="I13" s="244">
        <v>25713.139999999996</v>
      </c>
      <c r="J13" s="4">
        <v>412</v>
      </c>
      <c r="N13" s="2" t="s">
        <v>1026</v>
      </c>
      <c r="O13" s="244">
        <v>87.31</v>
      </c>
    </row>
    <row r="14" spans="1:16" x14ac:dyDescent="0.25">
      <c r="A14" s="541" t="s">
        <v>4</v>
      </c>
      <c r="B14" s="4">
        <v>26690365</v>
      </c>
      <c r="C14" s="4">
        <v>320.92</v>
      </c>
      <c r="D14" s="86">
        <v>0</v>
      </c>
      <c r="H14" s="2" t="s">
        <v>1019</v>
      </c>
      <c r="I14" s="244">
        <v>18.5</v>
      </c>
      <c r="J14" s="4">
        <v>1</v>
      </c>
      <c r="N14" s="2" t="s">
        <v>1014</v>
      </c>
      <c r="O14" s="244">
        <v>473.95</v>
      </c>
    </row>
    <row r="15" spans="1:16" x14ac:dyDescent="0.25">
      <c r="A15" s="3">
        <v>6</v>
      </c>
      <c r="B15" s="4">
        <v>17814080</v>
      </c>
      <c r="C15" s="4">
        <v>358.92</v>
      </c>
      <c r="D15" s="86">
        <v>0</v>
      </c>
      <c r="H15" s="2" t="s">
        <v>17</v>
      </c>
      <c r="I15" s="244">
        <v>29201.539999999997</v>
      </c>
      <c r="J15" s="4">
        <v>703</v>
      </c>
      <c r="N15" s="2" t="s">
        <v>17</v>
      </c>
      <c r="O15" s="244">
        <v>29201.54</v>
      </c>
    </row>
    <row r="16" spans="1:16" x14ac:dyDescent="0.25">
      <c r="A16" s="541" t="s">
        <v>12</v>
      </c>
      <c r="B16" s="4">
        <v>17814080</v>
      </c>
      <c r="C16" s="4">
        <v>358.92</v>
      </c>
      <c r="D16" s="86">
        <v>0</v>
      </c>
    </row>
    <row r="17" spans="1:4" x14ac:dyDescent="0.25">
      <c r="A17" s="3">
        <v>7</v>
      </c>
      <c r="B17" s="4">
        <v>15491948</v>
      </c>
      <c r="C17" s="4">
        <v>1770.01</v>
      </c>
      <c r="D17" s="86">
        <v>0.01</v>
      </c>
    </row>
    <row r="18" spans="1:4" x14ac:dyDescent="0.25">
      <c r="A18" s="541" t="s">
        <v>8</v>
      </c>
      <c r="B18" s="4">
        <v>15491948</v>
      </c>
      <c r="C18" s="4">
        <v>1770.01</v>
      </c>
      <c r="D18" s="86">
        <v>0.01</v>
      </c>
    </row>
    <row r="19" spans="1:4" x14ac:dyDescent="0.25">
      <c r="A19" s="3">
        <v>8</v>
      </c>
      <c r="B19" s="4">
        <v>30904773</v>
      </c>
      <c r="C19" s="4">
        <v>569.26</v>
      </c>
      <c r="D19" s="86">
        <v>0</v>
      </c>
    </row>
    <row r="20" spans="1:4" x14ac:dyDescent="0.25">
      <c r="A20" s="541" t="s">
        <v>10</v>
      </c>
      <c r="B20" s="4">
        <v>30904773</v>
      </c>
      <c r="C20" s="4">
        <v>569.26</v>
      </c>
      <c r="D20" s="86">
        <v>0</v>
      </c>
    </row>
    <row r="21" spans="1:4" x14ac:dyDescent="0.25">
      <c r="A21" s="3">
        <v>9</v>
      </c>
      <c r="B21" s="4">
        <v>26460562</v>
      </c>
      <c r="C21" s="4">
        <v>3405.11</v>
      </c>
      <c r="D21" s="86">
        <v>0.01</v>
      </c>
    </row>
    <row r="22" spans="1:4" x14ac:dyDescent="0.25">
      <c r="A22" s="541" t="s">
        <v>5</v>
      </c>
      <c r="B22" s="4">
        <v>26460562</v>
      </c>
      <c r="C22" s="4">
        <v>3405.11</v>
      </c>
      <c r="D22" s="86">
        <v>0.01</v>
      </c>
    </row>
    <row r="23" spans="1:4" x14ac:dyDescent="0.25">
      <c r="A23" s="3">
        <v>10</v>
      </c>
      <c r="B23" s="4">
        <v>19456929</v>
      </c>
      <c r="C23" s="4">
        <v>307.18</v>
      </c>
      <c r="D23" s="86">
        <v>0</v>
      </c>
    </row>
    <row r="24" spans="1:4" x14ac:dyDescent="0.25">
      <c r="A24" s="541" t="s">
        <v>11</v>
      </c>
      <c r="B24" s="4">
        <v>19456929</v>
      </c>
      <c r="C24" s="4">
        <v>307.18</v>
      </c>
      <c r="D24" s="86">
        <v>0</v>
      </c>
    </row>
    <row r="25" spans="1:4" x14ac:dyDescent="0.25">
      <c r="A25" s="3">
        <v>11</v>
      </c>
      <c r="B25" s="4">
        <v>20813105</v>
      </c>
      <c r="C25" s="4">
        <v>278.08999999999997</v>
      </c>
      <c r="D25" s="86">
        <v>0</v>
      </c>
    </row>
    <row r="26" spans="1:4" x14ac:dyDescent="0.25">
      <c r="A26" s="541" t="s">
        <v>13</v>
      </c>
      <c r="B26" s="4">
        <v>20813105</v>
      </c>
      <c r="C26" s="4">
        <v>278.08999999999997</v>
      </c>
      <c r="D26" s="86">
        <v>0</v>
      </c>
    </row>
    <row r="27" spans="1:4" x14ac:dyDescent="0.25">
      <c r="A27" s="3">
        <v>12</v>
      </c>
      <c r="B27" s="4">
        <v>32832337</v>
      </c>
      <c r="C27" s="4"/>
      <c r="D27" s="86"/>
    </row>
    <row r="28" spans="1:4" x14ac:dyDescent="0.25">
      <c r="A28" s="541" t="s">
        <v>14</v>
      </c>
      <c r="B28" s="4">
        <v>32832337</v>
      </c>
      <c r="C28" s="4"/>
      <c r="D28" s="86"/>
    </row>
    <row r="29" spans="1:4" x14ac:dyDescent="0.25">
      <c r="A29" s="2" t="s">
        <v>17</v>
      </c>
      <c r="B29" s="4">
        <v>281496679</v>
      </c>
      <c r="C29" s="4">
        <v>29201.499999999993</v>
      </c>
      <c r="D29" s="86">
        <v>0.14000000000000001</v>
      </c>
    </row>
  </sheetData>
  <mergeCells count="2">
    <mergeCell ref="A2:D2"/>
    <mergeCell ref="H2:J2"/>
  </mergeCells>
  <pageMargins left="0.7" right="0.7" top="0.75" bottom="0.75" header="0.3" footer="0.3"/>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FFC000"/>
  </sheetPr>
  <dimension ref="A1:R4"/>
  <sheetViews>
    <sheetView workbookViewId="0">
      <selection activeCell="G8" sqref="G8"/>
    </sheetView>
  </sheetViews>
  <sheetFormatPr defaultRowHeight="15" x14ac:dyDescent="0.25"/>
  <cols>
    <col min="1" max="1" width="11.42578125" bestFit="1" customWidth="1"/>
    <col min="2" max="2" width="13.85546875" bestFit="1" customWidth="1"/>
    <col min="3" max="3" width="15" bestFit="1" customWidth="1"/>
    <col min="4" max="4" width="16.28515625" bestFit="1" customWidth="1"/>
    <col min="5" max="5" width="9.85546875" bestFit="1" customWidth="1"/>
    <col min="9" max="9" width="13.140625" bestFit="1" customWidth="1"/>
    <col min="10" max="10" width="6.85546875" customWidth="1"/>
    <col min="13" max="13" width="13.140625" bestFit="1" customWidth="1"/>
    <col min="14" max="14" width="6.85546875" customWidth="1"/>
    <col min="17" max="17" width="13.140625" bestFit="1" customWidth="1"/>
    <col min="18" max="18" width="6.85546875" customWidth="1"/>
  </cols>
  <sheetData>
    <row r="1" spans="1:18" x14ac:dyDescent="0.25">
      <c r="A1">
        <v>46</v>
      </c>
      <c r="B1" s="561" t="s">
        <v>1139</v>
      </c>
      <c r="C1" s="562"/>
      <c r="D1" s="562"/>
      <c r="E1" s="563"/>
    </row>
    <row r="2" spans="1:18" x14ac:dyDescent="0.25">
      <c r="A2" t="s">
        <v>1004</v>
      </c>
      <c r="B2" t="s">
        <v>1005</v>
      </c>
      <c r="C2" t="s">
        <v>1098</v>
      </c>
      <c r="D2" t="s">
        <v>1053</v>
      </c>
      <c r="E2" t="s">
        <v>1054</v>
      </c>
      <c r="M2" s="84" t="str">
        <f>M4</f>
        <v>Grand Total</v>
      </c>
      <c r="N2" s="84" t="e">
        <f>GETPIVOTDATA("RMA_COUNT",$M$3,"Year ",2015)</f>
        <v>#REF!</v>
      </c>
      <c r="O2" s="84"/>
      <c r="P2" s="84"/>
      <c r="Q2" s="84" t="str">
        <f>Q4</f>
        <v>Grand Total</v>
      </c>
      <c r="R2" s="84" t="e">
        <f>GETPIVOTDATA("RMA_COUNT",$Q$3,"Year ",2016)</f>
        <v>#REF!</v>
      </c>
    </row>
    <row r="3" spans="1:18" x14ac:dyDescent="0.25">
      <c r="I3" s="1" t="s">
        <v>16</v>
      </c>
      <c r="J3" t="s">
        <v>1296</v>
      </c>
      <c r="M3" s="1" t="s">
        <v>16</v>
      </c>
      <c r="N3" t="s">
        <v>1296</v>
      </c>
      <c r="Q3" s="1" t="s">
        <v>16</v>
      </c>
      <c r="R3" t="s">
        <v>1296</v>
      </c>
    </row>
    <row r="4" spans="1:18" x14ac:dyDescent="0.25">
      <c r="I4" s="2" t="s">
        <v>17</v>
      </c>
      <c r="J4" s="4"/>
      <c r="M4" s="2" t="s">
        <v>17</v>
      </c>
      <c r="N4" s="4"/>
      <c r="Q4" s="2" t="s">
        <v>17</v>
      </c>
      <c r="R4" s="4"/>
    </row>
  </sheetData>
  <pageMargins left="0.7" right="0.7" top="0.75" bottom="0.75" header="0.3" footer="0.3"/>
  <drawing r:id="rId4"/>
  <tableParts count="1">
    <tablePart r:id="rId5"/>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C000"/>
  </sheetPr>
  <dimension ref="A1:Y21"/>
  <sheetViews>
    <sheetView zoomScale="104" zoomScaleNormal="104" workbookViewId="0"/>
  </sheetViews>
  <sheetFormatPr defaultRowHeight="15" x14ac:dyDescent="0.25"/>
  <cols>
    <col min="1" max="1" width="5.140625" bestFit="1" customWidth="1"/>
    <col min="2" max="2" width="10.28515625" bestFit="1" customWidth="1"/>
    <col min="3" max="3" width="7.85546875" bestFit="1" customWidth="1"/>
    <col min="4" max="5" width="18.7109375" bestFit="1" customWidth="1"/>
    <col min="6" max="6" width="9.7109375" bestFit="1" customWidth="1"/>
    <col min="7" max="7" width="12.5703125" customWidth="1"/>
    <col min="10" max="10" width="23.28515625" customWidth="1"/>
    <col min="11" max="11" width="16.28515625" customWidth="1"/>
    <col min="12" max="12" width="5.5703125" customWidth="1"/>
    <col min="13" max="14" width="11.28515625" bestFit="1" customWidth="1"/>
    <col min="15" max="15" width="23.28515625" customWidth="1"/>
    <col min="16" max="16" width="16.28515625" customWidth="1"/>
    <col min="17" max="17" width="6.140625" customWidth="1"/>
    <col min="19" max="19" width="23.28515625" customWidth="1"/>
    <col min="20" max="20" width="16.28515625" customWidth="1"/>
    <col min="21" max="21" width="6.140625" customWidth="1"/>
    <col min="22" max="22" width="7.28515625" customWidth="1"/>
    <col min="23" max="23" width="11.28515625" bestFit="1" customWidth="1"/>
    <col min="24" max="24" width="23.28515625" customWidth="1"/>
    <col min="25" max="25" width="16.28515625" customWidth="1"/>
    <col min="26" max="26" width="6.140625" customWidth="1"/>
  </cols>
  <sheetData>
    <row r="1" spans="1:25" x14ac:dyDescent="0.25">
      <c r="A1" t="s">
        <v>218</v>
      </c>
      <c r="B1" t="s">
        <v>224</v>
      </c>
      <c r="C1" t="s">
        <v>225</v>
      </c>
      <c r="D1" t="s">
        <v>451</v>
      </c>
      <c r="E1" t="s">
        <v>483</v>
      </c>
      <c r="F1" t="s">
        <v>239</v>
      </c>
      <c r="G1" t="s">
        <v>652</v>
      </c>
      <c r="I1">
        <v>47</v>
      </c>
      <c r="J1" s="1" t="s">
        <v>477</v>
      </c>
      <c r="K1" s="1" t="s">
        <v>18</v>
      </c>
      <c r="N1">
        <v>48</v>
      </c>
      <c r="O1" s="1" t="s">
        <v>477</v>
      </c>
      <c r="P1" s="1" t="s">
        <v>18</v>
      </c>
      <c r="R1">
        <v>49</v>
      </c>
      <c r="S1" s="84">
        <f>S4</f>
        <v>2015</v>
      </c>
      <c r="T1" s="504">
        <f>SUMIF(S4:S7,S4,T4:T7)</f>
        <v>0.99818509769139108</v>
      </c>
      <c r="W1">
        <v>50</v>
      </c>
      <c r="X1" s="84">
        <f>X4</f>
        <v>2016</v>
      </c>
      <c r="Y1" s="504">
        <f>SUMIF(X4:X7,X4,Y4:Y7)</f>
        <v>1</v>
      </c>
    </row>
    <row r="2" spans="1:25" x14ac:dyDescent="0.25">
      <c r="A2">
        <v>1</v>
      </c>
      <c r="B2" t="s">
        <v>667</v>
      </c>
      <c r="C2" t="s">
        <v>1029</v>
      </c>
      <c r="D2">
        <v>26.008299999999998</v>
      </c>
      <c r="E2" t="s">
        <v>671</v>
      </c>
      <c r="F2" t="str">
        <f>TEXT(Table_Query_from_Global_PLA21[[#This Row],[MONTH]]*29,"mmm")</f>
        <v>Aug</v>
      </c>
      <c r="G2">
        <f>C2+(MONTH(1&amp;LEFT(F2,3))&gt;='CY - Executive Summary'!$AM$2)</f>
        <v>2015</v>
      </c>
      <c r="J2" s="1" t="s">
        <v>16</v>
      </c>
      <c r="K2" t="s">
        <v>494</v>
      </c>
      <c r="L2" t="s">
        <v>671</v>
      </c>
      <c r="M2" t="s">
        <v>17</v>
      </c>
      <c r="O2" s="1" t="s">
        <v>16</v>
      </c>
      <c r="P2" t="s">
        <v>494</v>
      </c>
      <c r="S2" s="1" t="s">
        <v>477</v>
      </c>
      <c r="T2" s="1" t="s">
        <v>18</v>
      </c>
      <c r="X2" s="1" t="s">
        <v>477</v>
      </c>
      <c r="Y2" s="1" t="s">
        <v>18</v>
      </c>
    </row>
    <row r="3" spans="1:25" x14ac:dyDescent="0.25">
      <c r="A3">
        <v>2</v>
      </c>
      <c r="B3" t="s">
        <v>667</v>
      </c>
      <c r="C3" t="s">
        <v>1029</v>
      </c>
      <c r="D3">
        <v>2657.5299</v>
      </c>
      <c r="E3" t="s">
        <v>494</v>
      </c>
      <c r="F3" t="str">
        <f>TEXT(Table_Query_from_Global_PLA21[[#This Row],[MONTH]]*29,"mmm")</f>
        <v>Aug</v>
      </c>
      <c r="G3">
        <f>C3+(MONTH(1&amp;LEFT(F3,3))&gt;='CY - Executive Summary'!$AM$2)</f>
        <v>2015</v>
      </c>
      <c r="J3" s="2">
        <v>2015</v>
      </c>
      <c r="K3" s="67"/>
      <c r="L3" s="67"/>
      <c r="M3" s="67"/>
      <c r="O3" s="2">
        <v>2016</v>
      </c>
      <c r="P3" s="5"/>
      <c r="S3" s="1" t="s">
        <v>16</v>
      </c>
      <c r="T3" t="s">
        <v>494</v>
      </c>
      <c r="U3" t="s">
        <v>671</v>
      </c>
      <c r="X3" s="1" t="s">
        <v>16</v>
      </c>
      <c r="Y3" t="s">
        <v>494</v>
      </c>
    </row>
    <row r="4" spans="1:25" x14ac:dyDescent="0.25">
      <c r="A4">
        <v>3</v>
      </c>
      <c r="B4" t="s">
        <v>666</v>
      </c>
      <c r="C4" t="s">
        <v>1029</v>
      </c>
      <c r="D4">
        <v>3193.3189000000002</v>
      </c>
      <c r="E4" t="s">
        <v>494</v>
      </c>
      <c r="F4" t="str">
        <f>TEXT(Table_Query_from_Global_PLA21[[#This Row],[MONTH]]*29,"mmm")</f>
        <v>Sep</v>
      </c>
      <c r="G4">
        <f>C4+(MONTH(1&amp;LEFT(F4,3))&gt;='CY - Executive Summary'!$AM$2)</f>
        <v>2015</v>
      </c>
      <c r="J4" s="3" t="s">
        <v>1029</v>
      </c>
      <c r="K4" s="67">
        <v>14304.4049</v>
      </c>
      <c r="L4" s="67">
        <v>26.008299999999998</v>
      </c>
      <c r="M4" s="67">
        <v>14330.413200000001</v>
      </c>
      <c r="O4" s="3" t="s">
        <v>664</v>
      </c>
      <c r="P4" s="5">
        <v>1</v>
      </c>
      <c r="S4" s="2">
        <v>2015</v>
      </c>
      <c r="T4" s="5">
        <v>0.99818509769139108</v>
      </c>
      <c r="U4" s="5">
        <v>1.8149023086089381E-3</v>
      </c>
      <c r="X4" s="2">
        <v>2016</v>
      </c>
      <c r="Y4" s="5">
        <v>1</v>
      </c>
    </row>
    <row r="5" spans="1:25" x14ac:dyDescent="0.25">
      <c r="A5">
        <v>4</v>
      </c>
      <c r="B5" t="s">
        <v>665</v>
      </c>
      <c r="C5" t="s">
        <v>1029</v>
      </c>
      <c r="D5">
        <v>3050.9739</v>
      </c>
      <c r="E5" t="s">
        <v>494</v>
      </c>
      <c r="F5" t="str">
        <f>TEXT(Table_Query_from_Global_PLA21[[#This Row],[MONTH]]*29,"mmm")</f>
        <v>Oct</v>
      </c>
      <c r="G5">
        <f>C5+(MONTH(1&amp;LEFT(F5,3))&gt;='CY - Executive Summary'!$AM$2)</f>
        <v>2015</v>
      </c>
      <c r="J5" s="541" t="s">
        <v>7</v>
      </c>
      <c r="K5" s="67">
        <v>2657.5299</v>
      </c>
      <c r="L5" s="67">
        <v>26.008299999999998</v>
      </c>
      <c r="M5" s="67">
        <v>2683.5382</v>
      </c>
      <c r="O5" s="541" t="s">
        <v>12</v>
      </c>
      <c r="P5" s="5">
        <v>1</v>
      </c>
      <c r="S5" s="2" t="s">
        <v>17</v>
      </c>
      <c r="T5" s="5">
        <v>0.99818509769139108</v>
      </c>
      <c r="U5" s="5">
        <v>1.8149023086089381E-3</v>
      </c>
      <c r="X5" s="2" t="s">
        <v>17</v>
      </c>
      <c r="Y5" s="5">
        <v>1</v>
      </c>
    </row>
    <row r="6" spans="1:25" x14ac:dyDescent="0.25">
      <c r="A6">
        <v>5</v>
      </c>
      <c r="B6" t="s">
        <v>992</v>
      </c>
      <c r="C6" t="s">
        <v>1029</v>
      </c>
      <c r="D6">
        <v>2743.8771999999999</v>
      </c>
      <c r="E6" t="s">
        <v>494</v>
      </c>
      <c r="F6" t="str">
        <f>TEXT(Table_Query_from_Global_PLA21[[#This Row],[MONTH]]*29,"mmm")</f>
        <v>Nov</v>
      </c>
      <c r="G6">
        <f>C6+(MONTH(1&amp;LEFT(F6,3))&gt;='CY - Executive Summary'!$AM$2)</f>
        <v>2015</v>
      </c>
      <c r="J6" s="541" t="s">
        <v>15</v>
      </c>
      <c r="K6" s="67">
        <v>3193.3189000000002</v>
      </c>
      <c r="L6" s="67"/>
      <c r="M6" s="67">
        <v>3193.3189000000002</v>
      </c>
      <c r="O6" s="541" t="s">
        <v>8</v>
      </c>
      <c r="P6" s="5">
        <v>1</v>
      </c>
    </row>
    <row r="7" spans="1:25" x14ac:dyDescent="0.25">
      <c r="A7">
        <v>6</v>
      </c>
      <c r="B7" t="s">
        <v>997</v>
      </c>
      <c r="C7" t="s">
        <v>1029</v>
      </c>
      <c r="D7">
        <v>2658.7049999999999</v>
      </c>
      <c r="E7" t="s">
        <v>494</v>
      </c>
      <c r="F7" t="str">
        <f>TEXT(Table_Query_from_Global_PLA21[[#This Row],[MONTH]]*29,"mmm")</f>
        <v>Dec</v>
      </c>
      <c r="G7">
        <f>C7+(MONTH(1&amp;LEFT(F7,3))&gt;='CY - Executive Summary'!$AM$2)</f>
        <v>2015</v>
      </c>
      <c r="J7" s="541" t="s">
        <v>6</v>
      </c>
      <c r="K7" s="67">
        <v>3050.9739</v>
      </c>
      <c r="L7" s="67"/>
      <c r="M7" s="67">
        <v>3050.9739</v>
      </c>
      <c r="O7" s="541" t="s">
        <v>10</v>
      </c>
      <c r="P7" s="5">
        <v>1</v>
      </c>
    </row>
    <row r="8" spans="1:25" x14ac:dyDescent="0.25">
      <c r="A8">
        <v>7</v>
      </c>
      <c r="B8" t="s">
        <v>996</v>
      </c>
      <c r="C8" t="s">
        <v>664</v>
      </c>
      <c r="D8">
        <v>2786.5284999999999</v>
      </c>
      <c r="E8" t="s">
        <v>494</v>
      </c>
      <c r="F8" t="str">
        <f>TEXT(Table_Query_from_Global_PLA21[[#This Row],[MONTH]]*29,"mmm")</f>
        <v>Jan</v>
      </c>
      <c r="G8">
        <f>C8+(MONTH(1&amp;LEFT(F8,3))&gt;='CY - Executive Summary'!$AM$2)</f>
        <v>2016</v>
      </c>
      <c r="J8" s="541" t="s">
        <v>9</v>
      </c>
      <c r="K8" s="67">
        <v>2743.8771999999999</v>
      </c>
      <c r="L8" s="67"/>
      <c r="M8" s="67">
        <v>2743.8771999999999</v>
      </c>
      <c r="O8" s="541" t="s">
        <v>5</v>
      </c>
      <c r="P8" s="5">
        <v>1</v>
      </c>
    </row>
    <row r="9" spans="1:25" x14ac:dyDescent="0.25">
      <c r="A9">
        <v>8</v>
      </c>
      <c r="B9" t="s">
        <v>995</v>
      </c>
      <c r="C9" t="s">
        <v>664</v>
      </c>
      <c r="D9">
        <v>3115.6649000000002</v>
      </c>
      <c r="E9" t="s">
        <v>494</v>
      </c>
      <c r="F9" t="str">
        <f>TEXT(Table_Query_from_Global_PLA21[[#This Row],[MONTH]]*29,"mmm")</f>
        <v>Feb</v>
      </c>
      <c r="G9">
        <f>C9+(MONTH(1&amp;LEFT(F9,3))&gt;='CY - Executive Summary'!$AM$2)</f>
        <v>2016</v>
      </c>
      <c r="J9" s="541" t="s">
        <v>4</v>
      </c>
      <c r="K9" s="67">
        <v>2658.7049999999999</v>
      </c>
      <c r="L9" s="67"/>
      <c r="M9" s="67">
        <v>2658.7049999999999</v>
      </c>
      <c r="O9" s="541" t="s">
        <v>11</v>
      </c>
      <c r="P9" s="5">
        <v>1</v>
      </c>
    </row>
    <row r="10" spans="1:25" x14ac:dyDescent="0.25">
      <c r="A10">
        <v>9</v>
      </c>
      <c r="B10" t="s">
        <v>994</v>
      </c>
      <c r="C10" t="s">
        <v>664</v>
      </c>
      <c r="D10">
        <v>3241.1259</v>
      </c>
      <c r="E10" t="s">
        <v>494</v>
      </c>
      <c r="F10" t="str">
        <f>TEXT(Table_Query_from_Global_PLA21[[#This Row],[MONTH]]*29,"mmm")</f>
        <v>Mar</v>
      </c>
      <c r="G10">
        <f>C10+(MONTH(1&amp;LEFT(F10,3))&gt;='CY - Executive Summary'!$AM$2)</f>
        <v>2016</v>
      </c>
      <c r="J10" s="2">
        <v>2016</v>
      </c>
      <c r="K10" s="67"/>
      <c r="L10" s="67"/>
      <c r="M10" s="67"/>
      <c r="O10" s="541" t="s">
        <v>13</v>
      </c>
      <c r="P10" s="5">
        <v>1</v>
      </c>
    </row>
    <row r="11" spans="1:25" x14ac:dyDescent="0.25">
      <c r="A11">
        <v>10</v>
      </c>
      <c r="B11" t="s">
        <v>993</v>
      </c>
      <c r="C11" t="s">
        <v>664</v>
      </c>
      <c r="D11">
        <v>2474.5731999999998</v>
      </c>
      <c r="E11" t="s">
        <v>494</v>
      </c>
      <c r="F11" t="str">
        <f>TEXT(Table_Query_from_Global_PLA21[[#This Row],[MONTH]]*29,"mmm")</f>
        <v>Apr</v>
      </c>
      <c r="G11">
        <f>C11+(MONTH(1&amp;LEFT(F11,3))&gt;='CY - Executive Summary'!$AM$2)</f>
        <v>2016</v>
      </c>
      <c r="J11" s="3" t="s">
        <v>664</v>
      </c>
      <c r="K11" s="67">
        <v>24066.559399999995</v>
      </c>
      <c r="L11" s="67"/>
      <c r="M11" s="67">
        <v>24066.559399999995</v>
      </c>
      <c r="O11" s="541" t="s">
        <v>14</v>
      </c>
      <c r="P11" s="5">
        <v>1</v>
      </c>
    </row>
    <row r="12" spans="1:25" x14ac:dyDescent="0.25">
      <c r="A12">
        <v>11</v>
      </c>
      <c r="B12" t="s">
        <v>670</v>
      </c>
      <c r="C12" t="s">
        <v>664</v>
      </c>
      <c r="D12">
        <v>3129.7665000000002</v>
      </c>
      <c r="E12" t="s">
        <v>494</v>
      </c>
      <c r="F12" t="str">
        <f>TEXT(Table_Query_from_Global_PLA21[[#This Row],[MONTH]]*29,"mmm")</f>
        <v>May</v>
      </c>
      <c r="G12">
        <f>C12+(MONTH(1&amp;LEFT(F12,3))&gt;='CY - Executive Summary'!$AM$2)</f>
        <v>2016</v>
      </c>
      <c r="J12" s="541" t="s">
        <v>12</v>
      </c>
      <c r="K12" s="67">
        <v>2786.5284999999999</v>
      </c>
      <c r="L12" s="67"/>
      <c r="M12" s="67">
        <v>2786.5284999999999</v>
      </c>
      <c r="O12" s="541" t="s">
        <v>7</v>
      </c>
      <c r="P12" s="5">
        <v>1</v>
      </c>
    </row>
    <row r="13" spans="1:25" x14ac:dyDescent="0.25">
      <c r="A13">
        <v>12</v>
      </c>
      <c r="B13" t="s">
        <v>669</v>
      </c>
      <c r="C13" t="s">
        <v>664</v>
      </c>
      <c r="D13">
        <v>3162.5088999999998</v>
      </c>
      <c r="E13" t="s">
        <v>494</v>
      </c>
      <c r="F13" t="str">
        <f>TEXT(Table_Query_from_Global_PLA21[[#This Row],[MONTH]]*29,"mmm")</f>
        <v>Jun</v>
      </c>
      <c r="G13">
        <f>C13+(MONTH(1&amp;LEFT(F13,3))&gt;='CY - Executive Summary'!$AM$2)</f>
        <v>2016</v>
      </c>
      <c r="J13" s="541" t="s">
        <v>8</v>
      </c>
      <c r="K13" s="67">
        <v>3115.6649000000002</v>
      </c>
      <c r="L13" s="67"/>
      <c r="M13" s="67">
        <v>3115.6649000000002</v>
      </c>
      <c r="O13" s="541" t="s">
        <v>15</v>
      </c>
      <c r="P13" s="5">
        <v>1</v>
      </c>
    </row>
    <row r="14" spans="1:25" x14ac:dyDescent="0.25">
      <c r="A14">
        <v>13</v>
      </c>
      <c r="B14" t="s">
        <v>668</v>
      </c>
      <c r="C14" t="s">
        <v>664</v>
      </c>
      <c r="D14">
        <v>3243.0614999999998</v>
      </c>
      <c r="E14" t="s">
        <v>494</v>
      </c>
      <c r="F14" t="str">
        <f>TEXT(Table_Query_from_Global_PLA21[[#This Row],[MONTH]]*29,"mmm")</f>
        <v>Jul</v>
      </c>
      <c r="G14">
        <f>C14+(MONTH(1&amp;LEFT(F14,3))&gt;='CY - Executive Summary'!$AM$2)</f>
        <v>2016</v>
      </c>
      <c r="J14" s="541" t="s">
        <v>10</v>
      </c>
      <c r="K14" s="67">
        <v>3241.1259</v>
      </c>
      <c r="L14" s="67"/>
      <c r="M14" s="67">
        <v>3241.1259</v>
      </c>
      <c r="O14" s="2" t="s">
        <v>17</v>
      </c>
      <c r="P14" s="5">
        <v>1</v>
      </c>
    </row>
    <row r="15" spans="1:25" x14ac:dyDescent="0.25">
      <c r="A15">
        <v>14</v>
      </c>
      <c r="B15" t="s">
        <v>667</v>
      </c>
      <c r="C15" t="s">
        <v>664</v>
      </c>
      <c r="D15">
        <v>2271.3180000000002</v>
      </c>
      <c r="E15" t="s">
        <v>494</v>
      </c>
      <c r="F15" t="str">
        <f>TEXT(Table_Query_from_Global_PLA21[[#This Row],[MONTH]]*29,"mmm")</f>
        <v>Aug</v>
      </c>
      <c r="G15">
        <f>C15+(MONTH(1&amp;LEFT(F15,3))&gt;='CY - Executive Summary'!$AM$2)</f>
        <v>2016</v>
      </c>
      <c r="J15" s="541" t="s">
        <v>5</v>
      </c>
      <c r="K15" s="67">
        <v>2474.5731999999998</v>
      </c>
      <c r="L15" s="67"/>
      <c r="M15" s="67">
        <v>2474.5731999999998</v>
      </c>
    </row>
    <row r="16" spans="1:25" x14ac:dyDescent="0.25">
      <c r="A16">
        <v>15</v>
      </c>
      <c r="B16" t="s">
        <v>666</v>
      </c>
      <c r="C16" t="s">
        <v>664</v>
      </c>
      <c r="D16">
        <v>642.01199999999994</v>
      </c>
      <c r="E16" t="s">
        <v>494</v>
      </c>
      <c r="F16" t="str">
        <f>TEXT(Table_Query_from_Global_PLA21[[#This Row],[MONTH]]*29,"mmm")</f>
        <v>Sep</v>
      </c>
      <c r="G16">
        <f>C16+(MONTH(1&amp;LEFT(F16,3))&gt;='CY - Executive Summary'!$AM$2)</f>
        <v>2016</v>
      </c>
      <c r="J16" s="541" t="s">
        <v>11</v>
      </c>
      <c r="K16" s="67">
        <v>3129.7665000000002</v>
      </c>
      <c r="L16" s="67"/>
      <c r="M16" s="67">
        <v>3129.7665000000002</v>
      </c>
    </row>
    <row r="17" spans="10:13" x14ac:dyDescent="0.25">
      <c r="J17" s="541" t="s">
        <v>13</v>
      </c>
      <c r="K17" s="67">
        <v>3162.5088999999998</v>
      </c>
      <c r="L17" s="67"/>
      <c r="M17" s="67">
        <v>3162.5088999999998</v>
      </c>
    </row>
    <row r="18" spans="10:13" x14ac:dyDescent="0.25">
      <c r="J18" s="541" t="s">
        <v>14</v>
      </c>
      <c r="K18" s="67">
        <v>3243.0614999999998</v>
      </c>
      <c r="L18" s="67"/>
      <c r="M18" s="67">
        <v>3243.0614999999998</v>
      </c>
    </row>
    <row r="19" spans="10:13" x14ac:dyDescent="0.25">
      <c r="J19" s="541" t="s">
        <v>7</v>
      </c>
      <c r="K19" s="67">
        <v>2271.3180000000002</v>
      </c>
      <c r="L19" s="67"/>
      <c r="M19" s="67">
        <v>2271.3180000000002</v>
      </c>
    </row>
    <row r="20" spans="10:13" x14ac:dyDescent="0.25">
      <c r="J20" s="541" t="s">
        <v>15</v>
      </c>
      <c r="K20" s="67">
        <v>642.01199999999994</v>
      </c>
      <c r="L20" s="67"/>
      <c r="M20" s="67">
        <v>642.01199999999994</v>
      </c>
    </row>
    <row r="21" spans="10:13" x14ac:dyDescent="0.25">
      <c r="J21" s="2" t="s">
        <v>17</v>
      </c>
      <c r="K21" s="67">
        <v>38370.9643</v>
      </c>
      <c r="L21" s="67">
        <v>26.008299999999998</v>
      </c>
      <c r="M21" s="67">
        <v>38396.972600000001</v>
      </c>
    </row>
  </sheetData>
  <pageMargins left="0.7" right="0.7" top="0.75" bottom="0.75" header="0.3" footer="0.3"/>
  <drawing r:id="rId5"/>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C000"/>
  </sheetPr>
  <dimension ref="A1:W14"/>
  <sheetViews>
    <sheetView topLeftCell="L1" workbookViewId="0">
      <selection activeCell="S3" sqref="S3"/>
    </sheetView>
  </sheetViews>
  <sheetFormatPr defaultRowHeight="15" x14ac:dyDescent="0.25"/>
  <cols>
    <col min="1" max="1" width="5.140625" bestFit="1" customWidth="1"/>
    <col min="2" max="2" width="6.5703125" customWidth="1"/>
    <col min="3" max="3" width="9.42578125" bestFit="1" customWidth="1"/>
    <col min="4" max="4" width="12.7109375" bestFit="1" customWidth="1"/>
    <col min="5" max="5" width="18.7109375" bestFit="1" customWidth="1"/>
    <col min="6" max="6" width="10.28515625" bestFit="1" customWidth="1"/>
    <col min="7" max="7" width="7.85546875" bestFit="1" customWidth="1"/>
    <col min="8" max="8" width="15" customWidth="1"/>
    <col min="9" max="9" width="10.28515625" bestFit="1" customWidth="1"/>
    <col min="10" max="10" width="12.5703125" customWidth="1"/>
    <col min="15" max="15" width="13.140625" customWidth="1"/>
    <col min="16" max="16" width="23.28515625" customWidth="1"/>
    <col min="17" max="17" width="11.140625" customWidth="1"/>
    <col min="19" max="19" width="13.140625" customWidth="1"/>
    <col min="20" max="20" width="23.28515625" customWidth="1"/>
    <col min="22" max="22" width="13.140625" bestFit="1" customWidth="1"/>
    <col min="23" max="23" width="23.28515625" bestFit="1" customWidth="1"/>
  </cols>
  <sheetData>
    <row r="1" spans="1:23" x14ac:dyDescent="0.25">
      <c r="A1" t="s">
        <v>218</v>
      </c>
      <c r="B1" t="s">
        <v>232</v>
      </c>
      <c r="C1" t="s">
        <v>233</v>
      </c>
      <c r="D1" t="s">
        <v>234</v>
      </c>
      <c r="E1" t="s">
        <v>451</v>
      </c>
      <c r="F1" t="s">
        <v>224</v>
      </c>
      <c r="G1" t="s">
        <v>225</v>
      </c>
      <c r="H1" t="s">
        <v>235</v>
      </c>
      <c r="I1" t="s">
        <v>240</v>
      </c>
      <c r="J1" t="s">
        <v>652</v>
      </c>
      <c r="N1" t="s">
        <v>1178</v>
      </c>
      <c r="O1" s="84" t="s">
        <v>625</v>
      </c>
      <c r="R1" t="s">
        <v>1179</v>
      </c>
      <c r="T1" s="84"/>
      <c r="U1" t="s">
        <v>1180</v>
      </c>
      <c r="W1" s="84"/>
    </row>
    <row r="2" spans="1:23" x14ac:dyDescent="0.25">
      <c r="O2" s="1" t="s">
        <v>652</v>
      </c>
      <c r="P2" t="s">
        <v>19</v>
      </c>
      <c r="S2" s="84" t="str">
        <f>S4</f>
        <v>Grand Total</v>
      </c>
      <c r="T2" s="505">
        <f>GETPIVOTDATA("HOURS_WORKED",$S$3)</f>
        <v>0</v>
      </c>
      <c r="V2" s="84" t="str">
        <f>V4</f>
        <v>Grand Total</v>
      </c>
      <c r="W2" s="505">
        <f>GETPIVOTDATA("HOURS_WORKED",$V$3)</f>
        <v>0</v>
      </c>
    </row>
    <row r="3" spans="1:23" x14ac:dyDescent="0.25">
      <c r="O3" s="1" t="s">
        <v>225</v>
      </c>
      <c r="P3" t="s">
        <v>19</v>
      </c>
      <c r="S3" s="1" t="s">
        <v>16</v>
      </c>
      <c r="T3" t="s">
        <v>477</v>
      </c>
      <c r="V3" s="1" t="s">
        <v>16</v>
      </c>
      <c r="W3" t="s">
        <v>477</v>
      </c>
    </row>
    <row r="4" spans="1:23" x14ac:dyDescent="0.25">
      <c r="O4" s="1" t="s">
        <v>240</v>
      </c>
      <c r="P4" t="s">
        <v>19</v>
      </c>
      <c r="S4" s="2" t="s">
        <v>17</v>
      </c>
      <c r="T4" s="67"/>
      <c r="V4" s="2" t="s">
        <v>17</v>
      </c>
      <c r="W4" s="67"/>
    </row>
    <row r="6" spans="1:23" x14ac:dyDescent="0.25">
      <c r="O6" s="1" t="s">
        <v>16</v>
      </c>
      <c r="P6" t="s">
        <v>477</v>
      </c>
    </row>
    <row r="7" spans="1:23" x14ac:dyDescent="0.25">
      <c r="O7" s="2" t="s">
        <v>17</v>
      </c>
      <c r="P7" s="67"/>
      <c r="Q7" s="67"/>
    </row>
    <row r="8" spans="1:23" x14ac:dyDescent="0.25">
      <c r="Q8" s="67"/>
    </row>
    <row r="9" spans="1:23" x14ac:dyDescent="0.25">
      <c r="Q9" s="67"/>
    </row>
    <row r="12" spans="1:23" x14ac:dyDescent="0.25">
      <c r="O12" s="2"/>
    </row>
    <row r="13" spans="1:23" x14ac:dyDescent="0.25">
      <c r="O13" s="2"/>
    </row>
    <row r="14" spans="1:23" x14ac:dyDescent="0.25">
      <c r="O14" s="2"/>
    </row>
  </sheetData>
  <pageMargins left="0.7" right="0.7" top="0.75" bottom="0.75" header="0.3" footer="0.3"/>
  <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C000"/>
  </sheetPr>
  <dimension ref="A1:AI570"/>
  <sheetViews>
    <sheetView topLeftCell="AB11" workbookViewId="0">
      <selection activeCell="AI23" sqref="AI23"/>
    </sheetView>
  </sheetViews>
  <sheetFormatPr defaultRowHeight="15" x14ac:dyDescent="0.25"/>
  <cols>
    <col min="1" max="1" width="13.140625" customWidth="1"/>
    <col min="2" max="2" width="12.140625" customWidth="1"/>
    <col min="4" max="6" width="12.7109375" customWidth="1"/>
    <col min="7" max="7" width="12.7109375" style="300" customWidth="1"/>
    <col min="8" max="8" width="12.7109375" customWidth="1"/>
    <col min="9" max="9" width="14.7109375" style="523" customWidth="1"/>
    <col min="10" max="10" width="12.7109375" customWidth="1"/>
    <col min="11" max="11" width="13.140625" bestFit="1" customWidth="1"/>
    <col min="12" max="12" width="11.42578125" customWidth="1"/>
    <col min="13" max="13" width="9.140625" customWidth="1"/>
    <col min="14" max="14" width="9.7109375" customWidth="1"/>
    <col min="15" max="15" width="9.140625" customWidth="1"/>
    <col min="16" max="16" width="14.7109375" customWidth="1"/>
    <col min="17" max="17" width="12.7109375" style="70" customWidth="1"/>
    <col min="18" max="18" width="13.7109375" bestFit="1" customWidth="1"/>
    <col min="19" max="19" width="13.85546875" style="67" bestFit="1" customWidth="1"/>
    <col min="20" max="20" width="12.5703125" bestFit="1" customWidth="1"/>
    <col min="21" max="21" width="21.42578125" customWidth="1"/>
    <col min="25" max="25" width="13.140625" customWidth="1"/>
    <col min="26" max="27" width="18.85546875" customWidth="1"/>
    <col min="28" max="28" width="25.140625" customWidth="1"/>
    <col min="30" max="30" width="13.140625" customWidth="1"/>
    <col min="31" max="31" width="18.85546875" customWidth="1"/>
    <col min="34" max="34" width="13.140625" customWidth="1"/>
    <col min="35" max="35" width="18.85546875" customWidth="1"/>
  </cols>
  <sheetData>
    <row r="1" spans="1:35" x14ac:dyDescent="0.25">
      <c r="A1" s="1" t="s">
        <v>16</v>
      </c>
      <c r="B1" t="s">
        <v>1282</v>
      </c>
    </row>
    <row r="2" spans="1:35" x14ac:dyDescent="0.25">
      <c r="A2" s="2">
        <v>2014</v>
      </c>
      <c r="B2" s="244">
        <v>1560888</v>
      </c>
    </row>
    <row r="3" spans="1:35" x14ac:dyDescent="0.25">
      <c r="A3" s="3" t="s">
        <v>14</v>
      </c>
      <c r="B3" s="244">
        <v>0</v>
      </c>
      <c r="C3" s="85"/>
      <c r="E3" t="s">
        <v>613</v>
      </c>
    </row>
    <row r="4" spans="1:35" x14ac:dyDescent="0.25">
      <c r="A4" s="3" t="s">
        <v>6</v>
      </c>
      <c r="B4" s="244">
        <v>1560888</v>
      </c>
      <c r="C4" s="85"/>
      <c r="D4" s="244"/>
      <c r="E4" s="244" t="str">
        <f>G4&amp;"-"&amp;H4</f>
        <v>2014-</v>
      </c>
      <c r="F4">
        <f>IF(A2="Grand Total","",IF(LEN(A2)=4,A2,IF(F3="","",F3)))</f>
        <v>2014</v>
      </c>
      <c r="G4" s="300">
        <f>IF(F4=A4,"",F4)</f>
        <v>2014</v>
      </c>
    </row>
    <row r="5" spans="1:35" x14ac:dyDescent="0.25">
      <c r="A5" s="2">
        <v>2015</v>
      </c>
      <c r="B5" s="244">
        <v>281496679</v>
      </c>
      <c r="C5" s="85"/>
      <c r="D5" s="244"/>
      <c r="E5" s="244" t="str">
        <f t="shared" ref="E5:E67" si="0">G5&amp;"-"&amp;H5</f>
        <v>2014-</v>
      </c>
      <c r="F5">
        <f t="shared" ref="F5:F68" si="1">IF(A3="Grand Total","",IF(LEN(A3)=4,A3,IF(F4="","",F4)))</f>
        <v>2014</v>
      </c>
      <c r="G5" s="300">
        <f t="shared" ref="G5:G68" si="2">IF(F5=A5,"",F5)</f>
        <v>2014</v>
      </c>
    </row>
    <row r="6" spans="1:35" x14ac:dyDescent="0.25">
      <c r="A6" s="3" t="s">
        <v>12</v>
      </c>
      <c r="B6" s="244">
        <v>17814080</v>
      </c>
      <c r="C6" s="85"/>
      <c r="D6" s="244"/>
      <c r="E6" s="244" t="str">
        <f>G6&amp;"-"&amp;H6</f>
        <v>2014-</v>
      </c>
      <c r="F6">
        <f t="shared" si="1"/>
        <v>2014</v>
      </c>
      <c r="G6" s="300">
        <f t="shared" si="2"/>
        <v>2014</v>
      </c>
    </row>
    <row r="7" spans="1:35" x14ac:dyDescent="0.25">
      <c r="A7" s="3" t="s">
        <v>8</v>
      </c>
      <c r="B7" s="244">
        <v>15491948</v>
      </c>
      <c r="C7" s="85"/>
      <c r="D7" s="244"/>
      <c r="E7" s="244" t="str">
        <f>G7&amp;"-"&amp;H7</f>
        <v>2015-Feb</v>
      </c>
      <c r="F7">
        <f t="shared" si="1"/>
        <v>2015</v>
      </c>
      <c r="G7" s="300">
        <f t="shared" si="2"/>
        <v>2015</v>
      </c>
      <c r="H7" t="str">
        <f>IF(F7="","",IF(F7=G7,A7,""))</f>
        <v>Feb</v>
      </c>
      <c r="I7" s="88">
        <f>IF(H7="","",B7)</f>
        <v>15491948</v>
      </c>
    </row>
    <row r="8" spans="1:35" x14ac:dyDescent="0.25">
      <c r="A8" s="3" t="s">
        <v>10</v>
      </c>
      <c r="B8" s="244">
        <v>30904773</v>
      </c>
      <c r="C8" s="85"/>
      <c r="D8" s="244"/>
      <c r="E8" s="244" t="str">
        <f>G8&amp;"-"&amp;H8</f>
        <v>2015-Mar</v>
      </c>
      <c r="F8">
        <f t="shared" si="1"/>
        <v>2015</v>
      </c>
      <c r="G8" s="300">
        <f t="shared" si="2"/>
        <v>2015</v>
      </c>
      <c r="H8" t="str">
        <f t="shared" ref="H8:H71" si="3">IF(F8="","",IF(F8=G8,A8,""))</f>
        <v>Mar</v>
      </c>
      <c r="I8" s="88">
        <f t="shared" ref="I8:I71" si="4">IF(H8="","",B8)</f>
        <v>30904773</v>
      </c>
    </row>
    <row r="9" spans="1:35" x14ac:dyDescent="0.25">
      <c r="A9" s="3" t="s">
        <v>5</v>
      </c>
      <c r="B9" s="244">
        <v>26460562</v>
      </c>
      <c r="C9" s="85"/>
      <c r="D9" s="244"/>
      <c r="E9" s="244" t="str">
        <f t="shared" si="0"/>
        <v>2015-Apr</v>
      </c>
      <c r="F9">
        <f t="shared" si="1"/>
        <v>2015</v>
      </c>
      <c r="G9" s="300">
        <f t="shared" si="2"/>
        <v>2015</v>
      </c>
      <c r="H9" t="str">
        <f t="shared" si="3"/>
        <v>Apr</v>
      </c>
      <c r="I9" s="88">
        <f t="shared" si="4"/>
        <v>26460562</v>
      </c>
    </row>
    <row r="10" spans="1:35" x14ac:dyDescent="0.25">
      <c r="A10" s="3" t="s">
        <v>11</v>
      </c>
      <c r="B10" s="244">
        <v>19456929</v>
      </c>
      <c r="C10" s="85"/>
      <c r="D10" s="244"/>
      <c r="E10" s="244" t="str">
        <f t="shared" si="0"/>
        <v>2015-May</v>
      </c>
      <c r="F10">
        <f t="shared" si="1"/>
        <v>2015</v>
      </c>
      <c r="G10" s="300">
        <f t="shared" si="2"/>
        <v>2015</v>
      </c>
      <c r="H10" t="str">
        <f t="shared" si="3"/>
        <v>May</v>
      </c>
      <c r="I10" s="88">
        <f t="shared" si="4"/>
        <v>19456929</v>
      </c>
    </row>
    <row r="11" spans="1:35" ht="15.75" x14ac:dyDescent="0.25">
      <c r="A11" s="3" t="s">
        <v>13</v>
      </c>
      <c r="B11" s="244">
        <v>20813105</v>
      </c>
      <c r="D11" s="244"/>
      <c r="E11" s="244" t="str">
        <f t="shared" si="0"/>
        <v>2015-Jun</v>
      </c>
      <c r="F11">
        <f t="shared" si="1"/>
        <v>2015</v>
      </c>
      <c r="G11" s="300">
        <f t="shared" si="2"/>
        <v>2015</v>
      </c>
      <c r="H11" t="str">
        <f t="shared" si="3"/>
        <v>Jun</v>
      </c>
      <c r="I11" s="88">
        <f t="shared" si="4"/>
        <v>20813105</v>
      </c>
      <c r="K11" s="363" t="s">
        <v>614</v>
      </c>
    </row>
    <row r="12" spans="1:35" x14ac:dyDescent="0.25">
      <c r="A12" s="3" t="s">
        <v>14</v>
      </c>
      <c r="B12" s="244">
        <v>32832337</v>
      </c>
      <c r="D12" s="244"/>
      <c r="E12" s="244" t="str">
        <f t="shared" si="0"/>
        <v>2015-Jul</v>
      </c>
      <c r="F12">
        <f t="shared" si="1"/>
        <v>2015</v>
      </c>
      <c r="G12" s="300">
        <f t="shared" si="2"/>
        <v>2015</v>
      </c>
      <c r="H12" t="str">
        <f t="shared" si="3"/>
        <v>Jul</v>
      </c>
      <c r="I12" s="88">
        <f t="shared" si="4"/>
        <v>32832337</v>
      </c>
    </row>
    <row r="13" spans="1:35" x14ac:dyDescent="0.25">
      <c r="A13" s="3" t="s">
        <v>7</v>
      </c>
      <c r="B13" s="244">
        <v>19818618</v>
      </c>
      <c r="D13" s="244"/>
      <c r="E13" s="244" t="str">
        <f t="shared" si="0"/>
        <v>2015-Aug</v>
      </c>
      <c r="F13">
        <f t="shared" si="1"/>
        <v>2015</v>
      </c>
      <c r="G13" s="300">
        <f t="shared" si="2"/>
        <v>2015</v>
      </c>
      <c r="H13" t="str">
        <f t="shared" si="3"/>
        <v>Aug</v>
      </c>
      <c r="I13" s="88">
        <f t="shared" si="4"/>
        <v>19818618</v>
      </c>
      <c r="K13" s="1" t="s">
        <v>16</v>
      </c>
      <c r="L13" t="s">
        <v>1311</v>
      </c>
      <c r="AD13" s="84">
        <f>AD15</f>
        <v>2015</v>
      </c>
      <c r="AE13" s="506">
        <f>SUMIF(AD15:AD18,AD15,AE15:AE18)</f>
        <v>0</v>
      </c>
      <c r="AF13" s="84"/>
      <c r="AG13" s="84"/>
      <c r="AH13" s="84">
        <f>AH15</f>
        <v>2016</v>
      </c>
      <c r="AI13" s="506">
        <f>SUMIF(AH15:AH17,AH15,AI15:AI17)</f>
        <v>73530.444168725575</v>
      </c>
    </row>
    <row r="14" spans="1:35" x14ac:dyDescent="0.25">
      <c r="A14" s="3" t="s">
        <v>15</v>
      </c>
      <c r="B14" s="244">
        <v>16312359</v>
      </c>
      <c r="D14" s="244"/>
      <c r="E14" s="244" t="str">
        <f t="shared" si="0"/>
        <v>2015-Sep</v>
      </c>
      <c r="F14">
        <f t="shared" si="1"/>
        <v>2015</v>
      </c>
      <c r="G14" s="300">
        <f t="shared" si="2"/>
        <v>2015</v>
      </c>
      <c r="H14" t="str">
        <f t="shared" si="3"/>
        <v>Sep</v>
      </c>
      <c r="I14" s="88">
        <f t="shared" si="4"/>
        <v>16312359</v>
      </c>
      <c r="K14" s="2">
        <v>2015</v>
      </c>
      <c r="L14" s="67"/>
      <c r="O14">
        <f t="shared" ref="O14:O77" si="5">IF(K14="Grand Total","",IF(LEN(K14)=4,K14,IF(O13="","",O13)))</f>
        <v>2015</v>
      </c>
      <c r="P14" s="69" t="s">
        <v>998</v>
      </c>
      <c r="Q14" s="526" t="s">
        <v>2</v>
      </c>
      <c r="R14" s="69" t="s">
        <v>1</v>
      </c>
      <c r="S14" s="524" t="s">
        <v>612</v>
      </c>
      <c r="T14" s="69" t="s">
        <v>0</v>
      </c>
      <c r="U14" s="69" t="s">
        <v>659</v>
      </c>
      <c r="Y14" s="1" t="s">
        <v>16</v>
      </c>
      <c r="Z14" t="s">
        <v>999</v>
      </c>
      <c r="AD14" s="1" t="s">
        <v>16</v>
      </c>
      <c r="AE14" t="s">
        <v>999</v>
      </c>
      <c r="AH14" s="1" t="s">
        <v>16</v>
      </c>
      <c r="AI14" t="s">
        <v>999</v>
      </c>
    </row>
    <row r="15" spans="1:35" x14ac:dyDescent="0.25">
      <c r="A15" s="3" t="s">
        <v>6</v>
      </c>
      <c r="B15" s="244">
        <v>18162210</v>
      </c>
      <c r="D15" s="244"/>
      <c r="E15" s="244" t="str">
        <f t="shared" si="0"/>
        <v>2015-Oct</v>
      </c>
      <c r="F15">
        <f t="shared" si="1"/>
        <v>2015</v>
      </c>
      <c r="G15" s="300">
        <f t="shared" si="2"/>
        <v>2015</v>
      </c>
      <c r="H15" t="str">
        <f t="shared" si="3"/>
        <v>Oct</v>
      </c>
      <c r="I15" s="88">
        <f t="shared" si="4"/>
        <v>18162210</v>
      </c>
      <c r="K15" s="3" t="s">
        <v>1029</v>
      </c>
      <c r="L15" s="67">
        <v>14330.413200000001</v>
      </c>
      <c r="N15" t="str">
        <f>Q15&amp;"-"&amp;R15</f>
        <v>-</v>
      </c>
      <c r="O15" t="str">
        <f t="shared" si="5"/>
        <v>2014</v>
      </c>
      <c r="R15" t="str">
        <f t="shared" ref="R15:R78" si="6">IF(O15="","",IF(O15=Q15,K15,""))</f>
        <v/>
      </c>
      <c r="S15" s="525" t="str">
        <f t="shared" ref="S15:S78" si="7">IF(R15="","",L15)</f>
        <v/>
      </c>
      <c r="T15" s="87"/>
      <c r="U15" s="87" t="str">
        <f t="shared" ref="U15:U78" si="8">IFERROR(T15/S15,"")</f>
        <v/>
      </c>
      <c r="Y15" s="2">
        <v>2015</v>
      </c>
      <c r="Z15" s="71">
        <v>0</v>
      </c>
      <c r="AD15" s="2">
        <v>2015</v>
      </c>
      <c r="AE15" s="71">
        <v>0</v>
      </c>
      <c r="AH15" s="2">
        <v>2016</v>
      </c>
      <c r="AI15" s="71">
        <v>73530.444168725575</v>
      </c>
    </row>
    <row r="16" spans="1:35" x14ac:dyDescent="0.25">
      <c r="A16" s="3" t="s">
        <v>9</v>
      </c>
      <c r="B16" s="244">
        <v>36739393</v>
      </c>
      <c r="D16" s="244"/>
      <c r="E16" s="244" t="str">
        <f t="shared" si="0"/>
        <v>2015-Nov</v>
      </c>
      <c r="F16">
        <f t="shared" si="1"/>
        <v>2015</v>
      </c>
      <c r="G16" s="300">
        <f t="shared" si="2"/>
        <v>2015</v>
      </c>
      <c r="H16" t="str">
        <f t="shared" si="3"/>
        <v>Nov</v>
      </c>
      <c r="I16" s="88">
        <f t="shared" si="4"/>
        <v>36739393</v>
      </c>
      <c r="K16" s="541" t="s">
        <v>7</v>
      </c>
      <c r="L16" s="67">
        <v>2683.5382</v>
      </c>
      <c r="N16" t="str">
        <f t="shared" ref="N16:N78" si="9">Q16&amp;"-"&amp;R16</f>
        <v>2014-Aug</v>
      </c>
      <c r="O16" t="str">
        <f t="shared" si="5"/>
        <v>2014</v>
      </c>
      <c r="P16">
        <f>IFERROR(Q16+(MONTH(1&amp;LEFT(R16,3))&gt;='CY - Executive Summary'!$AM$2),0)</f>
        <v>2015</v>
      </c>
      <c r="Q16" s="70" t="str">
        <f>IF(O16=K16,"",O16)</f>
        <v>2014</v>
      </c>
      <c r="R16" t="str">
        <f t="shared" si="6"/>
        <v>Aug</v>
      </c>
      <c r="S16" s="525">
        <f t="shared" si="7"/>
        <v>2683.5382</v>
      </c>
      <c r="T16" s="550" t="e">
        <f t="shared" ref="T16:T78" si="10">VLOOKUP(N16,$E$4:$I$566,5,FALSE)</f>
        <v>#N/A</v>
      </c>
      <c r="U16" s="87" t="str">
        <f t="shared" si="8"/>
        <v/>
      </c>
      <c r="Y16" s="3" t="s">
        <v>1029</v>
      </c>
      <c r="Z16" s="71">
        <v>0</v>
      </c>
      <c r="AD16" s="2" t="s">
        <v>17</v>
      </c>
      <c r="AE16" s="71">
        <v>0</v>
      </c>
      <c r="AH16" s="2" t="s">
        <v>17</v>
      </c>
      <c r="AI16" s="71">
        <v>73530.444168725575</v>
      </c>
    </row>
    <row r="17" spans="1:26" x14ac:dyDescent="0.25">
      <c r="A17" s="3" t="s">
        <v>4</v>
      </c>
      <c r="B17" s="244">
        <v>26690365</v>
      </c>
      <c r="D17" s="244"/>
      <c r="E17" s="244" t="str">
        <f t="shared" si="0"/>
        <v>2015-Dec</v>
      </c>
      <c r="F17">
        <f t="shared" si="1"/>
        <v>2015</v>
      </c>
      <c r="G17" s="300">
        <f t="shared" si="2"/>
        <v>2015</v>
      </c>
      <c r="H17" t="str">
        <f t="shared" si="3"/>
        <v>Dec</v>
      </c>
      <c r="I17" s="88">
        <f t="shared" si="4"/>
        <v>26690365</v>
      </c>
      <c r="K17" s="541" t="s">
        <v>15</v>
      </c>
      <c r="L17" s="67">
        <v>3193.3189000000002</v>
      </c>
      <c r="N17" t="str">
        <f t="shared" si="9"/>
        <v>2014-Sep</v>
      </c>
      <c r="O17" t="str">
        <f t="shared" si="5"/>
        <v>2014</v>
      </c>
      <c r="P17">
        <f>IFERROR(Q17+(MONTH(1&amp;LEFT(R17,3))&gt;='CY - Executive Summary'!$AM$2),0)</f>
        <v>2015</v>
      </c>
      <c r="Q17" s="70" t="str">
        <f t="shared" ref="Q17:Q78" si="11">IF(O17=K17,"",O17)</f>
        <v>2014</v>
      </c>
      <c r="R17" t="str">
        <f t="shared" si="6"/>
        <v>Sep</v>
      </c>
      <c r="S17" s="525">
        <f t="shared" si="7"/>
        <v>3193.3189000000002</v>
      </c>
      <c r="T17" s="550" t="e">
        <f t="shared" si="10"/>
        <v>#N/A</v>
      </c>
      <c r="U17" s="87" t="str">
        <f t="shared" si="8"/>
        <v/>
      </c>
      <c r="Y17" s="541" t="s">
        <v>7</v>
      </c>
      <c r="Z17" s="71">
        <v>0</v>
      </c>
    </row>
    <row r="18" spans="1:26" x14ac:dyDescent="0.25">
      <c r="A18" s="2">
        <v>2016</v>
      </c>
      <c r="B18" s="244">
        <v>11163687</v>
      </c>
      <c r="D18" s="244"/>
      <c r="E18" s="244" t="str">
        <f t="shared" si="0"/>
        <v>2015-2016</v>
      </c>
      <c r="F18">
        <f t="shared" si="1"/>
        <v>2015</v>
      </c>
      <c r="G18" s="300">
        <f t="shared" si="2"/>
        <v>2015</v>
      </c>
      <c r="H18">
        <f t="shared" si="3"/>
        <v>2016</v>
      </c>
      <c r="I18" s="88">
        <f t="shared" si="4"/>
        <v>11163687</v>
      </c>
      <c r="K18" s="541" t="s">
        <v>6</v>
      </c>
      <c r="L18" s="67">
        <v>3050.9739</v>
      </c>
      <c r="N18" t="str">
        <f t="shared" si="9"/>
        <v>2014-Oct</v>
      </c>
      <c r="O18" t="str">
        <f t="shared" si="5"/>
        <v>2014</v>
      </c>
      <c r="P18">
        <f>IFERROR(Q18+(MONTH(1&amp;LEFT(R18,3))&gt;='CY - Executive Summary'!$AM$2),0)</f>
        <v>2015</v>
      </c>
      <c r="Q18" s="70" t="str">
        <f t="shared" si="11"/>
        <v>2014</v>
      </c>
      <c r="R18" t="str">
        <f t="shared" si="6"/>
        <v>Oct</v>
      </c>
      <c r="S18" s="525">
        <f t="shared" si="7"/>
        <v>3050.9739</v>
      </c>
      <c r="T18" s="550" t="e">
        <f t="shared" si="10"/>
        <v>#N/A</v>
      </c>
      <c r="U18" s="87" t="str">
        <f t="shared" si="8"/>
        <v/>
      </c>
      <c r="Y18" s="541" t="s">
        <v>15</v>
      </c>
      <c r="Z18" s="71">
        <v>0</v>
      </c>
    </row>
    <row r="19" spans="1:26" x14ac:dyDescent="0.25">
      <c r="A19" s="3" t="s">
        <v>7</v>
      </c>
      <c r="B19" s="244">
        <v>8157987</v>
      </c>
      <c r="D19" s="244"/>
      <c r="E19" s="244" t="str">
        <f t="shared" si="0"/>
        <v>2015-Aug</v>
      </c>
      <c r="F19">
        <f t="shared" si="1"/>
        <v>2015</v>
      </c>
      <c r="G19" s="300">
        <f t="shared" si="2"/>
        <v>2015</v>
      </c>
      <c r="H19" t="str">
        <f t="shared" si="3"/>
        <v>Aug</v>
      </c>
      <c r="I19" s="88">
        <f t="shared" si="4"/>
        <v>8157987</v>
      </c>
      <c r="K19" s="541" t="s">
        <v>9</v>
      </c>
      <c r="L19" s="67">
        <v>2743.8771999999999</v>
      </c>
      <c r="N19" t="str">
        <f t="shared" si="9"/>
        <v>2014-Nov</v>
      </c>
      <c r="O19" t="str">
        <f t="shared" si="5"/>
        <v>2014</v>
      </c>
      <c r="P19">
        <f>IFERROR(Q19+(MONTH(1&amp;LEFT(R19,3))&gt;='CY - Executive Summary'!$AM$2),0)</f>
        <v>2015</v>
      </c>
      <c r="Q19" s="70" t="str">
        <f t="shared" si="11"/>
        <v>2014</v>
      </c>
      <c r="R19" t="str">
        <f t="shared" si="6"/>
        <v>Nov</v>
      </c>
      <c r="S19" s="525">
        <f t="shared" si="7"/>
        <v>2743.8771999999999</v>
      </c>
      <c r="T19" s="550" t="e">
        <f t="shared" si="10"/>
        <v>#N/A</v>
      </c>
      <c r="U19" s="87" t="str">
        <f t="shared" si="8"/>
        <v/>
      </c>
      <c r="Y19" s="541" t="s">
        <v>6</v>
      </c>
      <c r="Z19" s="71">
        <v>0</v>
      </c>
    </row>
    <row r="20" spans="1:26" x14ac:dyDescent="0.25">
      <c r="A20" s="3" t="s">
        <v>15</v>
      </c>
      <c r="B20" s="244">
        <v>3005700</v>
      </c>
      <c r="D20" s="244"/>
      <c r="E20" s="244" t="str">
        <f t="shared" si="0"/>
        <v>2016-Sep</v>
      </c>
      <c r="F20">
        <f t="shared" si="1"/>
        <v>2016</v>
      </c>
      <c r="G20" s="300">
        <f t="shared" si="2"/>
        <v>2016</v>
      </c>
      <c r="H20" t="str">
        <f t="shared" si="3"/>
        <v>Sep</v>
      </c>
      <c r="I20" s="88">
        <f t="shared" si="4"/>
        <v>3005700</v>
      </c>
      <c r="J20" s="244"/>
      <c r="K20" s="541" t="s">
        <v>4</v>
      </c>
      <c r="L20" s="67">
        <v>2658.7049999999999</v>
      </c>
      <c r="N20" t="str">
        <f t="shared" si="9"/>
        <v>2014-Dec</v>
      </c>
      <c r="O20" t="str">
        <f t="shared" si="5"/>
        <v>2014</v>
      </c>
      <c r="P20">
        <f>IFERROR(Q20+(MONTH(1&amp;LEFT(R20,3))&gt;='CY - Executive Summary'!$AM$2),0)</f>
        <v>2015</v>
      </c>
      <c r="Q20" s="70" t="str">
        <f t="shared" si="11"/>
        <v>2014</v>
      </c>
      <c r="R20" t="str">
        <f t="shared" si="6"/>
        <v>Dec</v>
      </c>
      <c r="S20" s="525">
        <f t="shared" si="7"/>
        <v>2658.7049999999999</v>
      </c>
      <c r="T20" s="550" t="e">
        <f t="shared" si="10"/>
        <v>#N/A</v>
      </c>
      <c r="U20" s="87" t="str">
        <f t="shared" si="8"/>
        <v/>
      </c>
      <c r="Y20" s="541" t="s">
        <v>9</v>
      </c>
      <c r="Z20" s="71">
        <v>0</v>
      </c>
    </row>
    <row r="21" spans="1:26" x14ac:dyDescent="0.25">
      <c r="A21" s="2" t="s">
        <v>243</v>
      </c>
      <c r="B21" s="244"/>
      <c r="D21" s="244"/>
      <c r="E21" s="244" t="str">
        <f t="shared" si="0"/>
        <v>2016-(blank)</v>
      </c>
      <c r="F21">
        <f t="shared" si="1"/>
        <v>2016</v>
      </c>
      <c r="G21" s="300">
        <f t="shared" si="2"/>
        <v>2016</v>
      </c>
      <c r="H21" t="str">
        <f t="shared" si="3"/>
        <v>(blank)</v>
      </c>
      <c r="I21" s="88">
        <f t="shared" si="4"/>
        <v>0</v>
      </c>
      <c r="J21" s="244"/>
      <c r="K21" s="2">
        <v>2016</v>
      </c>
      <c r="L21" s="67"/>
      <c r="N21" t="str">
        <f t="shared" si="9"/>
        <v>-</v>
      </c>
      <c r="O21">
        <f t="shared" si="5"/>
        <v>2016</v>
      </c>
      <c r="P21">
        <f>IFERROR(Q21+(MONTH(1&amp;LEFT(R21,3))&gt;='CY - Executive Summary'!$AK$2),0)</f>
        <v>0</v>
      </c>
      <c r="Q21" s="70" t="str">
        <f t="shared" si="11"/>
        <v/>
      </c>
      <c r="R21" t="str">
        <f t="shared" si="6"/>
        <v/>
      </c>
      <c r="S21" s="525" t="str">
        <f t="shared" si="7"/>
        <v/>
      </c>
      <c r="T21" s="550" t="str">
        <f t="shared" si="10"/>
        <v/>
      </c>
      <c r="U21" s="87" t="str">
        <f t="shared" si="8"/>
        <v/>
      </c>
      <c r="Y21" s="541" t="s">
        <v>4</v>
      </c>
      <c r="Z21" s="71">
        <v>0</v>
      </c>
    </row>
    <row r="22" spans="1:26" x14ac:dyDescent="0.25">
      <c r="A22" s="3" t="s">
        <v>243</v>
      </c>
      <c r="B22" s="244"/>
      <c r="D22" s="244"/>
      <c r="E22" s="244" t="str">
        <f t="shared" si="0"/>
        <v>2016-(blank)</v>
      </c>
      <c r="F22">
        <f t="shared" si="1"/>
        <v>2016</v>
      </c>
      <c r="G22" s="300">
        <f t="shared" si="2"/>
        <v>2016</v>
      </c>
      <c r="H22" t="str">
        <f t="shared" si="3"/>
        <v>(blank)</v>
      </c>
      <c r="I22" s="88">
        <f t="shared" si="4"/>
        <v>0</v>
      </c>
      <c r="J22" s="244"/>
      <c r="K22" s="3" t="s">
        <v>664</v>
      </c>
      <c r="L22" s="67">
        <v>24066.559399999995</v>
      </c>
      <c r="N22" t="str">
        <f t="shared" si="9"/>
        <v>-</v>
      </c>
      <c r="O22" t="str">
        <f t="shared" si="5"/>
        <v>2015</v>
      </c>
      <c r="P22">
        <f>IFERROR(Q22+(MONTH(1&amp;LEFT(R22,3))&gt;='CY - Executive Summary'!$AM$2),0)</f>
        <v>0</v>
      </c>
      <c r="Q22" s="70" t="str">
        <f t="shared" si="11"/>
        <v/>
      </c>
      <c r="R22" t="str">
        <f t="shared" si="6"/>
        <v/>
      </c>
      <c r="S22" s="525" t="str">
        <f t="shared" si="7"/>
        <v/>
      </c>
      <c r="T22" s="550" t="str">
        <f t="shared" si="10"/>
        <v/>
      </c>
      <c r="U22" s="87" t="str">
        <f t="shared" si="8"/>
        <v/>
      </c>
      <c r="Y22" s="2">
        <v>2016</v>
      </c>
      <c r="Z22" s="71">
        <v>73530.444168725575</v>
      </c>
    </row>
    <row r="23" spans="1:26" x14ac:dyDescent="0.25">
      <c r="A23" s="2" t="s">
        <v>17</v>
      </c>
      <c r="B23" s="244">
        <v>294221254</v>
      </c>
      <c r="D23" s="244"/>
      <c r="E23" s="244" t="str">
        <f t="shared" si="0"/>
        <v>2016-Grand Total</v>
      </c>
      <c r="F23">
        <f t="shared" si="1"/>
        <v>2016</v>
      </c>
      <c r="G23" s="300">
        <f t="shared" si="2"/>
        <v>2016</v>
      </c>
      <c r="H23" t="str">
        <f t="shared" si="3"/>
        <v>Grand Total</v>
      </c>
      <c r="I23" s="88">
        <f t="shared" si="4"/>
        <v>294221254</v>
      </c>
      <c r="J23" s="244"/>
      <c r="K23" s="541" t="s">
        <v>12</v>
      </c>
      <c r="L23" s="67">
        <v>2786.5284999999999</v>
      </c>
      <c r="N23" t="str">
        <f t="shared" si="9"/>
        <v>2015-Jan</v>
      </c>
      <c r="O23" t="str">
        <f t="shared" si="5"/>
        <v>2015</v>
      </c>
      <c r="P23">
        <f>IFERROR(Q23+(MONTH(1&amp;LEFT(R23,3))&gt;='CY - Executive Summary'!$AM$2),0)</f>
        <v>2016</v>
      </c>
      <c r="Q23" s="70" t="str">
        <f t="shared" si="11"/>
        <v>2015</v>
      </c>
      <c r="R23" t="str">
        <f t="shared" si="6"/>
        <v>Jan</v>
      </c>
      <c r="S23" s="525">
        <f t="shared" si="7"/>
        <v>2786.5284999999999</v>
      </c>
      <c r="T23" s="550" t="e">
        <f t="shared" si="10"/>
        <v>#N/A</v>
      </c>
      <c r="U23" s="87" t="str">
        <f t="shared" si="8"/>
        <v/>
      </c>
      <c r="Y23" s="3" t="s">
        <v>664</v>
      </c>
      <c r="Z23" s="71">
        <v>73530.444168725575</v>
      </c>
    </row>
    <row r="24" spans="1:26" x14ac:dyDescent="0.25">
      <c r="D24" s="244"/>
      <c r="E24" s="244" t="str">
        <f t="shared" si="0"/>
        <v>2016-0</v>
      </c>
      <c r="F24">
        <f t="shared" si="1"/>
        <v>2016</v>
      </c>
      <c r="G24" s="300">
        <f t="shared" si="2"/>
        <v>2016</v>
      </c>
      <c r="H24">
        <f t="shared" si="3"/>
        <v>0</v>
      </c>
      <c r="I24" s="88">
        <f t="shared" si="4"/>
        <v>0</v>
      </c>
      <c r="J24" s="244"/>
      <c r="K24" s="541" t="s">
        <v>8</v>
      </c>
      <c r="L24" s="67">
        <v>3115.6649000000002</v>
      </c>
      <c r="N24" t="str">
        <f t="shared" si="9"/>
        <v>2015-Feb</v>
      </c>
      <c r="O24" t="str">
        <f t="shared" si="5"/>
        <v>2015</v>
      </c>
      <c r="P24">
        <f>IFERROR(Q24+(MONTH(1&amp;LEFT(R24,3))&gt;='CY - Executive Summary'!$AM$2),0)</f>
        <v>2016</v>
      </c>
      <c r="Q24" s="70" t="str">
        <f t="shared" si="11"/>
        <v>2015</v>
      </c>
      <c r="R24" t="str">
        <f t="shared" si="6"/>
        <v>Feb</v>
      </c>
      <c r="S24" s="525">
        <f t="shared" si="7"/>
        <v>3115.6649000000002</v>
      </c>
      <c r="T24" s="550">
        <f t="shared" si="10"/>
        <v>15491948</v>
      </c>
      <c r="U24" s="87">
        <f t="shared" si="8"/>
        <v>4972.2767040832914</v>
      </c>
      <c r="Y24" s="541" t="s">
        <v>12</v>
      </c>
      <c r="Z24" s="71">
        <v>0</v>
      </c>
    </row>
    <row r="25" spans="1:26" x14ac:dyDescent="0.25">
      <c r="D25" s="244"/>
      <c r="E25" s="244" t="str">
        <f t="shared" si="0"/>
        <v>-</v>
      </c>
      <c r="F25" t="str">
        <f t="shared" si="1"/>
        <v/>
      </c>
      <c r="G25" s="300" t="str">
        <f t="shared" si="2"/>
        <v/>
      </c>
      <c r="H25" t="str">
        <f t="shared" si="3"/>
        <v/>
      </c>
      <c r="I25" s="88" t="str">
        <f t="shared" si="4"/>
        <v/>
      </c>
      <c r="J25" s="244"/>
      <c r="K25" s="541" t="s">
        <v>10</v>
      </c>
      <c r="L25" s="67">
        <v>3241.1259</v>
      </c>
      <c r="N25" t="str">
        <f t="shared" si="9"/>
        <v>2015-Mar</v>
      </c>
      <c r="O25" t="str">
        <f t="shared" si="5"/>
        <v>2015</v>
      </c>
      <c r="P25">
        <f>IFERROR(Q25+(MONTH(1&amp;LEFT(R25,3))&gt;='CY - Executive Summary'!$AM$2),0)</f>
        <v>2016</v>
      </c>
      <c r="Q25" s="70" t="str">
        <f t="shared" si="11"/>
        <v>2015</v>
      </c>
      <c r="R25" t="str">
        <f t="shared" si="6"/>
        <v>Mar</v>
      </c>
      <c r="S25" s="525">
        <f t="shared" si="7"/>
        <v>3241.1259</v>
      </c>
      <c r="T25" s="550">
        <f t="shared" si="10"/>
        <v>30904773</v>
      </c>
      <c r="U25" s="87">
        <f t="shared" si="8"/>
        <v>9535.1967043304303</v>
      </c>
      <c r="Y25" s="541" t="s">
        <v>8</v>
      </c>
      <c r="Z25" s="71">
        <v>4972.2767040832914</v>
      </c>
    </row>
    <row r="26" spans="1:26" x14ac:dyDescent="0.25">
      <c r="D26" s="244"/>
      <c r="E26" s="244" t="str">
        <f t="shared" si="0"/>
        <v>-</v>
      </c>
      <c r="F26" t="str">
        <f t="shared" si="1"/>
        <v/>
      </c>
      <c r="G26" s="300" t="str">
        <f t="shared" si="2"/>
        <v/>
      </c>
      <c r="H26" t="str">
        <f t="shared" si="3"/>
        <v/>
      </c>
      <c r="I26" s="88" t="str">
        <f t="shared" si="4"/>
        <v/>
      </c>
      <c r="J26" s="244"/>
      <c r="K26" s="541" t="s">
        <v>5</v>
      </c>
      <c r="L26" s="67">
        <v>2474.5731999999998</v>
      </c>
      <c r="N26" t="str">
        <f t="shared" si="9"/>
        <v>2015-Apr</v>
      </c>
      <c r="O26" t="str">
        <f t="shared" si="5"/>
        <v>2015</v>
      </c>
      <c r="P26">
        <f>IFERROR(Q26+(MONTH(1&amp;LEFT(R26,3))&gt;='CY - Executive Summary'!$AM$2),0)</f>
        <v>2016</v>
      </c>
      <c r="Q26" s="70" t="str">
        <f t="shared" si="11"/>
        <v>2015</v>
      </c>
      <c r="R26" t="str">
        <f t="shared" si="6"/>
        <v>Apr</v>
      </c>
      <c r="S26" s="525">
        <f t="shared" si="7"/>
        <v>2474.5731999999998</v>
      </c>
      <c r="T26" s="550">
        <f t="shared" si="10"/>
        <v>26460562</v>
      </c>
      <c r="U26" s="87">
        <f t="shared" si="8"/>
        <v>10692.980106630106</v>
      </c>
      <c r="Y26" s="541" t="s">
        <v>10</v>
      </c>
      <c r="Z26" s="71">
        <v>9535.1967043304303</v>
      </c>
    </row>
    <row r="27" spans="1:26" x14ac:dyDescent="0.25">
      <c r="D27" s="244"/>
      <c r="E27" s="244" t="str">
        <f t="shared" si="0"/>
        <v>-</v>
      </c>
      <c r="F27" t="str">
        <f t="shared" si="1"/>
        <v/>
      </c>
      <c r="G27" s="300" t="str">
        <f t="shared" si="2"/>
        <v/>
      </c>
      <c r="H27" t="str">
        <f t="shared" si="3"/>
        <v/>
      </c>
      <c r="I27" s="88" t="str">
        <f t="shared" si="4"/>
        <v/>
      </c>
      <c r="J27" s="244"/>
      <c r="K27" s="541" t="s">
        <v>11</v>
      </c>
      <c r="L27" s="67">
        <v>3129.7665000000002</v>
      </c>
      <c r="N27" t="str">
        <f t="shared" si="9"/>
        <v>2015-May</v>
      </c>
      <c r="O27" t="str">
        <f t="shared" si="5"/>
        <v>2015</v>
      </c>
      <c r="P27">
        <f>IFERROR(Q27+(MONTH(1&amp;LEFT(R27,3))&gt;='CY - Executive Summary'!$AM$2),0)</f>
        <v>2016</v>
      </c>
      <c r="Q27" s="70" t="str">
        <f t="shared" si="11"/>
        <v>2015</v>
      </c>
      <c r="R27" t="str">
        <f t="shared" si="6"/>
        <v>May</v>
      </c>
      <c r="S27" s="525">
        <f t="shared" si="7"/>
        <v>3129.7665000000002</v>
      </c>
      <c r="T27" s="550">
        <f t="shared" si="10"/>
        <v>19456929</v>
      </c>
      <c r="U27" s="87">
        <f t="shared" si="8"/>
        <v>6216.7350184111174</v>
      </c>
      <c r="Y27" s="541" t="s">
        <v>5</v>
      </c>
      <c r="Z27" s="71">
        <v>10692.980106630106</v>
      </c>
    </row>
    <row r="28" spans="1:26" x14ac:dyDescent="0.25">
      <c r="D28" s="244"/>
      <c r="E28" s="244" t="str">
        <f t="shared" si="0"/>
        <v>-</v>
      </c>
      <c r="F28" t="str">
        <f t="shared" si="1"/>
        <v/>
      </c>
      <c r="G28" s="300" t="str">
        <f t="shared" si="2"/>
        <v/>
      </c>
      <c r="H28" t="str">
        <f t="shared" si="3"/>
        <v/>
      </c>
      <c r="I28" s="88" t="str">
        <f t="shared" si="4"/>
        <v/>
      </c>
      <c r="J28" s="244"/>
      <c r="K28" s="541" t="s">
        <v>13</v>
      </c>
      <c r="L28" s="67">
        <v>3162.5088999999998</v>
      </c>
      <c r="N28" t="str">
        <f t="shared" si="9"/>
        <v>2015-Jun</v>
      </c>
      <c r="O28" t="str">
        <f t="shared" si="5"/>
        <v>2015</v>
      </c>
      <c r="P28">
        <f>IFERROR(Q28+(MONTH(1&amp;LEFT(R28,3))&gt;='CY - Executive Summary'!$AM$2),0)</f>
        <v>2016</v>
      </c>
      <c r="Q28" s="70" t="str">
        <f t="shared" si="11"/>
        <v>2015</v>
      </c>
      <c r="R28" t="str">
        <f t="shared" si="6"/>
        <v>Jun</v>
      </c>
      <c r="S28" s="525">
        <f t="shared" si="7"/>
        <v>3162.5088999999998</v>
      </c>
      <c r="T28" s="550">
        <f t="shared" si="10"/>
        <v>20813105</v>
      </c>
      <c r="U28" s="87">
        <f t="shared" si="8"/>
        <v>6581.2004513252123</v>
      </c>
      <c r="Y28" s="541" t="s">
        <v>11</v>
      </c>
      <c r="Z28" s="71">
        <v>6216.7350184111174</v>
      </c>
    </row>
    <row r="29" spans="1:26" x14ac:dyDescent="0.25">
      <c r="D29" s="244"/>
      <c r="E29" s="244" t="str">
        <f t="shared" si="0"/>
        <v>-</v>
      </c>
      <c r="F29" t="str">
        <f t="shared" si="1"/>
        <v/>
      </c>
      <c r="G29" s="300" t="str">
        <f t="shared" si="2"/>
        <v/>
      </c>
      <c r="H29" t="str">
        <f t="shared" si="3"/>
        <v/>
      </c>
      <c r="I29" s="88" t="str">
        <f t="shared" si="4"/>
        <v/>
      </c>
      <c r="J29" s="244"/>
      <c r="K29" s="541" t="s">
        <v>14</v>
      </c>
      <c r="L29" s="67">
        <v>3243.0614999999998</v>
      </c>
      <c r="N29" t="str">
        <f t="shared" si="9"/>
        <v>2015-Jul</v>
      </c>
      <c r="O29" t="str">
        <f t="shared" si="5"/>
        <v>2015</v>
      </c>
      <c r="P29">
        <f>IFERROR(Q29+(MONTH(1&amp;LEFT(R29,3))&gt;='CY - Executive Summary'!$AM$2),0)</f>
        <v>2016</v>
      </c>
      <c r="Q29" s="70" t="str">
        <f t="shared" si="11"/>
        <v>2015</v>
      </c>
      <c r="R29" t="str">
        <f t="shared" si="6"/>
        <v>Jul</v>
      </c>
      <c r="S29" s="525">
        <f t="shared" si="7"/>
        <v>3243.0614999999998</v>
      </c>
      <c r="T29" s="550">
        <f t="shared" si="10"/>
        <v>32832337</v>
      </c>
      <c r="U29" s="87">
        <f t="shared" si="8"/>
        <v>10123.871224767092</v>
      </c>
      <c r="Y29" s="541" t="s">
        <v>13</v>
      </c>
      <c r="Z29" s="71">
        <v>6581.2004513252123</v>
      </c>
    </row>
    <row r="30" spans="1:26" x14ac:dyDescent="0.25">
      <c r="D30" s="244"/>
      <c r="E30" s="244" t="str">
        <f t="shared" si="0"/>
        <v>-</v>
      </c>
      <c r="F30" t="str">
        <f t="shared" si="1"/>
        <v/>
      </c>
      <c r="G30" s="300" t="str">
        <f t="shared" si="2"/>
        <v/>
      </c>
      <c r="H30" t="str">
        <f t="shared" si="3"/>
        <v/>
      </c>
      <c r="I30" s="88" t="str">
        <f t="shared" si="4"/>
        <v/>
      </c>
      <c r="J30" s="244"/>
      <c r="K30" s="541" t="s">
        <v>7</v>
      </c>
      <c r="L30" s="67">
        <v>2271.3180000000002</v>
      </c>
      <c r="N30" t="str">
        <f t="shared" si="9"/>
        <v>-</v>
      </c>
      <c r="O30" t="str">
        <f t="shared" si="5"/>
        <v>2015</v>
      </c>
      <c r="P30">
        <f>IFERROR(Q30+(MONTH(1&amp;LEFT(R30,3))&gt;='CY - Executive Summary'!$AM$2),0)</f>
        <v>1</v>
      </c>
      <c r="R30" t="str">
        <f t="shared" si="6"/>
        <v/>
      </c>
      <c r="S30" s="525" t="str">
        <f t="shared" si="7"/>
        <v/>
      </c>
      <c r="T30" s="550"/>
      <c r="U30" s="87" t="str">
        <f t="shared" si="8"/>
        <v/>
      </c>
      <c r="Y30" s="541" t="s">
        <v>14</v>
      </c>
      <c r="Z30" s="71">
        <v>10123.871224767092</v>
      </c>
    </row>
    <row r="31" spans="1:26" x14ac:dyDescent="0.25">
      <c r="E31" s="244" t="str">
        <f t="shared" si="0"/>
        <v>-</v>
      </c>
      <c r="F31" t="str">
        <f t="shared" si="1"/>
        <v/>
      </c>
      <c r="G31" s="300" t="str">
        <f t="shared" si="2"/>
        <v/>
      </c>
      <c r="H31" t="str">
        <f t="shared" si="3"/>
        <v/>
      </c>
      <c r="I31" s="88" t="str">
        <f t="shared" si="4"/>
        <v/>
      </c>
      <c r="K31" s="541" t="s">
        <v>15</v>
      </c>
      <c r="L31" s="67">
        <v>642.01199999999994</v>
      </c>
      <c r="N31" t="str">
        <f t="shared" si="9"/>
        <v>2015-Sep</v>
      </c>
      <c r="O31" t="str">
        <f t="shared" si="5"/>
        <v>2015</v>
      </c>
      <c r="P31">
        <f>IFERROR(Q31+(MONTH(1&amp;LEFT(R31,3))&gt;='CY - Executive Summary'!$AM$2),0)</f>
        <v>2016</v>
      </c>
      <c r="Q31" s="70" t="str">
        <f t="shared" si="11"/>
        <v>2015</v>
      </c>
      <c r="R31" t="str">
        <f t="shared" si="6"/>
        <v>Sep</v>
      </c>
      <c r="S31" s="525">
        <f t="shared" si="7"/>
        <v>642.01199999999994</v>
      </c>
      <c r="T31" s="550">
        <f t="shared" si="10"/>
        <v>16312359</v>
      </c>
      <c r="U31" s="87">
        <f t="shared" si="8"/>
        <v>25408.183959178335</v>
      </c>
      <c r="Y31" s="541" t="s">
        <v>15</v>
      </c>
      <c r="Z31" s="71">
        <v>25408.183959178335</v>
      </c>
    </row>
    <row r="32" spans="1:26" x14ac:dyDescent="0.25">
      <c r="E32" s="244" t="str">
        <f t="shared" si="0"/>
        <v>-</v>
      </c>
      <c r="F32" t="str">
        <f t="shared" si="1"/>
        <v/>
      </c>
      <c r="G32" s="300" t="str">
        <f t="shared" si="2"/>
        <v/>
      </c>
      <c r="H32" t="str">
        <f t="shared" si="3"/>
        <v/>
      </c>
      <c r="I32" s="88" t="str">
        <f t="shared" si="4"/>
        <v/>
      </c>
      <c r="K32" s="2" t="s">
        <v>243</v>
      </c>
      <c r="L32" s="67"/>
      <c r="N32" t="str">
        <f t="shared" si="9"/>
        <v>2015-(blank)</v>
      </c>
      <c r="O32" t="str">
        <f t="shared" si="5"/>
        <v>2015</v>
      </c>
      <c r="P32">
        <f>IFERROR(Q32+(MONTH(1&amp;LEFT(R32,3))&gt;='CY - Executive Summary'!$AM$2),0)</f>
        <v>0</v>
      </c>
      <c r="Q32" s="70" t="str">
        <f t="shared" si="11"/>
        <v>2015</v>
      </c>
      <c r="R32" t="str">
        <f t="shared" si="6"/>
        <v>(blank)</v>
      </c>
      <c r="S32" s="525">
        <f t="shared" si="7"/>
        <v>0</v>
      </c>
      <c r="T32" s="550" t="e">
        <f t="shared" si="10"/>
        <v>#N/A</v>
      </c>
      <c r="U32" s="87" t="str">
        <f t="shared" si="8"/>
        <v/>
      </c>
      <c r="Y32" s="2" t="s">
        <v>17</v>
      </c>
      <c r="Z32" s="71">
        <v>73530.444168725575</v>
      </c>
    </row>
    <row r="33" spans="5:21" x14ac:dyDescent="0.25">
      <c r="E33" s="244" t="str">
        <f t="shared" si="0"/>
        <v>-</v>
      </c>
      <c r="F33" t="str">
        <f t="shared" si="1"/>
        <v/>
      </c>
      <c r="G33" s="300" t="str">
        <f t="shared" si="2"/>
        <v/>
      </c>
      <c r="H33" t="str">
        <f t="shared" si="3"/>
        <v/>
      </c>
      <c r="I33" s="88" t="str">
        <f t="shared" si="4"/>
        <v/>
      </c>
      <c r="K33" s="3" t="s">
        <v>243</v>
      </c>
      <c r="L33" s="67"/>
      <c r="N33" t="str">
        <f t="shared" si="9"/>
        <v>2015-(blank)</v>
      </c>
      <c r="O33" t="str">
        <f t="shared" si="5"/>
        <v>2015</v>
      </c>
      <c r="P33">
        <f>IFERROR(Q33+(MONTH(1&amp;LEFT(R33,3))&gt;='CY - Executive Summary'!$AM$2),0)</f>
        <v>0</v>
      </c>
      <c r="Q33" s="70" t="str">
        <f t="shared" si="11"/>
        <v>2015</v>
      </c>
      <c r="R33" t="str">
        <f t="shared" si="6"/>
        <v>(blank)</v>
      </c>
      <c r="S33" s="525">
        <f t="shared" si="7"/>
        <v>0</v>
      </c>
      <c r="T33" s="550" t="e">
        <f t="shared" si="10"/>
        <v>#N/A</v>
      </c>
      <c r="U33" s="87" t="str">
        <f t="shared" si="8"/>
        <v/>
      </c>
    </row>
    <row r="34" spans="5:21" x14ac:dyDescent="0.25">
      <c r="E34" s="244" t="str">
        <f t="shared" si="0"/>
        <v>-</v>
      </c>
      <c r="F34" t="str">
        <f t="shared" si="1"/>
        <v/>
      </c>
      <c r="G34" s="300" t="str">
        <f t="shared" si="2"/>
        <v/>
      </c>
      <c r="H34" t="str">
        <f t="shared" si="3"/>
        <v/>
      </c>
      <c r="I34" s="88" t="str">
        <f t="shared" si="4"/>
        <v/>
      </c>
      <c r="K34" s="541" t="s">
        <v>243</v>
      </c>
      <c r="L34" s="67"/>
      <c r="N34" t="str">
        <f t="shared" si="9"/>
        <v>2015-(blank)</v>
      </c>
      <c r="O34" t="str">
        <f t="shared" si="5"/>
        <v>2015</v>
      </c>
      <c r="P34">
        <f>IFERROR(Q34+(MONTH(1&amp;LEFT(R34,3))&gt;='CY - Executive Summary'!$AM$2),0)</f>
        <v>0</v>
      </c>
      <c r="Q34" s="70" t="str">
        <f t="shared" si="11"/>
        <v>2015</v>
      </c>
      <c r="R34" t="str">
        <f t="shared" si="6"/>
        <v>(blank)</v>
      </c>
      <c r="S34" s="525">
        <f t="shared" si="7"/>
        <v>0</v>
      </c>
      <c r="T34" s="550" t="e">
        <f t="shared" si="10"/>
        <v>#N/A</v>
      </c>
      <c r="U34" s="87" t="str">
        <f t="shared" si="8"/>
        <v/>
      </c>
    </row>
    <row r="35" spans="5:21" x14ac:dyDescent="0.25">
      <c r="E35" s="244" t="str">
        <f t="shared" si="0"/>
        <v>-</v>
      </c>
      <c r="F35" t="str">
        <f t="shared" si="1"/>
        <v/>
      </c>
      <c r="G35" s="300" t="str">
        <f t="shared" si="2"/>
        <v/>
      </c>
      <c r="H35" t="str">
        <f t="shared" si="3"/>
        <v/>
      </c>
      <c r="I35" s="88" t="str">
        <f t="shared" si="4"/>
        <v/>
      </c>
      <c r="K35" s="2" t="s">
        <v>17</v>
      </c>
      <c r="L35" s="67">
        <v>38396.972600000001</v>
      </c>
      <c r="N35" t="str">
        <f t="shared" si="9"/>
        <v>-</v>
      </c>
      <c r="O35" t="str">
        <f t="shared" si="5"/>
        <v/>
      </c>
      <c r="P35">
        <f>IFERROR(Q35+(MONTH(1&amp;LEFT(R35,3))&gt;='CY - Executive Summary'!$AM$2),0)</f>
        <v>0</v>
      </c>
      <c r="Q35" s="70" t="str">
        <f t="shared" si="11"/>
        <v/>
      </c>
      <c r="R35" t="str">
        <f t="shared" si="6"/>
        <v/>
      </c>
      <c r="S35" s="525" t="str">
        <f t="shared" si="7"/>
        <v/>
      </c>
      <c r="T35" s="550" t="str">
        <f t="shared" si="10"/>
        <v/>
      </c>
      <c r="U35" s="87" t="str">
        <f t="shared" si="8"/>
        <v/>
      </c>
    </row>
    <row r="36" spans="5:21" x14ac:dyDescent="0.25">
      <c r="E36" s="244" t="str">
        <f t="shared" si="0"/>
        <v>-</v>
      </c>
      <c r="F36" t="str">
        <f t="shared" si="1"/>
        <v/>
      </c>
      <c r="G36" s="300" t="str">
        <f t="shared" si="2"/>
        <v/>
      </c>
      <c r="H36" t="str">
        <f t="shared" si="3"/>
        <v/>
      </c>
      <c r="I36" s="88" t="str">
        <f t="shared" si="4"/>
        <v/>
      </c>
      <c r="N36" t="str">
        <f t="shared" si="9"/>
        <v>-</v>
      </c>
      <c r="O36" t="str">
        <f t="shared" si="5"/>
        <v/>
      </c>
      <c r="Q36" s="70" t="str">
        <f t="shared" si="11"/>
        <v/>
      </c>
      <c r="R36" t="str">
        <f t="shared" si="6"/>
        <v/>
      </c>
      <c r="S36" s="525" t="str">
        <f t="shared" si="7"/>
        <v/>
      </c>
      <c r="T36" s="87" t="str">
        <f t="shared" si="10"/>
        <v/>
      </c>
      <c r="U36" s="87" t="str">
        <f t="shared" si="8"/>
        <v/>
      </c>
    </row>
    <row r="37" spans="5:21" x14ac:dyDescent="0.25">
      <c r="E37" s="244" t="str">
        <f t="shared" si="0"/>
        <v>-</v>
      </c>
      <c r="F37" t="str">
        <f t="shared" si="1"/>
        <v/>
      </c>
      <c r="G37" s="300" t="str">
        <f t="shared" si="2"/>
        <v/>
      </c>
      <c r="H37" t="str">
        <f t="shared" si="3"/>
        <v/>
      </c>
      <c r="I37" s="88" t="str">
        <f t="shared" si="4"/>
        <v/>
      </c>
      <c r="N37" t="str">
        <f t="shared" si="9"/>
        <v>-</v>
      </c>
      <c r="O37" t="str">
        <f t="shared" si="5"/>
        <v/>
      </c>
      <c r="Q37" s="70" t="str">
        <f t="shared" si="11"/>
        <v/>
      </c>
      <c r="R37" t="str">
        <f t="shared" si="6"/>
        <v/>
      </c>
      <c r="S37" s="525" t="str">
        <f t="shared" si="7"/>
        <v/>
      </c>
      <c r="T37" s="87" t="str">
        <f t="shared" si="10"/>
        <v/>
      </c>
      <c r="U37" s="87" t="str">
        <f t="shared" si="8"/>
        <v/>
      </c>
    </row>
    <row r="38" spans="5:21" x14ac:dyDescent="0.25">
      <c r="E38" s="244" t="str">
        <f t="shared" si="0"/>
        <v>-</v>
      </c>
      <c r="F38" t="str">
        <f t="shared" si="1"/>
        <v/>
      </c>
      <c r="G38" s="300" t="str">
        <f t="shared" si="2"/>
        <v/>
      </c>
      <c r="H38" t="str">
        <f t="shared" si="3"/>
        <v/>
      </c>
      <c r="I38" s="88" t="str">
        <f t="shared" si="4"/>
        <v/>
      </c>
      <c r="N38" t="str">
        <f t="shared" si="9"/>
        <v>-</v>
      </c>
      <c r="O38" t="str">
        <f t="shared" si="5"/>
        <v/>
      </c>
      <c r="Q38" s="70" t="str">
        <f t="shared" si="11"/>
        <v/>
      </c>
      <c r="R38" t="str">
        <f t="shared" si="6"/>
        <v/>
      </c>
      <c r="S38" s="525" t="str">
        <f t="shared" si="7"/>
        <v/>
      </c>
      <c r="T38" s="87" t="str">
        <f t="shared" si="10"/>
        <v/>
      </c>
      <c r="U38" s="87" t="str">
        <f t="shared" si="8"/>
        <v/>
      </c>
    </row>
    <row r="39" spans="5:21" x14ac:dyDescent="0.25">
      <c r="E39" s="244" t="str">
        <f t="shared" si="0"/>
        <v>-</v>
      </c>
      <c r="F39" t="str">
        <f t="shared" si="1"/>
        <v/>
      </c>
      <c r="G39" s="300" t="str">
        <f t="shared" si="2"/>
        <v/>
      </c>
      <c r="H39" t="str">
        <f t="shared" si="3"/>
        <v/>
      </c>
      <c r="I39" s="88" t="str">
        <f t="shared" si="4"/>
        <v/>
      </c>
      <c r="N39" t="str">
        <f t="shared" si="9"/>
        <v>-</v>
      </c>
      <c r="O39" t="str">
        <f t="shared" si="5"/>
        <v/>
      </c>
      <c r="Q39" s="70" t="str">
        <f t="shared" si="11"/>
        <v/>
      </c>
      <c r="R39" t="str">
        <f t="shared" si="6"/>
        <v/>
      </c>
      <c r="S39" s="525" t="str">
        <f t="shared" si="7"/>
        <v/>
      </c>
      <c r="T39" s="87" t="str">
        <f t="shared" si="10"/>
        <v/>
      </c>
      <c r="U39" s="87" t="str">
        <f t="shared" si="8"/>
        <v/>
      </c>
    </row>
    <row r="40" spans="5:21" x14ac:dyDescent="0.25">
      <c r="E40" s="244" t="str">
        <f t="shared" si="0"/>
        <v>-</v>
      </c>
      <c r="F40" t="str">
        <f t="shared" si="1"/>
        <v/>
      </c>
      <c r="G40" s="300" t="str">
        <f t="shared" si="2"/>
        <v/>
      </c>
      <c r="H40" t="str">
        <f t="shared" si="3"/>
        <v/>
      </c>
      <c r="I40" s="88" t="str">
        <f t="shared" si="4"/>
        <v/>
      </c>
      <c r="N40" t="str">
        <f t="shared" si="9"/>
        <v>-</v>
      </c>
      <c r="O40" t="str">
        <f t="shared" si="5"/>
        <v/>
      </c>
      <c r="Q40" s="70" t="str">
        <f t="shared" si="11"/>
        <v/>
      </c>
      <c r="R40" t="str">
        <f t="shared" si="6"/>
        <v/>
      </c>
      <c r="S40" s="525" t="str">
        <f t="shared" si="7"/>
        <v/>
      </c>
      <c r="T40" s="87" t="str">
        <f t="shared" si="10"/>
        <v/>
      </c>
      <c r="U40" s="87" t="str">
        <f t="shared" si="8"/>
        <v/>
      </c>
    </row>
    <row r="41" spans="5:21" x14ac:dyDescent="0.25">
      <c r="E41" s="244" t="str">
        <f t="shared" si="0"/>
        <v>-</v>
      </c>
      <c r="F41" t="str">
        <f t="shared" si="1"/>
        <v/>
      </c>
      <c r="G41" s="300" t="str">
        <f t="shared" si="2"/>
        <v/>
      </c>
      <c r="H41" t="str">
        <f t="shared" si="3"/>
        <v/>
      </c>
      <c r="I41" s="88" t="str">
        <f t="shared" si="4"/>
        <v/>
      </c>
      <c r="N41" t="str">
        <f t="shared" si="9"/>
        <v>-</v>
      </c>
      <c r="O41" t="str">
        <f t="shared" si="5"/>
        <v/>
      </c>
      <c r="Q41" s="70" t="str">
        <f t="shared" si="11"/>
        <v/>
      </c>
      <c r="R41" t="str">
        <f t="shared" si="6"/>
        <v/>
      </c>
      <c r="S41" s="525" t="str">
        <f t="shared" si="7"/>
        <v/>
      </c>
      <c r="T41" s="87" t="str">
        <f t="shared" si="10"/>
        <v/>
      </c>
      <c r="U41" s="87" t="str">
        <f t="shared" si="8"/>
        <v/>
      </c>
    </row>
    <row r="42" spans="5:21" x14ac:dyDescent="0.25">
      <c r="E42" s="244" t="str">
        <f t="shared" si="0"/>
        <v>-</v>
      </c>
      <c r="F42" t="str">
        <f t="shared" si="1"/>
        <v/>
      </c>
      <c r="G42" s="300" t="str">
        <f t="shared" si="2"/>
        <v/>
      </c>
      <c r="H42" t="str">
        <f t="shared" si="3"/>
        <v/>
      </c>
      <c r="I42" s="88" t="str">
        <f t="shared" si="4"/>
        <v/>
      </c>
      <c r="N42" t="str">
        <f t="shared" si="9"/>
        <v>-</v>
      </c>
      <c r="O42" t="str">
        <f t="shared" si="5"/>
        <v/>
      </c>
      <c r="Q42" s="70" t="str">
        <f t="shared" si="11"/>
        <v/>
      </c>
      <c r="R42" t="str">
        <f t="shared" si="6"/>
        <v/>
      </c>
      <c r="S42" s="525" t="str">
        <f t="shared" si="7"/>
        <v/>
      </c>
      <c r="T42" s="87" t="str">
        <f t="shared" si="10"/>
        <v/>
      </c>
      <c r="U42" s="87" t="str">
        <f t="shared" si="8"/>
        <v/>
      </c>
    </row>
    <row r="43" spans="5:21" x14ac:dyDescent="0.25">
      <c r="E43" s="244" t="str">
        <f t="shared" si="0"/>
        <v>-</v>
      </c>
      <c r="F43" t="str">
        <f t="shared" si="1"/>
        <v/>
      </c>
      <c r="G43" s="300" t="str">
        <f t="shared" si="2"/>
        <v/>
      </c>
      <c r="H43" t="str">
        <f t="shared" si="3"/>
        <v/>
      </c>
      <c r="I43" s="88" t="str">
        <f t="shared" si="4"/>
        <v/>
      </c>
      <c r="N43" t="str">
        <f t="shared" si="9"/>
        <v>-</v>
      </c>
      <c r="O43" t="str">
        <f t="shared" si="5"/>
        <v/>
      </c>
      <c r="Q43" s="70" t="str">
        <f t="shared" si="11"/>
        <v/>
      </c>
      <c r="R43" t="str">
        <f t="shared" si="6"/>
        <v/>
      </c>
      <c r="S43" s="525" t="str">
        <f t="shared" si="7"/>
        <v/>
      </c>
      <c r="T43" s="87" t="str">
        <f t="shared" si="10"/>
        <v/>
      </c>
      <c r="U43" s="87" t="str">
        <f t="shared" si="8"/>
        <v/>
      </c>
    </row>
    <row r="44" spans="5:21" x14ac:dyDescent="0.25">
      <c r="E44" s="244" t="str">
        <f t="shared" si="0"/>
        <v>-</v>
      </c>
      <c r="F44" t="str">
        <f t="shared" si="1"/>
        <v/>
      </c>
      <c r="G44" s="300" t="str">
        <f t="shared" si="2"/>
        <v/>
      </c>
      <c r="H44" t="str">
        <f t="shared" si="3"/>
        <v/>
      </c>
      <c r="I44" s="88" t="str">
        <f t="shared" si="4"/>
        <v/>
      </c>
      <c r="N44" t="str">
        <f t="shared" si="9"/>
        <v>-</v>
      </c>
      <c r="O44" t="str">
        <f t="shared" si="5"/>
        <v/>
      </c>
      <c r="Q44" s="70" t="str">
        <f t="shared" si="11"/>
        <v/>
      </c>
      <c r="R44" t="str">
        <f t="shared" si="6"/>
        <v/>
      </c>
      <c r="S44" s="525" t="str">
        <f t="shared" si="7"/>
        <v/>
      </c>
      <c r="T44" s="87" t="str">
        <f t="shared" si="10"/>
        <v/>
      </c>
      <c r="U44" s="87" t="str">
        <f t="shared" si="8"/>
        <v/>
      </c>
    </row>
    <row r="45" spans="5:21" x14ac:dyDescent="0.25">
      <c r="E45" s="244" t="str">
        <f t="shared" si="0"/>
        <v>-</v>
      </c>
      <c r="F45" t="str">
        <f t="shared" si="1"/>
        <v/>
      </c>
      <c r="G45" s="300" t="str">
        <f t="shared" si="2"/>
        <v/>
      </c>
      <c r="H45" t="str">
        <f t="shared" si="3"/>
        <v/>
      </c>
      <c r="I45" s="88" t="str">
        <f t="shared" si="4"/>
        <v/>
      </c>
      <c r="N45" t="str">
        <f t="shared" si="9"/>
        <v>-</v>
      </c>
      <c r="O45" t="str">
        <f t="shared" si="5"/>
        <v/>
      </c>
      <c r="Q45" s="70" t="str">
        <f t="shared" si="11"/>
        <v/>
      </c>
      <c r="R45" t="str">
        <f t="shared" si="6"/>
        <v/>
      </c>
      <c r="S45" s="525" t="str">
        <f t="shared" si="7"/>
        <v/>
      </c>
      <c r="T45" s="87" t="str">
        <f t="shared" si="10"/>
        <v/>
      </c>
      <c r="U45" s="87" t="str">
        <f t="shared" si="8"/>
        <v/>
      </c>
    </row>
    <row r="46" spans="5:21" x14ac:dyDescent="0.25">
      <c r="E46" s="244" t="str">
        <f t="shared" si="0"/>
        <v>-</v>
      </c>
      <c r="F46" t="str">
        <f t="shared" si="1"/>
        <v/>
      </c>
      <c r="G46" s="300" t="str">
        <f t="shared" si="2"/>
        <v/>
      </c>
      <c r="H46" t="str">
        <f t="shared" si="3"/>
        <v/>
      </c>
      <c r="I46" s="88" t="str">
        <f t="shared" si="4"/>
        <v/>
      </c>
      <c r="N46" t="str">
        <f t="shared" si="9"/>
        <v>-</v>
      </c>
      <c r="O46" t="str">
        <f t="shared" si="5"/>
        <v/>
      </c>
      <c r="Q46" s="70" t="str">
        <f t="shared" si="11"/>
        <v/>
      </c>
      <c r="R46" t="str">
        <f t="shared" si="6"/>
        <v/>
      </c>
      <c r="S46" s="525" t="str">
        <f t="shared" si="7"/>
        <v/>
      </c>
      <c r="T46" s="87" t="str">
        <f t="shared" si="10"/>
        <v/>
      </c>
      <c r="U46" s="87" t="str">
        <f t="shared" si="8"/>
        <v/>
      </c>
    </row>
    <row r="47" spans="5:21" x14ac:dyDescent="0.25">
      <c r="E47" s="244" t="str">
        <f t="shared" si="0"/>
        <v>-</v>
      </c>
      <c r="F47" t="str">
        <f t="shared" si="1"/>
        <v/>
      </c>
      <c r="G47" s="300" t="str">
        <f t="shared" si="2"/>
        <v/>
      </c>
      <c r="H47" t="str">
        <f t="shared" si="3"/>
        <v/>
      </c>
      <c r="I47" s="88" t="str">
        <f t="shared" si="4"/>
        <v/>
      </c>
      <c r="N47" t="str">
        <f t="shared" si="9"/>
        <v>-</v>
      </c>
      <c r="O47" t="str">
        <f t="shared" si="5"/>
        <v/>
      </c>
      <c r="Q47" s="70" t="str">
        <f t="shared" si="11"/>
        <v/>
      </c>
      <c r="R47" t="str">
        <f t="shared" si="6"/>
        <v/>
      </c>
      <c r="S47" s="525" t="str">
        <f t="shared" si="7"/>
        <v/>
      </c>
      <c r="T47" s="87" t="str">
        <f t="shared" si="10"/>
        <v/>
      </c>
      <c r="U47" s="87" t="str">
        <f t="shared" si="8"/>
        <v/>
      </c>
    </row>
    <row r="48" spans="5:21" x14ac:dyDescent="0.25">
      <c r="E48" s="244" t="str">
        <f t="shared" si="0"/>
        <v>-</v>
      </c>
      <c r="F48" t="str">
        <f t="shared" si="1"/>
        <v/>
      </c>
      <c r="G48" s="300" t="str">
        <f t="shared" si="2"/>
        <v/>
      </c>
      <c r="H48" t="str">
        <f t="shared" si="3"/>
        <v/>
      </c>
      <c r="I48" s="88" t="str">
        <f t="shared" si="4"/>
        <v/>
      </c>
      <c r="N48" t="str">
        <f t="shared" si="9"/>
        <v>-</v>
      </c>
      <c r="O48" t="str">
        <f t="shared" si="5"/>
        <v/>
      </c>
      <c r="Q48" s="70" t="str">
        <f t="shared" si="11"/>
        <v/>
      </c>
      <c r="R48" t="str">
        <f t="shared" si="6"/>
        <v/>
      </c>
      <c r="S48" s="525" t="str">
        <f t="shared" si="7"/>
        <v/>
      </c>
      <c r="T48" s="87" t="str">
        <f t="shared" si="10"/>
        <v/>
      </c>
      <c r="U48" s="87" t="str">
        <f t="shared" si="8"/>
        <v/>
      </c>
    </row>
    <row r="49" spans="5:21" x14ac:dyDescent="0.25">
      <c r="E49" s="244" t="str">
        <f t="shared" si="0"/>
        <v>-</v>
      </c>
      <c r="F49" t="str">
        <f t="shared" si="1"/>
        <v/>
      </c>
      <c r="G49" s="300" t="str">
        <f t="shared" si="2"/>
        <v/>
      </c>
      <c r="H49" t="str">
        <f t="shared" si="3"/>
        <v/>
      </c>
      <c r="I49" s="88" t="str">
        <f t="shared" si="4"/>
        <v/>
      </c>
      <c r="N49" t="str">
        <f t="shared" si="9"/>
        <v>-</v>
      </c>
      <c r="O49" t="str">
        <f t="shared" si="5"/>
        <v/>
      </c>
      <c r="Q49" s="70" t="str">
        <f t="shared" si="11"/>
        <v/>
      </c>
      <c r="R49" t="str">
        <f t="shared" si="6"/>
        <v/>
      </c>
      <c r="S49" s="525" t="str">
        <f t="shared" si="7"/>
        <v/>
      </c>
      <c r="T49" s="87" t="str">
        <f t="shared" si="10"/>
        <v/>
      </c>
      <c r="U49" s="87" t="str">
        <f t="shared" si="8"/>
        <v/>
      </c>
    </row>
    <row r="50" spans="5:21" x14ac:dyDescent="0.25">
      <c r="E50" s="244" t="str">
        <f t="shared" si="0"/>
        <v>-</v>
      </c>
      <c r="F50" t="str">
        <f t="shared" si="1"/>
        <v/>
      </c>
      <c r="G50" s="300" t="str">
        <f t="shared" si="2"/>
        <v/>
      </c>
      <c r="H50" t="str">
        <f t="shared" si="3"/>
        <v/>
      </c>
      <c r="I50" s="88" t="str">
        <f t="shared" si="4"/>
        <v/>
      </c>
      <c r="N50" t="str">
        <f t="shared" si="9"/>
        <v>-</v>
      </c>
      <c r="O50" t="str">
        <f t="shared" si="5"/>
        <v/>
      </c>
      <c r="Q50" s="70" t="str">
        <f t="shared" si="11"/>
        <v/>
      </c>
      <c r="R50" t="str">
        <f t="shared" si="6"/>
        <v/>
      </c>
      <c r="S50" s="525" t="str">
        <f t="shared" si="7"/>
        <v/>
      </c>
      <c r="T50" s="87" t="str">
        <f t="shared" si="10"/>
        <v/>
      </c>
      <c r="U50" s="87" t="str">
        <f t="shared" si="8"/>
        <v/>
      </c>
    </row>
    <row r="51" spans="5:21" x14ac:dyDescent="0.25">
      <c r="E51" s="244" t="str">
        <f t="shared" si="0"/>
        <v>-</v>
      </c>
      <c r="F51" t="str">
        <f t="shared" si="1"/>
        <v/>
      </c>
      <c r="G51" s="300" t="str">
        <f t="shared" si="2"/>
        <v/>
      </c>
      <c r="H51" t="str">
        <f t="shared" si="3"/>
        <v/>
      </c>
      <c r="I51" s="88" t="str">
        <f t="shared" si="4"/>
        <v/>
      </c>
      <c r="N51" t="str">
        <f t="shared" si="9"/>
        <v>-</v>
      </c>
      <c r="O51" t="str">
        <f t="shared" si="5"/>
        <v/>
      </c>
      <c r="Q51" s="70" t="str">
        <f t="shared" si="11"/>
        <v/>
      </c>
      <c r="R51" t="str">
        <f t="shared" si="6"/>
        <v/>
      </c>
      <c r="S51" s="525" t="str">
        <f t="shared" si="7"/>
        <v/>
      </c>
      <c r="T51" s="87" t="str">
        <f t="shared" si="10"/>
        <v/>
      </c>
      <c r="U51" s="87" t="str">
        <f t="shared" si="8"/>
        <v/>
      </c>
    </row>
    <row r="52" spans="5:21" x14ac:dyDescent="0.25">
      <c r="E52" s="244" t="str">
        <f t="shared" si="0"/>
        <v>-</v>
      </c>
      <c r="F52" t="str">
        <f t="shared" si="1"/>
        <v/>
      </c>
      <c r="G52" s="300" t="str">
        <f t="shared" si="2"/>
        <v/>
      </c>
      <c r="H52" t="str">
        <f t="shared" si="3"/>
        <v/>
      </c>
      <c r="I52" s="88" t="str">
        <f t="shared" si="4"/>
        <v/>
      </c>
      <c r="N52" t="str">
        <f t="shared" si="9"/>
        <v>-</v>
      </c>
      <c r="O52" t="str">
        <f t="shared" si="5"/>
        <v/>
      </c>
      <c r="Q52" s="70" t="str">
        <f t="shared" si="11"/>
        <v/>
      </c>
      <c r="R52" t="str">
        <f t="shared" si="6"/>
        <v/>
      </c>
      <c r="S52" s="525" t="str">
        <f t="shared" si="7"/>
        <v/>
      </c>
      <c r="T52" s="87" t="str">
        <f t="shared" si="10"/>
        <v/>
      </c>
      <c r="U52" s="87" t="str">
        <f t="shared" si="8"/>
        <v/>
      </c>
    </row>
    <row r="53" spans="5:21" x14ac:dyDescent="0.25">
      <c r="E53" s="244" t="str">
        <f t="shared" si="0"/>
        <v>-</v>
      </c>
      <c r="F53" t="str">
        <f t="shared" si="1"/>
        <v/>
      </c>
      <c r="G53" s="300" t="str">
        <f t="shared" si="2"/>
        <v/>
      </c>
      <c r="H53" t="str">
        <f t="shared" si="3"/>
        <v/>
      </c>
      <c r="I53" s="88" t="str">
        <f t="shared" si="4"/>
        <v/>
      </c>
      <c r="N53" t="str">
        <f t="shared" si="9"/>
        <v>-</v>
      </c>
      <c r="O53" t="str">
        <f t="shared" si="5"/>
        <v/>
      </c>
      <c r="Q53" s="70" t="str">
        <f t="shared" si="11"/>
        <v/>
      </c>
      <c r="R53" t="str">
        <f t="shared" si="6"/>
        <v/>
      </c>
      <c r="S53" s="525" t="str">
        <f t="shared" si="7"/>
        <v/>
      </c>
      <c r="T53" s="87" t="str">
        <f t="shared" si="10"/>
        <v/>
      </c>
      <c r="U53" s="87" t="str">
        <f t="shared" si="8"/>
        <v/>
      </c>
    </row>
    <row r="54" spans="5:21" x14ac:dyDescent="0.25">
      <c r="E54" s="244" t="str">
        <f t="shared" si="0"/>
        <v>-</v>
      </c>
      <c r="F54" t="str">
        <f t="shared" si="1"/>
        <v/>
      </c>
      <c r="G54" s="300" t="str">
        <f t="shared" si="2"/>
        <v/>
      </c>
      <c r="H54" t="str">
        <f t="shared" si="3"/>
        <v/>
      </c>
      <c r="I54" s="88" t="str">
        <f t="shared" si="4"/>
        <v/>
      </c>
      <c r="N54" t="str">
        <f t="shared" si="9"/>
        <v>-</v>
      </c>
      <c r="O54" t="str">
        <f t="shared" si="5"/>
        <v/>
      </c>
      <c r="Q54" s="70" t="str">
        <f t="shared" si="11"/>
        <v/>
      </c>
      <c r="R54" t="str">
        <f t="shared" si="6"/>
        <v/>
      </c>
      <c r="S54" s="525" t="str">
        <f t="shared" si="7"/>
        <v/>
      </c>
      <c r="T54" s="87" t="str">
        <f t="shared" si="10"/>
        <v/>
      </c>
      <c r="U54" s="87" t="str">
        <f t="shared" si="8"/>
        <v/>
      </c>
    </row>
    <row r="55" spans="5:21" x14ac:dyDescent="0.25">
      <c r="E55" s="244" t="str">
        <f t="shared" si="0"/>
        <v>-</v>
      </c>
      <c r="F55" t="str">
        <f t="shared" si="1"/>
        <v/>
      </c>
      <c r="G55" s="300" t="str">
        <f t="shared" si="2"/>
        <v/>
      </c>
      <c r="H55" t="str">
        <f t="shared" si="3"/>
        <v/>
      </c>
      <c r="I55" s="88" t="str">
        <f t="shared" si="4"/>
        <v/>
      </c>
      <c r="N55" t="str">
        <f t="shared" si="9"/>
        <v>-</v>
      </c>
      <c r="O55" t="str">
        <f t="shared" si="5"/>
        <v/>
      </c>
      <c r="Q55" s="70" t="str">
        <f t="shared" si="11"/>
        <v/>
      </c>
      <c r="R55" t="str">
        <f t="shared" si="6"/>
        <v/>
      </c>
      <c r="S55" s="525" t="str">
        <f t="shared" si="7"/>
        <v/>
      </c>
      <c r="T55" s="87" t="str">
        <f t="shared" si="10"/>
        <v/>
      </c>
      <c r="U55" s="87" t="str">
        <f t="shared" si="8"/>
        <v/>
      </c>
    </row>
    <row r="56" spans="5:21" x14ac:dyDescent="0.25">
      <c r="E56" s="244" t="str">
        <f t="shared" si="0"/>
        <v>-</v>
      </c>
      <c r="F56" t="str">
        <f t="shared" si="1"/>
        <v/>
      </c>
      <c r="G56" s="300" t="str">
        <f t="shared" si="2"/>
        <v/>
      </c>
      <c r="H56" t="str">
        <f t="shared" si="3"/>
        <v/>
      </c>
      <c r="I56" s="88" t="str">
        <f t="shared" si="4"/>
        <v/>
      </c>
      <c r="N56" t="str">
        <f t="shared" si="9"/>
        <v>-</v>
      </c>
      <c r="O56" t="str">
        <f t="shared" si="5"/>
        <v/>
      </c>
      <c r="Q56" s="70" t="str">
        <f t="shared" si="11"/>
        <v/>
      </c>
      <c r="R56" t="str">
        <f t="shared" si="6"/>
        <v/>
      </c>
      <c r="S56" s="525" t="str">
        <f t="shared" si="7"/>
        <v/>
      </c>
      <c r="T56" s="87" t="str">
        <f t="shared" si="10"/>
        <v/>
      </c>
      <c r="U56" s="87" t="str">
        <f t="shared" si="8"/>
        <v/>
      </c>
    </row>
    <row r="57" spans="5:21" x14ac:dyDescent="0.25">
      <c r="E57" s="244" t="str">
        <f t="shared" si="0"/>
        <v>-</v>
      </c>
      <c r="F57" t="str">
        <f t="shared" si="1"/>
        <v/>
      </c>
      <c r="G57" s="300" t="str">
        <f t="shared" si="2"/>
        <v/>
      </c>
      <c r="H57" t="str">
        <f t="shared" si="3"/>
        <v/>
      </c>
      <c r="I57" s="88" t="str">
        <f t="shared" si="4"/>
        <v/>
      </c>
      <c r="N57" t="str">
        <f t="shared" si="9"/>
        <v>-</v>
      </c>
      <c r="O57" t="str">
        <f t="shared" si="5"/>
        <v/>
      </c>
      <c r="Q57" s="70" t="str">
        <f t="shared" si="11"/>
        <v/>
      </c>
      <c r="R57" t="str">
        <f t="shared" si="6"/>
        <v/>
      </c>
      <c r="S57" s="525" t="str">
        <f t="shared" si="7"/>
        <v/>
      </c>
      <c r="T57" s="87" t="str">
        <f t="shared" si="10"/>
        <v/>
      </c>
      <c r="U57" s="87" t="str">
        <f t="shared" si="8"/>
        <v/>
      </c>
    </row>
    <row r="58" spans="5:21" x14ac:dyDescent="0.25">
      <c r="E58" s="244" t="str">
        <f t="shared" si="0"/>
        <v>-</v>
      </c>
      <c r="F58" t="str">
        <f t="shared" si="1"/>
        <v/>
      </c>
      <c r="G58" s="300" t="str">
        <f t="shared" si="2"/>
        <v/>
      </c>
      <c r="H58" t="str">
        <f t="shared" si="3"/>
        <v/>
      </c>
      <c r="I58" s="88" t="str">
        <f t="shared" si="4"/>
        <v/>
      </c>
      <c r="N58" t="str">
        <f t="shared" si="9"/>
        <v>-</v>
      </c>
      <c r="O58" t="str">
        <f t="shared" si="5"/>
        <v/>
      </c>
      <c r="Q58" s="70" t="str">
        <f t="shared" si="11"/>
        <v/>
      </c>
      <c r="R58" t="str">
        <f t="shared" si="6"/>
        <v/>
      </c>
      <c r="S58" s="525" t="str">
        <f t="shared" si="7"/>
        <v/>
      </c>
      <c r="T58" s="87" t="str">
        <f t="shared" si="10"/>
        <v/>
      </c>
      <c r="U58" s="87" t="str">
        <f t="shared" si="8"/>
        <v/>
      </c>
    </row>
    <row r="59" spans="5:21" x14ac:dyDescent="0.25">
      <c r="E59" s="244" t="str">
        <f t="shared" si="0"/>
        <v>-</v>
      </c>
      <c r="F59" t="str">
        <f t="shared" si="1"/>
        <v/>
      </c>
      <c r="G59" s="300" t="str">
        <f t="shared" si="2"/>
        <v/>
      </c>
      <c r="H59" t="str">
        <f t="shared" si="3"/>
        <v/>
      </c>
      <c r="I59" s="88" t="str">
        <f t="shared" si="4"/>
        <v/>
      </c>
      <c r="N59" t="str">
        <f t="shared" si="9"/>
        <v>-</v>
      </c>
      <c r="O59" t="str">
        <f t="shared" si="5"/>
        <v/>
      </c>
      <c r="Q59" s="70" t="str">
        <f t="shared" si="11"/>
        <v/>
      </c>
      <c r="R59" t="str">
        <f t="shared" si="6"/>
        <v/>
      </c>
      <c r="S59" s="525" t="str">
        <f t="shared" si="7"/>
        <v/>
      </c>
      <c r="T59" s="87" t="str">
        <f t="shared" si="10"/>
        <v/>
      </c>
      <c r="U59" s="87" t="str">
        <f t="shared" si="8"/>
        <v/>
      </c>
    </row>
    <row r="60" spans="5:21" x14ac:dyDescent="0.25">
      <c r="E60" s="244" t="str">
        <f t="shared" si="0"/>
        <v>-</v>
      </c>
      <c r="F60" t="str">
        <f t="shared" si="1"/>
        <v/>
      </c>
      <c r="G60" s="300" t="str">
        <f t="shared" si="2"/>
        <v/>
      </c>
      <c r="H60" t="str">
        <f t="shared" si="3"/>
        <v/>
      </c>
      <c r="I60" s="88" t="str">
        <f t="shared" si="4"/>
        <v/>
      </c>
      <c r="N60" t="str">
        <f t="shared" si="9"/>
        <v>-</v>
      </c>
      <c r="O60" t="str">
        <f t="shared" si="5"/>
        <v/>
      </c>
      <c r="Q60" s="70" t="str">
        <f t="shared" si="11"/>
        <v/>
      </c>
      <c r="R60" t="str">
        <f t="shared" si="6"/>
        <v/>
      </c>
      <c r="S60" s="525" t="str">
        <f t="shared" si="7"/>
        <v/>
      </c>
      <c r="T60" s="87" t="str">
        <f t="shared" si="10"/>
        <v/>
      </c>
      <c r="U60" s="87" t="str">
        <f t="shared" si="8"/>
        <v/>
      </c>
    </row>
    <row r="61" spans="5:21" x14ac:dyDescent="0.25">
      <c r="E61" s="244" t="str">
        <f t="shared" si="0"/>
        <v>-</v>
      </c>
      <c r="F61" t="str">
        <f t="shared" si="1"/>
        <v/>
      </c>
      <c r="G61" s="300" t="str">
        <f t="shared" si="2"/>
        <v/>
      </c>
      <c r="H61" t="str">
        <f t="shared" si="3"/>
        <v/>
      </c>
      <c r="I61" s="88" t="str">
        <f t="shared" si="4"/>
        <v/>
      </c>
      <c r="N61" t="str">
        <f t="shared" si="9"/>
        <v>-</v>
      </c>
      <c r="O61" t="str">
        <f t="shared" si="5"/>
        <v/>
      </c>
      <c r="Q61" s="70" t="str">
        <f t="shared" si="11"/>
        <v/>
      </c>
      <c r="R61" t="str">
        <f t="shared" si="6"/>
        <v/>
      </c>
      <c r="S61" s="525" t="str">
        <f t="shared" si="7"/>
        <v/>
      </c>
      <c r="T61" s="87" t="str">
        <f t="shared" si="10"/>
        <v/>
      </c>
      <c r="U61" s="87" t="str">
        <f t="shared" si="8"/>
        <v/>
      </c>
    </row>
    <row r="62" spans="5:21" x14ac:dyDescent="0.25">
      <c r="E62" s="244" t="str">
        <f t="shared" si="0"/>
        <v>-</v>
      </c>
      <c r="F62" t="str">
        <f t="shared" si="1"/>
        <v/>
      </c>
      <c r="G62" s="300" t="str">
        <f t="shared" si="2"/>
        <v/>
      </c>
      <c r="H62" t="str">
        <f t="shared" si="3"/>
        <v/>
      </c>
      <c r="I62" s="88" t="str">
        <f t="shared" si="4"/>
        <v/>
      </c>
      <c r="N62" t="str">
        <f t="shared" si="9"/>
        <v>-</v>
      </c>
      <c r="O62" t="str">
        <f t="shared" si="5"/>
        <v/>
      </c>
      <c r="Q62" s="70" t="str">
        <f t="shared" si="11"/>
        <v/>
      </c>
      <c r="R62" t="str">
        <f t="shared" si="6"/>
        <v/>
      </c>
      <c r="S62" s="525" t="str">
        <f t="shared" si="7"/>
        <v/>
      </c>
      <c r="T62" s="87" t="str">
        <f t="shared" si="10"/>
        <v/>
      </c>
      <c r="U62" s="87" t="str">
        <f t="shared" si="8"/>
        <v/>
      </c>
    </row>
    <row r="63" spans="5:21" x14ac:dyDescent="0.25">
      <c r="E63" s="244" t="str">
        <f t="shared" si="0"/>
        <v>-</v>
      </c>
      <c r="F63" t="str">
        <f t="shared" si="1"/>
        <v/>
      </c>
      <c r="G63" s="300" t="str">
        <f t="shared" si="2"/>
        <v/>
      </c>
      <c r="H63" t="str">
        <f t="shared" si="3"/>
        <v/>
      </c>
      <c r="I63" s="88" t="str">
        <f t="shared" si="4"/>
        <v/>
      </c>
      <c r="N63" t="str">
        <f t="shared" si="9"/>
        <v>-</v>
      </c>
      <c r="O63" t="str">
        <f t="shared" si="5"/>
        <v/>
      </c>
      <c r="Q63" s="70" t="str">
        <f t="shared" si="11"/>
        <v/>
      </c>
      <c r="R63" t="str">
        <f t="shared" si="6"/>
        <v/>
      </c>
      <c r="S63" s="525" t="str">
        <f t="shared" si="7"/>
        <v/>
      </c>
      <c r="T63" s="87" t="str">
        <f t="shared" si="10"/>
        <v/>
      </c>
      <c r="U63" s="87" t="str">
        <f t="shared" si="8"/>
        <v/>
      </c>
    </row>
    <row r="64" spans="5:21" x14ac:dyDescent="0.25">
      <c r="E64" s="244" t="str">
        <f t="shared" si="0"/>
        <v>-</v>
      </c>
      <c r="F64" t="str">
        <f t="shared" si="1"/>
        <v/>
      </c>
      <c r="G64" s="300" t="str">
        <f t="shared" si="2"/>
        <v/>
      </c>
      <c r="H64" t="str">
        <f t="shared" si="3"/>
        <v/>
      </c>
      <c r="I64" s="88" t="str">
        <f t="shared" si="4"/>
        <v/>
      </c>
      <c r="N64" t="str">
        <f t="shared" si="9"/>
        <v>-</v>
      </c>
      <c r="O64" t="str">
        <f t="shared" si="5"/>
        <v/>
      </c>
      <c r="Q64" s="70" t="str">
        <f t="shared" si="11"/>
        <v/>
      </c>
      <c r="R64" t="str">
        <f t="shared" si="6"/>
        <v/>
      </c>
      <c r="S64" s="525" t="str">
        <f t="shared" si="7"/>
        <v/>
      </c>
      <c r="T64" s="87" t="str">
        <f t="shared" si="10"/>
        <v/>
      </c>
      <c r="U64" s="87" t="str">
        <f t="shared" si="8"/>
        <v/>
      </c>
    </row>
    <row r="65" spans="5:21" x14ac:dyDescent="0.25">
      <c r="E65" s="244" t="str">
        <f t="shared" si="0"/>
        <v>-</v>
      </c>
      <c r="F65" t="str">
        <f t="shared" si="1"/>
        <v/>
      </c>
      <c r="G65" s="300" t="str">
        <f t="shared" si="2"/>
        <v/>
      </c>
      <c r="H65" t="str">
        <f t="shared" si="3"/>
        <v/>
      </c>
      <c r="I65" s="88" t="str">
        <f t="shared" si="4"/>
        <v/>
      </c>
      <c r="N65" t="str">
        <f t="shared" si="9"/>
        <v>-</v>
      </c>
      <c r="O65" t="str">
        <f t="shared" si="5"/>
        <v/>
      </c>
      <c r="Q65" s="70" t="str">
        <f t="shared" si="11"/>
        <v/>
      </c>
      <c r="R65" t="str">
        <f t="shared" si="6"/>
        <v/>
      </c>
      <c r="S65" s="525" t="str">
        <f t="shared" si="7"/>
        <v/>
      </c>
      <c r="T65" s="87" t="str">
        <f t="shared" si="10"/>
        <v/>
      </c>
      <c r="U65" s="87" t="str">
        <f t="shared" si="8"/>
        <v/>
      </c>
    </row>
    <row r="66" spans="5:21" x14ac:dyDescent="0.25">
      <c r="E66" s="244" t="str">
        <f t="shared" si="0"/>
        <v>-</v>
      </c>
      <c r="F66" t="str">
        <f t="shared" si="1"/>
        <v/>
      </c>
      <c r="G66" s="300" t="str">
        <f t="shared" si="2"/>
        <v/>
      </c>
      <c r="H66" t="str">
        <f t="shared" si="3"/>
        <v/>
      </c>
      <c r="I66" s="88" t="str">
        <f t="shared" si="4"/>
        <v/>
      </c>
      <c r="N66" t="str">
        <f t="shared" si="9"/>
        <v>-</v>
      </c>
      <c r="O66" t="str">
        <f t="shared" si="5"/>
        <v/>
      </c>
      <c r="Q66" s="70" t="str">
        <f t="shared" si="11"/>
        <v/>
      </c>
      <c r="R66" t="str">
        <f t="shared" si="6"/>
        <v/>
      </c>
      <c r="S66" s="525" t="str">
        <f t="shared" si="7"/>
        <v/>
      </c>
      <c r="T66" s="87" t="str">
        <f t="shared" si="10"/>
        <v/>
      </c>
      <c r="U66" s="87" t="str">
        <f t="shared" si="8"/>
        <v/>
      </c>
    </row>
    <row r="67" spans="5:21" x14ac:dyDescent="0.25">
      <c r="E67" s="244" t="str">
        <f t="shared" si="0"/>
        <v>-</v>
      </c>
      <c r="F67" t="str">
        <f t="shared" si="1"/>
        <v/>
      </c>
      <c r="G67" s="300" t="str">
        <f t="shared" si="2"/>
        <v/>
      </c>
      <c r="H67" t="str">
        <f t="shared" si="3"/>
        <v/>
      </c>
      <c r="I67" s="88" t="str">
        <f t="shared" si="4"/>
        <v/>
      </c>
      <c r="N67" t="str">
        <f t="shared" si="9"/>
        <v>-</v>
      </c>
      <c r="O67" t="str">
        <f t="shared" si="5"/>
        <v/>
      </c>
      <c r="Q67" s="70" t="str">
        <f t="shared" si="11"/>
        <v/>
      </c>
      <c r="R67" t="str">
        <f t="shared" si="6"/>
        <v/>
      </c>
      <c r="S67" s="525" t="str">
        <f t="shared" si="7"/>
        <v/>
      </c>
      <c r="T67" s="87" t="str">
        <f t="shared" si="10"/>
        <v/>
      </c>
      <c r="U67" s="87" t="str">
        <f t="shared" si="8"/>
        <v/>
      </c>
    </row>
    <row r="68" spans="5:21" x14ac:dyDescent="0.25">
      <c r="E68" s="244" t="str">
        <f t="shared" ref="E68:E131" si="12">G68&amp;"-"&amp;H68</f>
        <v>-</v>
      </c>
      <c r="F68" t="str">
        <f t="shared" si="1"/>
        <v/>
      </c>
      <c r="G68" s="300" t="str">
        <f t="shared" si="2"/>
        <v/>
      </c>
      <c r="H68" t="str">
        <f t="shared" si="3"/>
        <v/>
      </c>
      <c r="I68" s="88" t="str">
        <f t="shared" si="4"/>
        <v/>
      </c>
      <c r="N68" t="str">
        <f t="shared" si="9"/>
        <v>-</v>
      </c>
      <c r="O68" t="str">
        <f t="shared" si="5"/>
        <v/>
      </c>
      <c r="Q68" s="70" t="str">
        <f t="shared" si="11"/>
        <v/>
      </c>
      <c r="R68" t="str">
        <f t="shared" si="6"/>
        <v/>
      </c>
      <c r="S68" s="525" t="str">
        <f t="shared" si="7"/>
        <v/>
      </c>
      <c r="T68" s="87" t="str">
        <f t="shared" si="10"/>
        <v/>
      </c>
      <c r="U68" s="87" t="str">
        <f t="shared" si="8"/>
        <v/>
      </c>
    </row>
    <row r="69" spans="5:21" x14ac:dyDescent="0.25">
      <c r="E69" s="244" t="str">
        <f t="shared" si="12"/>
        <v>-</v>
      </c>
      <c r="F69" t="str">
        <f t="shared" ref="F69:F132" si="13">IF(A67="Grand Total","",IF(LEN(A67)=4,A67,IF(F68="","",F68)))</f>
        <v/>
      </c>
      <c r="G69" s="300" t="str">
        <f t="shared" ref="G69:G132" si="14">IF(F69=A69,"",F69)</f>
        <v/>
      </c>
      <c r="H69" t="str">
        <f t="shared" si="3"/>
        <v/>
      </c>
      <c r="I69" s="88" t="str">
        <f t="shared" si="4"/>
        <v/>
      </c>
      <c r="N69" t="str">
        <f t="shared" si="9"/>
        <v>-</v>
      </c>
      <c r="O69" t="str">
        <f t="shared" si="5"/>
        <v/>
      </c>
      <c r="Q69" s="70" t="str">
        <f t="shared" si="11"/>
        <v/>
      </c>
      <c r="R69" t="str">
        <f t="shared" si="6"/>
        <v/>
      </c>
      <c r="S69" s="525" t="str">
        <f t="shared" si="7"/>
        <v/>
      </c>
      <c r="T69" s="87" t="str">
        <f t="shared" si="10"/>
        <v/>
      </c>
      <c r="U69" s="87" t="str">
        <f t="shared" si="8"/>
        <v/>
      </c>
    </row>
    <row r="70" spans="5:21" x14ac:dyDescent="0.25">
      <c r="E70" s="244" t="str">
        <f t="shared" si="12"/>
        <v>-</v>
      </c>
      <c r="F70" t="str">
        <f t="shared" si="13"/>
        <v/>
      </c>
      <c r="G70" s="300" t="str">
        <f t="shared" si="14"/>
        <v/>
      </c>
      <c r="H70" t="str">
        <f t="shared" si="3"/>
        <v/>
      </c>
      <c r="I70" s="88" t="str">
        <f t="shared" si="4"/>
        <v/>
      </c>
      <c r="N70" t="str">
        <f t="shared" si="9"/>
        <v>-</v>
      </c>
      <c r="O70" t="str">
        <f t="shared" si="5"/>
        <v/>
      </c>
      <c r="Q70" s="70" t="str">
        <f t="shared" si="11"/>
        <v/>
      </c>
      <c r="R70" t="str">
        <f t="shared" si="6"/>
        <v/>
      </c>
      <c r="S70" s="525" t="str">
        <f t="shared" si="7"/>
        <v/>
      </c>
      <c r="T70" s="87" t="str">
        <f t="shared" si="10"/>
        <v/>
      </c>
      <c r="U70" s="87" t="str">
        <f t="shared" si="8"/>
        <v/>
      </c>
    </row>
    <row r="71" spans="5:21" x14ac:dyDescent="0.25">
      <c r="E71" s="244" t="str">
        <f t="shared" si="12"/>
        <v>-</v>
      </c>
      <c r="F71" t="str">
        <f t="shared" si="13"/>
        <v/>
      </c>
      <c r="G71" s="300" t="str">
        <f t="shared" si="14"/>
        <v/>
      </c>
      <c r="H71" t="str">
        <f t="shared" si="3"/>
        <v/>
      </c>
      <c r="I71" s="88" t="str">
        <f t="shared" si="4"/>
        <v/>
      </c>
      <c r="N71" t="str">
        <f t="shared" si="9"/>
        <v>-</v>
      </c>
      <c r="O71" t="str">
        <f t="shared" si="5"/>
        <v/>
      </c>
      <c r="Q71" s="70" t="str">
        <f t="shared" si="11"/>
        <v/>
      </c>
      <c r="R71" t="str">
        <f t="shared" si="6"/>
        <v/>
      </c>
      <c r="S71" s="525" t="str">
        <f t="shared" si="7"/>
        <v/>
      </c>
      <c r="T71" s="87" t="str">
        <f t="shared" si="10"/>
        <v/>
      </c>
      <c r="U71" s="87" t="str">
        <f t="shared" si="8"/>
        <v/>
      </c>
    </row>
    <row r="72" spans="5:21" x14ac:dyDescent="0.25">
      <c r="E72" s="244" t="str">
        <f t="shared" si="12"/>
        <v>-</v>
      </c>
      <c r="F72" t="str">
        <f t="shared" si="13"/>
        <v/>
      </c>
      <c r="G72" s="300" t="str">
        <f t="shared" si="14"/>
        <v/>
      </c>
      <c r="H72" t="str">
        <f t="shared" ref="H72:H135" si="15">IF(F72="","",IF(F72=G72,A72,""))</f>
        <v/>
      </c>
      <c r="I72" s="88" t="str">
        <f t="shared" ref="I72:I135" si="16">IF(H72="","",B72)</f>
        <v/>
      </c>
      <c r="N72" t="str">
        <f t="shared" si="9"/>
        <v>-</v>
      </c>
      <c r="O72" t="str">
        <f t="shared" si="5"/>
        <v/>
      </c>
      <c r="Q72" s="70" t="str">
        <f t="shared" si="11"/>
        <v/>
      </c>
      <c r="R72" t="str">
        <f t="shared" si="6"/>
        <v/>
      </c>
      <c r="S72" s="525" t="str">
        <f t="shared" si="7"/>
        <v/>
      </c>
      <c r="T72" s="87" t="str">
        <f t="shared" si="10"/>
        <v/>
      </c>
      <c r="U72" s="87" t="str">
        <f t="shared" si="8"/>
        <v/>
      </c>
    </row>
    <row r="73" spans="5:21" x14ac:dyDescent="0.25">
      <c r="E73" s="244" t="str">
        <f t="shared" si="12"/>
        <v>-</v>
      </c>
      <c r="F73" t="str">
        <f t="shared" si="13"/>
        <v/>
      </c>
      <c r="G73" s="300" t="str">
        <f t="shared" si="14"/>
        <v/>
      </c>
      <c r="H73" t="str">
        <f t="shared" si="15"/>
        <v/>
      </c>
      <c r="I73" s="88" t="str">
        <f t="shared" si="16"/>
        <v/>
      </c>
      <c r="N73" t="str">
        <f t="shared" si="9"/>
        <v>-</v>
      </c>
      <c r="O73" t="str">
        <f t="shared" si="5"/>
        <v/>
      </c>
      <c r="Q73" s="70" t="str">
        <f t="shared" si="11"/>
        <v/>
      </c>
      <c r="R73" t="str">
        <f t="shared" si="6"/>
        <v/>
      </c>
      <c r="S73" s="525" t="str">
        <f t="shared" si="7"/>
        <v/>
      </c>
      <c r="T73" s="87" t="str">
        <f t="shared" si="10"/>
        <v/>
      </c>
      <c r="U73" s="87" t="str">
        <f t="shared" si="8"/>
        <v/>
      </c>
    </row>
    <row r="74" spans="5:21" x14ac:dyDescent="0.25">
      <c r="E74" s="244" t="str">
        <f t="shared" si="12"/>
        <v>-</v>
      </c>
      <c r="F74" t="str">
        <f t="shared" si="13"/>
        <v/>
      </c>
      <c r="G74" s="300" t="str">
        <f t="shared" si="14"/>
        <v/>
      </c>
      <c r="H74" t="str">
        <f t="shared" si="15"/>
        <v/>
      </c>
      <c r="I74" s="88" t="str">
        <f t="shared" si="16"/>
        <v/>
      </c>
      <c r="N74" t="str">
        <f t="shared" si="9"/>
        <v>-</v>
      </c>
      <c r="O74" t="str">
        <f t="shared" si="5"/>
        <v/>
      </c>
      <c r="Q74" s="70" t="str">
        <f t="shared" si="11"/>
        <v/>
      </c>
      <c r="R74" t="str">
        <f t="shared" si="6"/>
        <v/>
      </c>
      <c r="S74" s="525" t="str">
        <f t="shared" si="7"/>
        <v/>
      </c>
      <c r="T74" s="87" t="str">
        <f t="shared" si="10"/>
        <v/>
      </c>
      <c r="U74" s="87" t="str">
        <f t="shared" si="8"/>
        <v/>
      </c>
    </row>
    <row r="75" spans="5:21" x14ac:dyDescent="0.25">
      <c r="E75" s="244" t="str">
        <f t="shared" si="12"/>
        <v>-</v>
      </c>
      <c r="F75" t="str">
        <f t="shared" si="13"/>
        <v/>
      </c>
      <c r="G75" s="300" t="str">
        <f t="shared" si="14"/>
        <v/>
      </c>
      <c r="H75" t="str">
        <f t="shared" si="15"/>
        <v/>
      </c>
      <c r="I75" s="88" t="str">
        <f t="shared" si="16"/>
        <v/>
      </c>
      <c r="N75" t="str">
        <f t="shared" si="9"/>
        <v>-</v>
      </c>
      <c r="O75" t="str">
        <f t="shared" si="5"/>
        <v/>
      </c>
      <c r="Q75" s="70" t="str">
        <f t="shared" si="11"/>
        <v/>
      </c>
      <c r="R75" t="str">
        <f t="shared" si="6"/>
        <v/>
      </c>
      <c r="S75" s="525" t="str">
        <f t="shared" si="7"/>
        <v/>
      </c>
      <c r="T75" s="87" t="str">
        <f t="shared" si="10"/>
        <v/>
      </c>
      <c r="U75" s="87" t="str">
        <f t="shared" si="8"/>
        <v/>
      </c>
    </row>
    <row r="76" spans="5:21" x14ac:dyDescent="0.25">
      <c r="E76" s="244" t="str">
        <f t="shared" si="12"/>
        <v>-</v>
      </c>
      <c r="F76" t="str">
        <f t="shared" si="13"/>
        <v/>
      </c>
      <c r="G76" s="300" t="str">
        <f t="shared" si="14"/>
        <v/>
      </c>
      <c r="H76" t="str">
        <f t="shared" si="15"/>
        <v/>
      </c>
      <c r="I76" s="88" t="str">
        <f t="shared" si="16"/>
        <v/>
      </c>
      <c r="N76" t="str">
        <f t="shared" si="9"/>
        <v>-</v>
      </c>
      <c r="O76" t="str">
        <f t="shared" si="5"/>
        <v/>
      </c>
      <c r="Q76" s="70" t="str">
        <f t="shared" si="11"/>
        <v/>
      </c>
      <c r="R76" t="str">
        <f t="shared" si="6"/>
        <v/>
      </c>
      <c r="S76" s="525" t="str">
        <f t="shared" si="7"/>
        <v/>
      </c>
      <c r="T76" s="87" t="str">
        <f t="shared" si="10"/>
        <v/>
      </c>
      <c r="U76" s="87" t="str">
        <f t="shared" si="8"/>
        <v/>
      </c>
    </row>
    <row r="77" spans="5:21" x14ac:dyDescent="0.25">
      <c r="E77" s="244" t="str">
        <f t="shared" si="12"/>
        <v>-</v>
      </c>
      <c r="F77" t="str">
        <f t="shared" si="13"/>
        <v/>
      </c>
      <c r="G77" s="300" t="str">
        <f t="shared" si="14"/>
        <v/>
      </c>
      <c r="H77" t="str">
        <f t="shared" si="15"/>
        <v/>
      </c>
      <c r="I77" s="88" t="str">
        <f t="shared" si="16"/>
        <v/>
      </c>
      <c r="N77" t="str">
        <f t="shared" si="9"/>
        <v>-</v>
      </c>
      <c r="O77" t="str">
        <f t="shared" si="5"/>
        <v/>
      </c>
      <c r="Q77" s="70" t="str">
        <f t="shared" si="11"/>
        <v/>
      </c>
      <c r="R77" t="str">
        <f t="shared" si="6"/>
        <v/>
      </c>
      <c r="S77" s="525" t="str">
        <f t="shared" si="7"/>
        <v/>
      </c>
      <c r="T77" s="87" t="str">
        <f t="shared" si="10"/>
        <v/>
      </c>
      <c r="U77" s="87" t="str">
        <f t="shared" si="8"/>
        <v/>
      </c>
    </row>
    <row r="78" spans="5:21" x14ac:dyDescent="0.25">
      <c r="E78" s="244" t="str">
        <f t="shared" si="12"/>
        <v>-</v>
      </c>
      <c r="F78" t="str">
        <f t="shared" si="13"/>
        <v/>
      </c>
      <c r="G78" s="300" t="str">
        <f t="shared" si="14"/>
        <v/>
      </c>
      <c r="H78" t="str">
        <f t="shared" si="15"/>
        <v/>
      </c>
      <c r="I78" s="88" t="str">
        <f t="shared" si="16"/>
        <v/>
      </c>
      <c r="N78" t="str">
        <f t="shared" si="9"/>
        <v>-</v>
      </c>
      <c r="O78" t="str">
        <f t="shared" ref="O78:O141" si="17">IF(K78="Grand Total","",IF(LEN(K78)=4,K78,IF(O77="","",O77)))</f>
        <v/>
      </c>
      <c r="Q78" s="70" t="str">
        <f t="shared" si="11"/>
        <v/>
      </c>
      <c r="R78" t="str">
        <f t="shared" si="6"/>
        <v/>
      </c>
      <c r="S78" s="525" t="str">
        <f t="shared" si="7"/>
        <v/>
      </c>
      <c r="T78" s="87" t="str">
        <f t="shared" si="10"/>
        <v/>
      </c>
      <c r="U78" s="87" t="str">
        <f t="shared" si="8"/>
        <v/>
      </c>
    </row>
    <row r="79" spans="5:21" x14ac:dyDescent="0.25">
      <c r="E79" s="244" t="str">
        <f t="shared" si="12"/>
        <v>-</v>
      </c>
      <c r="F79" t="str">
        <f t="shared" si="13"/>
        <v/>
      </c>
      <c r="G79" s="300" t="str">
        <f t="shared" si="14"/>
        <v/>
      </c>
      <c r="H79" t="str">
        <f t="shared" si="15"/>
        <v/>
      </c>
      <c r="I79" s="88" t="str">
        <f t="shared" si="16"/>
        <v/>
      </c>
      <c r="N79" t="str">
        <f t="shared" ref="N79:N142" si="18">Q79&amp;"-"&amp;R79</f>
        <v>-</v>
      </c>
      <c r="O79" t="str">
        <f t="shared" si="17"/>
        <v/>
      </c>
      <c r="Q79" s="70" t="str">
        <f t="shared" ref="Q79:Q142" si="19">IF(O79=K79,"",O79)</f>
        <v/>
      </c>
      <c r="R79" t="str">
        <f t="shared" ref="R79:R142" si="20">IF(O79="","",IF(O79=Q79,K79,""))</f>
        <v/>
      </c>
      <c r="S79" s="525" t="str">
        <f t="shared" ref="S79:S142" si="21">IF(R79="","",L79)</f>
        <v/>
      </c>
      <c r="T79" s="87" t="str">
        <f t="shared" ref="T79:T142" si="22">VLOOKUP(N79,$E$4:$I$566,5,FALSE)</f>
        <v/>
      </c>
      <c r="U79" s="87" t="str">
        <f t="shared" ref="U79:U142" si="23">IFERROR(T79/S79,"")</f>
        <v/>
      </c>
    </row>
    <row r="80" spans="5:21" x14ac:dyDescent="0.25">
      <c r="E80" s="244" t="str">
        <f t="shared" si="12"/>
        <v>-</v>
      </c>
      <c r="F80" t="str">
        <f t="shared" si="13"/>
        <v/>
      </c>
      <c r="G80" s="300" t="str">
        <f t="shared" si="14"/>
        <v/>
      </c>
      <c r="H80" t="str">
        <f t="shared" si="15"/>
        <v/>
      </c>
      <c r="I80" s="88" t="str">
        <f t="shared" si="16"/>
        <v/>
      </c>
      <c r="N80" t="str">
        <f t="shared" si="18"/>
        <v>-</v>
      </c>
      <c r="O80" t="str">
        <f t="shared" si="17"/>
        <v/>
      </c>
      <c r="Q80" s="70" t="str">
        <f t="shared" si="19"/>
        <v/>
      </c>
      <c r="R80" t="str">
        <f t="shared" si="20"/>
        <v/>
      </c>
      <c r="S80" s="525" t="str">
        <f t="shared" si="21"/>
        <v/>
      </c>
      <c r="T80" s="87" t="str">
        <f t="shared" si="22"/>
        <v/>
      </c>
      <c r="U80" s="87" t="str">
        <f t="shared" si="23"/>
        <v/>
      </c>
    </row>
    <row r="81" spans="5:21" x14ac:dyDescent="0.25">
      <c r="E81" s="244" t="str">
        <f t="shared" si="12"/>
        <v>-</v>
      </c>
      <c r="F81" t="str">
        <f t="shared" si="13"/>
        <v/>
      </c>
      <c r="G81" s="300" t="str">
        <f t="shared" si="14"/>
        <v/>
      </c>
      <c r="H81" t="str">
        <f t="shared" si="15"/>
        <v/>
      </c>
      <c r="I81" s="88" t="str">
        <f t="shared" si="16"/>
        <v/>
      </c>
      <c r="N81" t="str">
        <f t="shared" si="18"/>
        <v>-</v>
      </c>
      <c r="O81" t="str">
        <f t="shared" si="17"/>
        <v/>
      </c>
      <c r="Q81" s="70" t="str">
        <f t="shared" si="19"/>
        <v/>
      </c>
      <c r="R81" t="str">
        <f t="shared" si="20"/>
        <v/>
      </c>
      <c r="S81" s="525" t="str">
        <f t="shared" si="21"/>
        <v/>
      </c>
      <c r="T81" s="87" t="str">
        <f t="shared" si="22"/>
        <v/>
      </c>
      <c r="U81" s="87" t="str">
        <f t="shared" si="23"/>
        <v/>
      </c>
    </row>
    <row r="82" spans="5:21" x14ac:dyDescent="0.25">
      <c r="E82" s="244" t="str">
        <f t="shared" si="12"/>
        <v>-</v>
      </c>
      <c r="F82" t="str">
        <f t="shared" si="13"/>
        <v/>
      </c>
      <c r="G82" s="300" t="str">
        <f t="shared" si="14"/>
        <v/>
      </c>
      <c r="H82" t="str">
        <f t="shared" si="15"/>
        <v/>
      </c>
      <c r="I82" s="88" t="str">
        <f t="shared" si="16"/>
        <v/>
      </c>
      <c r="N82" t="str">
        <f t="shared" si="18"/>
        <v>-</v>
      </c>
      <c r="O82" t="str">
        <f t="shared" si="17"/>
        <v/>
      </c>
      <c r="Q82" s="70" t="str">
        <f t="shared" si="19"/>
        <v/>
      </c>
      <c r="R82" t="str">
        <f t="shared" si="20"/>
        <v/>
      </c>
      <c r="S82" s="525" t="str">
        <f t="shared" si="21"/>
        <v/>
      </c>
      <c r="T82" s="87" t="str">
        <f t="shared" si="22"/>
        <v/>
      </c>
      <c r="U82" s="87" t="str">
        <f t="shared" si="23"/>
        <v/>
      </c>
    </row>
    <row r="83" spans="5:21" x14ac:dyDescent="0.25">
      <c r="E83" s="244" t="str">
        <f t="shared" si="12"/>
        <v>-</v>
      </c>
      <c r="F83" t="str">
        <f t="shared" si="13"/>
        <v/>
      </c>
      <c r="G83" s="300" t="str">
        <f t="shared" si="14"/>
        <v/>
      </c>
      <c r="H83" t="str">
        <f t="shared" si="15"/>
        <v/>
      </c>
      <c r="I83" s="88" t="str">
        <f t="shared" si="16"/>
        <v/>
      </c>
      <c r="N83" t="str">
        <f t="shared" si="18"/>
        <v>-</v>
      </c>
      <c r="O83" t="str">
        <f t="shared" si="17"/>
        <v/>
      </c>
      <c r="Q83" s="70" t="str">
        <f t="shared" si="19"/>
        <v/>
      </c>
      <c r="R83" t="str">
        <f t="shared" si="20"/>
        <v/>
      </c>
      <c r="S83" s="525" t="str">
        <f t="shared" si="21"/>
        <v/>
      </c>
      <c r="T83" s="87" t="str">
        <f t="shared" si="22"/>
        <v/>
      </c>
      <c r="U83" s="87" t="str">
        <f t="shared" si="23"/>
        <v/>
      </c>
    </row>
    <row r="84" spans="5:21" x14ac:dyDescent="0.25">
      <c r="E84" s="244" t="str">
        <f t="shared" si="12"/>
        <v>-</v>
      </c>
      <c r="F84" t="str">
        <f t="shared" si="13"/>
        <v/>
      </c>
      <c r="G84" s="300" t="str">
        <f t="shared" si="14"/>
        <v/>
      </c>
      <c r="H84" t="str">
        <f t="shared" si="15"/>
        <v/>
      </c>
      <c r="I84" s="88" t="str">
        <f t="shared" si="16"/>
        <v/>
      </c>
      <c r="N84" t="str">
        <f t="shared" si="18"/>
        <v>-</v>
      </c>
      <c r="O84" t="str">
        <f t="shared" si="17"/>
        <v/>
      </c>
      <c r="Q84" s="70" t="str">
        <f t="shared" si="19"/>
        <v/>
      </c>
      <c r="R84" t="str">
        <f t="shared" si="20"/>
        <v/>
      </c>
      <c r="S84" s="525" t="str">
        <f t="shared" si="21"/>
        <v/>
      </c>
      <c r="T84" s="87" t="str">
        <f t="shared" si="22"/>
        <v/>
      </c>
      <c r="U84" s="87" t="str">
        <f t="shared" si="23"/>
        <v/>
      </c>
    </row>
    <row r="85" spans="5:21" x14ac:dyDescent="0.25">
      <c r="E85" s="244" t="str">
        <f t="shared" si="12"/>
        <v>-</v>
      </c>
      <c r="F85" t="str">
        <f t="shared" si="13"/>
        <v/>
      </c>
      <c r="G85" s="300" t="str">
        <f t="shared" si="14"/>
        <v/>
      </c>
      <c r="H85" t="str">
        <f t="shared" si="15"/>
        <v/>
      </c>
      <c r="I85" s="88" t="str">
        <f t="shared" si="16"/>
        <v/>
      </c>
      <c r="N85" t="str">
        <f t="shared" si="18"/>
        <v>-</v>
      </c>
      <c r="O85" t="str">
        <f t="shared" si="17"/>
        <v/>
      </c>
      <c r="Q85" s="70" t="str">
        <f t="shared" si="19"/>
        <v/>
      </c>
      <c r="R85" t="str">
        <f t="shared" si="20"/>
        <v/>
      </c>
      <c r="S85" s="525" t="str">
        <f t="shared" si="21"/>
        <v/>
      </c>
      <c r="T85" s="87" t="str">
        <f t="shared" si="22"/>
        <v/>
      </c>
      <c r="U85" s="87" t="str">
        <f t="shared" si="23"/>
        <v/>
      </c>
    </row>
    <row r="86" spans="5:21" x14ac:dyDescent="0.25">
      <c r="E86" s="244" t="str">
        <f t="shared" si="12"/>
        <v>-</v>
      </c>
      <c r="F86" t="str">
        <f t="shared" si="13"/>
        <v/>
      </c>
      <c r="G86" s="300" t="str">
        <f t="shared" si="14"/>
        <v/>
      </c>
      <c r="H86" t="str">
        <f t="shared" si="15"/>
        <v/>
      </c>
      <c r="I86" s="88" t="str">
        <f t="shared" si="16"/>
        <v/>
      </c>
      <c r="N86" t="str">
        <f t="shared" si="18"/>
        <v>-</v>
      </c>
      <c r="O86" t="str">
        <f t="shared" si="17"/>
        <v/>
      </c>
      <c r="Q86" s="70" t="str">
        <f t="shared" si="19"/>
        <v/>
      </c>
      <c r="R86" t="str">
        <f t="shared" si="20"/>
        <v/>
      </c>
      <c r="S86" s="525" t="str">
        <f t="shared" si="21"/>
        <v/>
      </c>
      <c r="T86" s="87" t="str">
        <f t="shared" si="22"/>
        <v/>
      </c>
      <c r="U86" s="87" t="str">
        <f t="shared" si="23"/>
        <v/>
      </c>
    </row>
    <row r="87" spans="5:21" x14ac:dyDescent="0.25">
      <c r="E87" s="244" t="str">
        <f t="shared" si="12"/>
        <v>-</v>
      </c>
      <c r="F87" t="str">
        <f t="shared" si="13"/>
        <v/>
      </c>
      <c r="G87" s="300" t="str">
        <f t="shared" si="14"/>
        <v/>
      </c>
      <c r="H87" t="str">
        <f t="shared" si="15"/>
        <v/>
      </c>
      <c r="I87" s="88" t="str">
        <f t="shared" si="16"/>
        <v/>
      </c>
      <c r="N87" t="str">
        <f t="shared" si="18"/>
        <v>-</v>
      </c>
      <c r="O87" t="str">
        <f t="shared" si="17"/>
        <v/>
      </c>
      <c r="Q87" s="70" t="str">
        <f t="shared" si="19"/>
        <v/>
      </c>
      <c r="R87" t="str">
        <f t="shared" si="20"/>
        <v/>
      </c>
      <c r="S87" s="525" t="str">
        <f t="shared" si="21"/>
        <v/>
      </c>
      <c r="T87" s="87" t="str">
        <f t="shared" si="22"/>
        <v/>
      </c>
      <c r="U87" s="87" t="str">
        <f t="shared" si="23"/>
        <v/>
      </c>
    </row>
    <row r="88" spans="5:21" x14ac:dyDescent="0.25">
      <c r="E88" s="244" t="str">
        <f t="shared" si="12"/>
        <v>-</v>
      </c>
      <c r="F88" t="str">
        <f t="shared" si="13"/>
        <v/>
      </c>
      <c r="G88" s="300" t="str">
        <f t="shared" si="14"/>
        <v/>
      </c>
      <c r="H88" t="str">
        <f t="shared" si="15"/>
        <v/>
      </c>
      <c r="I88" s="88" t="str">
        <f t="shared" si="16"/>
        <v/>
      </c>
      <c r="N88" t="str">
        <f t="shared" si="18"/>
        <v>-</v>
      </c>
      <c r="O88" t="str">
        <f t="shared" si="17"/>
        <v/>
      </c>
      <c r="Q88" s="70" t="str">
        <f t="shared" si="19"/>
        <v/>
      </c>
      <c r="R88" t="str">
        <f t="shared" si="20"/>
        <v/>
      </c>
      <c r="S88" s="525" t="str">
        <f t="shared" si="21"/>
        <v/>
      </c>
      <c r="T88" s="87" t="str">
        <f t="shared" si="22"/>
        <v/>
      </c>
      <c r="U88" s="87" t="str">
        <f t="shared" si="23"/>
        <v/>
      </c>
    </row>
    <row r="89" spans="5:21" x14ac:dyDescent="0.25">
      <c r="E89" s="244" t="str">
        <f t="shared" si="12"/>
        <v>-</v>
      </c>
      <c r="F89" t="str">
        <f t="shared" si="13"/>
        <v/>
      </c>
      <c r="G89" s="300" t="str">
        <f t="shared" si="14"/>
        <v/>
      </c>
      <c r="H89" t="str">
        <f t="shared" si="15"/>
        <v/>
      </c>
      <c r="I89" s="88" t="str">
        <f t="shared" si="16"/>
        <v/>
      </c>
      <c r="N89" t="str">
        <f t="shared" si="18"/>
        <v>-</v>
      </c>
      <c r="O89" t="str">
        <f t="shared" si="17"/>
        <v/>
      </c>
      <c r="Q89" s="70" t="str">
        <f t="shared" si="19"/>
        <v/>
      </c>
      <c r="R89" t="str">
        <f t="shared" si="20"/>
        <v/>
      </c>
      <c r="S89" s="525" t="str">
        <f t="shared" si="21"/>
        <v/>
      </c>
      <c r="T89" s="87" t="str">
        <f t="shared" si="22"/>
        <v/>
      </c>
      <c r="U89" s="87" t="str">
        <f t="shared" si="23"/>
        <v/>
      </c>
    </row>
    <row r="90" spans="5:21" x14ac:dyDescent="0.25">
      <c r="E90" s="244" t="str">
        <f t="shared" si="12"/>
        <v>-</v>
      </c>
      <c r="F90" t="str">
        <f t="shared" si="13"/>
        <v/>
      </c>
      <c r="G90" s="300" t="str">
        <f t="shared" si="14"/>
        <v/>
      </c>
      <c r="H90" t="str">
        <f t="shared" si="15"/>
        <v/>
      </c>
      <c r="I90" s="88" t="str">
        <f t="shared" si="16"/>
        <v/>
      </c>
      <c r="N90" t="str">
        <f t="shared" si="18"/>
        <v>-</v>
      </c>
      <c r="O90" t="str">
        <f t="shared" si="17"/>
        <v/>
      </c>
      <c r="Q90" s="70" t="str">
        <f t="shared" si="19"/>
        <v/>
      </c>
      <c r="R90" t="str">
        <f t="shared" si="20"/>
        <v/>
      </c>
      <c r="S90" s="525" t="str">
        <f t="shared" si="21"/>
        <v/>
      </c>
      <c r="T90" s="87" t="str">
        <f t="shared" si="22"/>
        <v/>
      </c>
      <c r="U90" s="87" t="str">
        <f t="shared" si="23"/>
        <v/>
      </c>
    </row>
    <row r="91" spans="5:21" x14ac:dyDescent="0.25">
      <c r="E91" s="244" t="str">
        <f t="shared" si="12"/>
        <v>-</v>
      </c>
      <c r="F91" t="str">
        <f t="shared" si="13"/>
        <v/>
      </c>
      <c r="G91" s="300" t="str">
        <f t="shared" si="14"/>
        <v/>
      </c>
      <c r="H91" t="str">
        <f t="shared" si="15"/>
        <v/>
      </c>
      <c r="I91" s="88" t="str">
        <f t="shared" si="16"/>
        <v/>
      </c>
      <c r="N91" t="str">
        <f t="shared" si="18"/>
        <v>-</v>
      </c>
      <c r="O91" t="str">
        <f t="shared" si="17"/>
        <v/>
      </c>
      <c r="Q91" s="70" t="str">
        <f t="shared" si="19"/>
        <v/>
      </c>
      <c r="R91" t="str">
        <f t="shared" si="20"/>
        <v/>
      </c>
      <c r="S91" s="525" t="str">
        <f t="shared" si="21"/>
        <v/>
      </c>
      <c r="T91" s="87" t="str">
        <f t="shared" si="22"/>
        <v/>
      </c>
      <c r="U91" s="87" t="str">
        <f t="shared" si="23"/>
        <v/>
      </c>
    </row>
    <row r="92" spans="5:21" x14ac:dyDescent="0.25">
      <c r="E92" s="244" t="str">
        <f t="shared" si="12"/>
        <v>-</v>
      </c>
      <c r="F92" t="str">
        <f t="shared" si="13"/>
        <v/>
      </c>
      <c r="G92" s="300" t="str">
        <f t="shared" si="14"/>
        <v/>
      </c>
      <c r="H92" t="str">
        <f t="shared" si="15"/>
        <v/>
      </c>
      <c r="I92" s="88" t="str">
        <f t="shared" si="16"/>
        <v/>
      </c>
      <c r="N92" t="str">
        <f t="shared" si="18"/>
        <v>-</v>
      </c>
      <c r="O92" t="str">
        <f t="shared" si="17"/>
        <v/>
      </c>
      <c r="Q92" s="70" t="str">
        <f t="shared" si="19"/>
        <v/>
      </c>
      <c r="R92" t="str">
        <f t="shared" si="20"/>
        <v/>
      </c>
      <c r="S92" s="525" t="str">
        <f t="shared" si="21"/>
        <v/>
      </c>
      <c r="T92" s="87" t="str">
        <f t="shared" si="22"/>
        <v/>
      </c>
      <c r="U92" s="87" t="str">
        <f t="shared" si="23"/>
        <v/>
      </c>
    </row>
    <row r="93" spans="5:21" x14ac:dyDescent="0.25">
      <c r="E93" s="244" t="str">
        <f t="shared" si="12"/>
        <v>-</v>
      </c>
      <c r="F93" t="str">
        <f t="shared" si="13"/>
        <v/>
      </c>
      <c r="G93" s="300" t="str">
        <f t="shared" si="14"/>
        <v/>
      </c>
      <c r="H93" t="str">
        <f t="shared" si="15"/>
        <v/>
      </c>
      <c r="I93" s="88" t="str">
        <f t="shared" si="16"/>
        <v/>
      </c>
      <c r="N93" t="str">
        <f t="shared" si="18"/>
        <v>-</v>
      </c>
      <c r="O93" t="str">
        <f t="shared" si="17"/>
        <v/>
      </c>
      <c r="Q93" s="70" t="str">
        <f t="shared" si="19"/>
        <v/>
      </c>
      <c r="R93" t="str">
        <f t="shared" si="20"/>
        <v/>
      </c>
      <c r="S93" s="525" t="str">
        <f t="shared" si="21"/>
        <v/>
      </c>
      <c r="T93" s="87" t="str">
        <f t="shared" si="22"/>
        <v/>
      </c>
      <c r="U93" s="87" t="str">
        <f t="shared" si="23"/>
        <v/>
      </c>
    </row>
    <row r="94" spans="5:21" x14ac:dyDescent="0.25">
      <c r="E94" s="244" t="str">
        <f t="shared" si="12"/>
        <v>-</v>
      </c>
      <c r="F94" t="str">
        <f t="shared" si="13"/>
        <v/>
      </c>
      <c r="G94" s="300" t="str">
        <f t="shared" si="14"/>
        <v/>
      </c>
      <c r="H94" t="str">
        <f t="shared" si="15"/>
        <v/>
      </c>
      <c r="I94" s="88" t="str">
        <f t="shared" si="16"/>
        <v/>
      </c>
      <c r="N94" t="str">
        <f t="shared" si="18"/>
        <v>-</v>
      </c>
      <c r="O94" t="str">
        <f t="shared" si="17"/>
        <v/>
      </c>
      <c r="Q94" s="70" t="str">
        <f t="shared" si="19"/>
        <v/>
      </c>
      <c r="R94" t="str">
        <f t="shared" si="20"/>
        <v/>
      </c>
      <c r="S94" s="525" t="str">
        <f t="shared" si="21"/>
        <v/>
      </c>
      <c r="T94" s="87" t="str">
        <f t="shared" si="22"/>
        <v/>
      </c>
      <c r="U94" s="87" t="str">
        <f t="shared" si="23"/>
        <v/>
      </c>
    </row>
    <row r="95" spans="5:21" x14ac:dyDescent="0.25">
      <c r="E95" s="244" t="str">
        <f t="shared" si="12"/>
        <v>-</v>
      </c>
      <c r="F95" t="str">
        <f t="shared" si="13"/>
        <v/>
      </c>
      <c r="G95" s="300" t="str">
        <f t="shared" si="14"/>
        <v/>
      </c>
      <c r="H95" t="str">
        <f t="shared" si="15"/>
        <v/>
      </c>
      <c r="I95" s="88" t="str">
        <f t="shared" si="16"/>
        <v/>
      </c>
      <c r="N95" t="str">
        <f t="shared" si="18"/>
        <v>-</v>
      </c>
      <c r="O95" t="str">
        <f t="shared" si="17"/>
        <v/>
      </c>
      <c r="Q95" s="70" t="str">
        <f t="shared" si="19"/>
        <v/>
      </c>
      <c r="R95" t="str">
        <f t="shared" si="20"/>
        <v/>
      </c>
      <c r="S95" s="525" t="str">
        <f t="shared" si="21"/>
        <v/>
      </c>
      <c r="T95" s="87" t="str">
        <f t="shared" si="22"/>
        <v/>
      </c>
      <c r="U95" s="87" t="str">
        <f t="shared" si="23"/>
        <v/>
      </c>
    </row>
    <row r="96" spans="5:21" x14ac:dyDescent="0.25">
      <c r="E96" s="244" t="str">
        <f t="shared" si="12"/>
        <v>-</v>
      </c>
      <c r="F96" t="str">
        <f t="shared" si="13"/>
        <v/>
      </c>
      <c r="G96" s="300" t="str">
        <f t="shared" si="14"/>
        <v/>
      </c>
      <c r="H96" t="str">
        <f t="shared" si="15"/>
        <v/>
      </c>
      <c r="I96" s="88" t="str">
        <f t="shared" si="16"/>
        <v/>
      </c>
      <c r="N96" t="str">
        <f t="shared" si="18"/>
        <v>-</v>
      </c>
      <c r="O96" t="str">
        <f t="shared" si="17"/>
        <v/>
      </c>
      <c r="Q96" s="70" t="str">
        <f t="shared" si="19"/>
        <v/>
      </c>
      <c r="R96" t="str">
        <f t="shared" si="20"/>
        <v/>
      </c>
      <c r="S96" s="525" t="str">
        <f t="shared" si="21"/>
        <v/>
      </c>
      <c r="T96" s="87" t="str">
        <f t="shared" si="22"/>
        <v/>
      </c>
      <c r="U96" s="87" t="str">
        <f t="shared" si="23"/>
        <v/>
      </c>
    </row>
    <row r="97" spans="5:21" x14ac:dyDescent="0.25">
      <c r="E97" s="244" t="str">
        <f t="shared" si="12"/>
        <v>-</v>
      </c>
      <c r="F97" t="str">
        <f t="shared" si="13"/>
        <v/>
      </c>
      <c r="G97" s="300" t="str">
        <f t="shared" si="14"/>
        <v/>
      </c>
      <c r="H97" t="str">
        <f t="shared" si="15"/>
        <v/>
      </c>
      <c r="I97" s="88" t="str">
        <f t="shared" si="16"/>
        <v/>
      </c>
      <c r="N97" t="str">
        <f t="shared" si="18"/>
        <v>-</v>
      </c>
      <c r="O97" t="str">
        <f t="shared" si="17"/>
        <v/>
      </c>
      <c r="Q97" s="70" t="str">
        <f t="shared" si="19"/>
        <v/>
      </c>
      <c r="R97" t="str">
        <f t="shared" si="20"/>
        <v/>
      </c>
      <c r="S97" s="525" t="str">
        <f t="shared" si="21"/>
        <v/>
      </c>
      <c r="T97" s="87" t="str">
        <f t="shared" si="22"/>
        <v/>
      </c>
      <c r="U97" s="87" t="str">
        <f t="shared" si="23"/>
        <v/>
      </c>
    </row>
    <row r="98" spans="5:21" x14ac:dyDescent="0.25">
      <c r="E98" s="244" t="str">
        <f t="shared" si="12"/>
        <v>-</v>
      </c>
      <c r="F98" t="str">
        <f t="shared" si="13"/>
        <v/>
      </c>
      <c r="G98" s="300" t="str">
        <f t="shared" si="14"/>
        <v/>
      </c>
      <c r="H98" t="str">
        <f t="shared" si="15"/>
        <v/>
      </c>
      <c r="I98" s="88" t="str">
        <f t="shared" si="16"/>
        <v/>
      </c>
      <c r="N98" t="str">
        <f t="shared" si="18"/>
        <v>-</v>
      </c>
      <c r="O98" t="str">
        <f t="shared" si="17"/>
        <v/>
      </c>
      <c r="Q98" s="70" t="str">
        <f t="shared" si="19"/>
        <v/>
      </c>
      <c r="R98" t="str">
        <f t="shared" si="20"/>
        <v/>
      </c>
      <c r="S98" s="525" t="str">
        <f t="shared" si="21"/>
        <v/>
      </c>
      <c r="T98" s="87" t="str">
        <f t="shared" si="22"/>
        <v/>
      </c>
      <c r="U98" s="87" t="str">
        <f t="shared" si="23"/>
        <v/>
      </c>
    </row>
    <row r="99" spans="5:21" x14ac:dyDescent="0.25">
      <c r="E99" s="244" t="str">
        <f t="shared" si="12"/>
        <v>-</v>
      </c>
      <c r="F99" t="str">
        <f t="shared" si="13"/>
        <v/>
      </c>
      <c r="G99" s="300" t="str">
        <f t="shared" si="14"/>
        <v/>
      </c>
      <c r="H99" t="str">
        <f t="shared" si="15"/>
        <v/>
      </c>
      <c r="I99" s="88" t="str">
        <f t="shared" si="16"/>
        <v/>
      </c>
      <c r="N99" t="str">
        <f t="shared" si="18"/>
        <v>-</v>
      </c>
      <c r="O99" t="str">
        <f t="shared" si="17"/>
        <v/>
      </c>
      <c r="Q99" s="70" t="str">
        <f t="shared" si="19"/>
        <v/>
      </c>
      <c r="R99" t="str">
        <f t="shared" si="20"/>
        <v/>
      </c>
      <c r="S99" s="525" t="str">
        <f t="shared" si="21"/>
        <v/>
      </c>
      <c r="T99" s="87" t="str">
        <f t="shared" si="22"/>
        <v/>
      </c>
      <c r="U99" s="87" t="str">
        <f t="shared" si="23"/>
        <v/>
      </c>
    </row>
    <row r="100" spans="5:21" x14ac:dyDescent="0.25">
      <c r="E100" s="244" t="str">
        <f t="shared" si="12"/>
        <v>-</v>
      </c>
      <c r="F100" t="str">
        <f t="shared" si="13"/>
        <v/>
      </c>
      <c r="G100" s="300" t="str">
        <f t="shared" si="14"/>
        <v/>
      </c>
      <c r="H100" t="str">
        <f t="shared" si="15"/>
        <v/>
      </c>
      <c r="I100" s="88" t="str">
        <f t="shared" si="16"/>
        <v/>
      </c>
      <c r="N100" t="str">
        <f t="shared" si="18"/>
        <v>-</v>
      </c>
      <c r="O100" t="str">
        <f t="shared" si="17"/>
        <v/>
      </c>
      <c r="Q100" s="70" t="str">
        <f t="shared" si="19"/>
        <v/>
      </c>
      <c r="R100" t="str">
        <f t="shared" si="20"/>
        <v/>
      </c>
      <c r="S100" s="525" t="str">
        <f t="shared" si="21"/>
        <v/>
      </c>
      <c r="T100" s="87" t="str">
        <f t="shared" si="22"/>
        <v/>
      </c>
      <c r="U100" s="87" t="str">
        <f t="shared" si="23"/>
        <v/>
      </c>
    </row>
    <row r="101" spans="5:21" x14ac:dyDescent="0.25">
      <c r="E101" s="244" t="str">
        <f t="shared" si="12"/>
        <v>-</v>
      </c>
      <c r="F101" t="str">
        <f t="shared" si="13"/>
        <v/>
      </c>
      <c r="G101" s="300" t="str">
        <f t="shared" si="14"/>
        <v/>
      </c>
      <c r="H101" t="str">
        <f t="shared" si="15"/>
        <v/>
      </c>
      <c r="I101" s="88" t="str">
        <f t="shared" si="16"/>
        <v/>
      </c>
      <c r="N101" t="str">
        <f t="shared" si="18"/>
        <v>-</v>
      </c>
      <c r="O101" t="str">
        <f t="shared" si="17"/>
        <v/>
      </c>
      <c r="Q101" s="70" t="str">
        <f t="shared" si="19"/>
        <v/>
      </c>
      <c r="R101" t="str">
        <f t="shared" si="20"/>
        <v/>
      </c>
      <c r="S101" s="525" t="str">
        <f t="shared" si="21"/>
        <v/>
      </c>
      <c r="T101" s="87" t="str">
        <f t="shared" si="22"/>
        <v/>
      </c>
      <c r="U101" s="87" t="str">
        <f t="shared" si="23"/>
        <v/>
      </c>
    </row>
    <row r="102" spans="5:21" x14ac:dyDescent="0.25">
      <c r="E102" s="244" t="str">
        <f t="shared" si="12"/>
        <v>-</v>
      </c>
      <c r="F102" t="str">
        <f t="shared" si="13"/>
        <v/>
      </c>
      <c r="G102" s="300" t="str">
        <f t="shared" si="14"/>
        <v/>
      </c>
      <c r="H102" t="str">
        <f t="shared" si="15"/>
        <v/>
      </c>
      <c r="I102" s="88" t="str">
        <f t="shared" si="16"/>
        <v/>
      </c>
      <c r="N102" t="str">
        <f t="shared" si="18"/>
        <v>-</v>
      </c>
      <c r="O102" t="str">
        <f t="shared" si="17"/>
        <v/>
      </c>
      <c r="Q102" s="70" t="str">
        <f t="shared" si="19"/>
        <v/>
      </c>
      <c r="R102" t="str">
        <f t="shared" si="20"/>
        <v/>
      </c>
      <c r="S102" s="525" t="str">
        <f t="shared" si="21"/>
        <v/>
      </c>
      <c r="T102" s="87" t="str">
        <f t="shared" si="22"/>
        <v/>
      </c>
      <c r="U102" s="87" t="str">
        <f t="shared" si="23"/>
        <v/>
      </c>
    </row>
    <row r="103" spans="5:21" x14ac:dyDescent="0.25">
      <c r="E103" s="244" t="str">
        <f t="shared" si="12"/>
        <v>-</v>
      </c>
      <c r="F103" t="str">
        <f t="shared" si="13"/>
        <v/>
      </c>
      <c r="G103" s="300" t="str">
        <f t="shared" si="14"/>
        <v/>
      </c>
      <c r="H103" t="str">
        <f t="shared" si="15"/>
        <v/>
      </c>
      <c r="I103" s="88" t="str">
        <f t="shared" si="16"/>
        <v/>
      </c>
      <c r="N103" t="str">
        <f t="shared" si="18"/>
        <v>-</v>
      </c>
      <c r="O103" t="str">
        <f t="shared" si="17"/>
        <v/>
      </c>
      <c r="Q103" s="70" t="str">
        <f t="shared" si="19"/>
        <v/>
      </c>
      <c r="R103" t="str">
        <f t="shared" si="20"/>
        <v/>
      </c>
      <c r="S103" s="525" t="str">
        <f t="shared" si="21"/>
        <v/>
      </c>
      <c r="T103" s="87" t="str">
        <f t="shared" si="22"/>
        <v/>
      </c>
      <c r="U103" s="87" t="str">
        <f t="shared" si="23"/>
        <v/>
      </c>
    </row>
    <row r="104" spans="5:21" x14ac:dyDescent="0.25">
      <c r="E104" s="244" t="str">
        <f t="shared" si="12"/>
        <v>-</v>
      </c>
      <c r="F104" t="str">
        <f t="shared" si="13"/>
        <v/>
      </c>
      <c r="G104" s="300" t="str">
        <f t="shared" si="14"/>
        <v/>
      </c>
      <c r="H104" t="str">
        <f t="shared" si="15"/>
        <v/>
      </c>
      <c r="I104" s="88" t="str">
        <f t="shared" si="16"/>
        <v/>
      </c>
      <c r="N104" t="str">
        <f t="shared" si="18"/>
        <v>-</v>
      </c>
      <c r="O104" t="str">
        <f t="shared" si="17"/>
        <v/>
      </c>
      <c r="Q104" s="70" t="str">
        <f t="shared" si="19"/>
        <v/>
      </c>
      <c r="R104" t="str">
        <f t="shared" si="20"/>
        <v/>
      </c>
      <c r="S104" s="525" t="str">
        <f t="shared" si="21"/>
        <v/>
      </c>
      <c r="T104" s="87" t="str">
        <f t="shared" si="22"/>
        <v/>
      </c>
      <c r="U104" s="87" t="str">
        <f t="shared" si="23"/>
        <v/>
      </c>
    </row>
    <row r="105" spans="5:21" x14ac:dyDescent="0.25">
      <c r="E105" s="244" t="str">
        <f t="shared" si="12"/>
        <v>-</v>
      </c>
      <c r="F105" t="str">
        <f t="shared" si="13"/>
        <v/>
      </c>
      <c r="G105" s="300" t="str">
        <f t="shared" si="14"/>
        <v/>
      </c>
      <c r="H105" t="str">
        <f t="shared" si="15"/>
        <v/>
      </c>
      <c r="I105" s="88" t="str">
        <f t="shared" si="16"/>
        <v/>
      </c>
      <c r="N105" t="str">
        <f t="shared" si="18"/>
        <v>-</v>
      </c>
      <c r="O105" t="str">
        <f t="shared" si="17"/>
        <v/>
      </c>
      <c r="Q105" s="70" t="str">
        <f t="shared" si="19"/>
        <v/>
      </c>
      <c r="R105" t="str">
        <f t="shared" si="20"/>
        <v/>
      </c>
      <c r="S105" s="525" t="str">
        <f t="shared" si="21"/>
        <v/>
      </c>
      <c r="T105" s="87" t="str">
        <f t="shared" si="22"/>
        <v/>
      </c>
      <c r="U105" s="87" t="str">
        <f t="shared" si="23"/>
        <v/>
      </c>
    </row>
    <row r="106" spans="5:21" x14ac:dyDescent="0.25">
      <c r="E106" s="244" t="str">
        <f t="shared" si="12"/>
        <v>-</v>
      </c>
      <c r="F106" t="str">
        <f t="shared" si="13"/>
        <v/>
      </c>
      <c r="G106" s="300" t="str">
        <f t="shared" si="14"/>
        <v/>
      </c>
      <c r="H106" t="str">
        <f t="shared" si="15"/>
        <v/>
      </c>
      <c r="I106" s="88" t="str">
        <f t="shared" si="16"/>
        <v/>
      </c>
      <c r="N106" t="str">
        <f t="shared" si="18"/>
        <v>-</v>
      </c>
      <c r="O106" t="str">
        <f t="shared" si="17"/>
        <v/>
      </c>
      <c r="Q106" s="70" t="str">
        <f t="shared" si="19"/>
        <v/>
      </c>
      <c r="R106" t="str">
        <f t="shared" si="20"/>
        <v/>
      </c>
      <c r="S106" s="525" t="str">
        <f t="shared" si="21"/>
        <v/>
      </c>
      <c r="T106" s="87" t="str">
        <f t="shared" si="22"/>
        <v/>
      </c>
      <c r="U106" s="87" t="str">
        <f t="shared" si="23"/>
        <v/>
      </c>
    </row>
    <row r="107" spans="5:21" x14ac:dyDescent="0.25">
      <c r="E107" s="244" t="str">
        <f t="shared" si="12"/>
        <v>-</v>
      </c>
      <c r="F107" t="str">
        <f t="shared" si="13"/>
        <v/>
      </c>
      <c r="G107" s="300" t="str">
        <f t="shared" si="14"/>
        <v/>
      </c>
      <c r="H107" t="str">
        <f t="shared" si="15"/>
        <v/>
      </c>
      <c r="I107" s="88" t="str">
        <f t="shared" si="16"/>
        <v/>
      </c>
      <c r="N107" t="str">
        <f t="shared" si="18"/>
        <v>-</v>
      </c>
      <c r="O107" t="str">
        <f t="shared" si="17"/>
        <v/>
      </c>
      <c r="Q107" s="70" t="str">
        <f t="shared" si="19"/>
        <v/>
      </c>
      <c r="R107" t="str">
        <f t="shared" si="20"/>
        <v/>
      </c>
      <c r="S107" s="525" t="str">
        <f t="shared" si="21"/>
        <v/>
      </c>
      <c r="T107" s="87" t="str">
        <f t="shared" si="22"/>
        <v/>
      </c>
      <c r="U107" s="87" t="str">
        <f t="shared" si="23"/>
        <v/>
      </c>
    </row>
    <row r="108" spans="5:21" x14ac:dyDescent="0.25">
      <c r="E108" s="244" t="str">
        <f t="shared" si="12"/>
        <v>-</v>
      </c>
      <c r="F108" t="str">
        <f t="shared" si="13"/>
        <v/>
      </c>
      <c r="G108" s="300" t="str">
        <f t="shared" si="14"/>
        <v/>
      </c>
      <c r="H108" t="str">
        <f t="shared" si="15"/>
        <v/>
      </c>
      <c r="I108" s="88" t="str">
        <f t="shared" si="16"/>
        <v/>
      </c>
      <c r="N108" t="str">
        <f t="shared" si="18"/>
        <v>-</v>
      </c>
      <c r="O108" t="str">
        <f t="shared" si="17"/>
        <v/>
      </c>
      <c r="Q108" s="70" t="str">
        <f t="shared" si="19"/>
        <v/>
      </c>
      <c r="R108" t="str">
        <f t="shared" si="20"/>
        <v/>
      </c>
      <c r="S108" s="525" t="str">
        <f t="shared" si="21"/>
        <v/>
      </c>
      <c r="T108" s="87" t="str">
        <f t="shared" si="22"/>
        <v/>
      </c>
      <c r="U108" s="87" t="str">
        <f t="shared" si="23"/>
        <v/>
      </c>
    </row>
    <row r="109" spans="5:21" x14ac:dyDescent="0.25">
      <c r="E109" s="244" t="str">
        <f t="shared" si="12"/>
        <v>-</v>
      </c>
      <c r="F109" t="str">
        <f t="shared" si="13"/>
        <v/>
      </c>
      <c r="G109" s="300" t="str">
        <f t="shared" si="14"/>
        <v/>
      </c>
      <c r="H109" t="str">
        <f t="shared" si="15"/>
        <v/>
      </c>
      <c r="I109" s="88" t="str">
        <f t="shared" si="16"/>
        <v/>
      </c>
      <c r="N109" t="str">
        <f t="shared" si="18"/>
        <v>-</v>
      </c>
      <c r="O109" t="str">
        <f t="shared" si="17"/>
        <v/>
      </c>
      <c r="Q109" s="70" t="str">
        <f t="shared" si="19"/>
        <v/>
      </c>
      <c r="R109" t="str">
        <f t="shared" si="20"/>
        <v/>
      </c>
      <c r="S109" s="525" t="str">
        <f t="shared" si="21"/>
        <v/>
      </c>
      <c r="T109" s="87" t="str">
        <f t="shared" si="22"/>
        <v/>
      </c>
      <c r="U109" s="87" t="str">
        <f t="shared" si="23"/>
        <v/>
      </c>
    </row>
    <row r="110" spans="5:21" x14ac:dyDescent="0.25">
      <c r="E110" s="244" t="str">
        <f t="shared" si="12"/>
        <v>-</v>
      </c>
      <c r="F110" t="str">
        <f t="shared" si="13"/>
        <v/>
      </c>
      <c r="G110" s="300" t="str">
        <f t="shared" si="14"/>
        <v/>
      </c>
      <c r="H110" t="str">
        <f t="shared" si="15"/>
        <v/>
      </c>
      <c r="I110" s="88" t="str">
        <f t="shared" si="16"/>
        <v/>
      </c>
      <c r="N110" t="str">
        <f t="shared" si="18"/>
        <v>-</v>
      </c>
      <c r="O110" t="str">
        <f t="shared" si="17"/>
        <v/>
      </c>
      <c r="Q110" s="70" t="str">
        <f t="shared" si="19"/>
        <v/>
      </c>
      <c r="R110" t="str">
        <f t="shared" si="20"/>
        <v/>
      </c>
      <c r="S110" s="525" t="str">
        <f t="shared" si="21"/>
        <v/>
      </c>
      <c r="T110" s="87" t="str">
        <f t="shared" si="22"/>
        <v/>
      </c>
      <c r="U110" s="87" t="str">
        <f t="shared" si="23"/>
        <v/>
      </c>
    </row>
    <row r="111" spans="5:21" x14ac:dyDescent="0.25">
      <c r="E111" s="244" t="str">
        <f t="shared" si="12"/>
        <v>-</v>
      </c>
      <c r="F111" t="str">
        <f t="shared" si="13"/>
        <v/>
      </c>
      <c r="G111" s="300" t="str">
        <f t="shared" si="14"/>
        <v/>
      </c>
      <c r="H111" t="str">
        <f t="shared" si="15"/>
        <v/>
      </c>
      <c r="I111" s="88" t="str">
        <f t="shared" si="16"/>
        <v/>
      </c>
      <c r="N111" t="str">
        <f t="shared" si="18"/>
        <v>-</v>
      </c>
      <c r="O111" t="str">
        <f t="shared" si="17"/>
        <v/>
      </c>
      <c r="Q111" s="70" t="str">
        <f t="shared" si="19"/>
        <v/>
      </c>
      <c r="R111" t="str">
        <f t="shared" si="20"/>
        <v/>
      </c>
      <c r="S111" s="525" t="str">
        <f t="shared" si="21"/>
        <v/>
      </c>
      <c r="T111" s="87" t="str">
        <f t="shared" si="22"/>
        <v/>
      </c>
      <c r="U111" s="87" t="str">
        <f t="shared" si="23"/>
        <v/>
      </c>
    </row>
    <row r="112" spans="5:21" x14ac:dyDescent="0.25">
      <c r="E112" s="244" t="str">
        <f t="shared" si="12"/>
        <v>-</v>
      </c>
      <c r="F112" t="str">
        <f t="shared" si="13"/>
        <v/>
      </c>
      <c r="G112" s="300" t="str">
        <f t="shared" si="14"/>
        <v/>
      </c>
      <c r="H112" t="str">
        <f t="shared" si="15"/>
        <v/>
      </c>
      <c r="I112" s="88" t="str">
        <f t="shared" si="16"/>
        <v/>
      </c>
      <c r="N112" t="str">
        <f t="shared" si="18"/>
        <v>-</v>
      </c>
      <c r="O112" t="str">
        <f t="shared" si="17"/>
        <v/>
      </c>
      <c r="Q112" s="70" t="str">
        <f t="shared" si="19"/>
        <v/>
      </c>
      <c r="R112" t="str">
        <f t="shared" si="20"/>
        <v/>
      </c>
      <c r="S112" s="525" t="str">
        <f t="shared" si="21"/>
        <v/>
      </c>
      <c r="T112" s="87" t="str">
        <f t="shared" si="22"/>
        <v/>
      </c>
      <c r="U112" s="87" t="str">
        <f t="shared" si="23"/>
        <v/>
      </c>
    </row>
    <row r="113" spans="5:21" x14ac:dyDescent="0.25">
      <c r="E113" s="244" t="str">
        <f t="shared" si="12"/>
        <v>-</v>
      </c>
      <c r="F113" t="str">
        <f t="shared" si="13"/>
        <v/>
      </c>
      <c r="G113" s="300" t="str">
        <f t="shared" si="14"/>
        <v/>
      </c>
      <c r="H113" t="str">
        <f t="shared" si="15"/>
        <v/>
      </c>
      <c r="I113" s="88" t="str">
        <f t="shared" si="16"/>
        <v/>
      </c>
      <c r="N113" t="str">
        <f t="shared" si="18"/>
        <v>-</v>
      </c>
      <c r="O113" t="str">
        <f t="shared" si="17"/>
        <v/>
      </c>
      <c r="Q113" s="70" t="str">
        <f t="shared" si="19"/>
        <v/>
      </c>
      <c r="R113" t="str">
        <f t="shared" si="20"/>
        <v/>
      </c>
      <c r="S113" s="525" t="str">
        <f t="shared" si="21"/>
        <v/>
      </c>
      <c r="T113" s="87" t="str">
        <f t="shared" si="22"/>
        <v/>
      </c>
      <c r="U113" s="87" t="str">
        <f t="shared" si="23"/>
        <v/>
      </c>
    </row>
    <row r="114" spans="5:21" x14ac:dyDescent="0.25">
      <c r="E114" s="244" t="str">
        <f t="shared" si="12"/>
        <v>-</v>
      </c>
      <c r="F114" t="str">
        <f t="shared" si="13"/>
        <v/>
      </c>
      <c r="G114" s="300" t="str">
        <f t="shared" si="14"/>
        <v/>
      </c>
      <c r="H114" t="str">
        <f t="shared" si="15"/>
        <v/>
      </c>
      <c r="I114" s="88" t="str">
        <f t="shared" si="16"/>
        <v/>
      </c>
      <c r="N114" t="str">
        <f t="shared" si="18"/>
        <v>-</v>
      </c>
      <c r="O114" t="str">
        <f t="shared" si="17"/>
        <v/>
      </c>
      <c r="Q114" s="70" t="str">
        <f t="shared" si="19"/>
        <v/>
      </c>
      <c r="R114" t="str">
        <f t="shared" si="20"/>
        <v/>
      </c>
      <c r="S114" s="525" t="str">
        <f t="shared" si="21"/>
        <v/>
      </c>
      <c r="T114" s="87" t="str">
        <f t="shared" si="22"/>
        <v/>
      </c>
      <c r="U114" s="87" t="str">
        <f t="shared" si="23"/>
        <v/>
      </c>
    </row>
    <row r="115" spans="5:21" x14ac:dyDescent="0.25">
      <c r="E115" s="244" t="str">
        <f t="shared" si="12"/>
        <v>-</v>
      </c>
      <c r="F115" t="str">
        <f t="shared" si="13"/>
        <v/>
      </c>
      <c r="G115" s="300" t="str">
        <f t="shared" si="14"/>
        <v/>
      </c>
      <c r="H115" t="str">
        <f t="shared" si="15"/>
        <v/>
      </c>
      <c r="I115" s="88" t="str">
        <f t="shared" si="16"/>
        <v/>
      </c>
      <c r="N115" t="str">
        <f t="shared" si="18"/>
        <v>-</v>
      </c>
      <c r="O115" t="str">
        <f t="shared" si="17"/>
        <v/>
      </c>
      <c r="Q115" s="70" t="str">
        <f t="shared" si="19"/>
        <v/>
      </c>
      <c r="R115" t="str">
        <f t="shared" si="20"/>
        <v/>
      </c>
      <c r="S115" s="525" t="str">
        <f t="shared" si="21"/>
        <v/>
      </c>
      <c r="T115" s="87" t="str">
        <f t="shared" si="22"/>
        <v/>
      </c>
      <c r="U115" s="87" t="str">
        <f t="shared" si="23"/>
        <v/>
      </c>
    </row>
    <row r="116" spans="5:21" x14ac:dyDescent="0.25">
      <c r="E116" s="244" t="str">
        <f t="shared" si="12"/>
        <v>-</v>
      </c>
      <c r="F116" t="str">
        <f t="shared" si="13"/>
        <v/>
      </c>
      <c r="G116" s="300" t="str">
        <f t="shared" si="14"/>
        <v/>
      </c>
      <c r="H116" t="str">
        <f t="shared" si="15"/>
        <v/>
      </c>
      <c r="I116" s="88" t="str">
        <f t="shared" si="16"/>
        <v/>
      </c>
      <c r="N116" t="str">
        <f t="shared" si="18"/>
        <v>-</v>
      </c>
      <c r="O116" t="str">
        <f t="shared" si="17"/>
        <v/>
      </c>
      <c r="Q116" s="70" t="str">
        <f t="shared" si="19"/>
        <v/>
      </c>
      <c r="R116" t="str">
        <f t="shared" si="20"/>
        <v/>
      </c>
      <c r="S116" s="525" t="str">
        <f t="shared" si="21"/>
        <v/>
      </c>
      <c r="T116" s="87" t="str">
        <f t="shared" si="22"/>
        <v/>
      </c>
      <c r="U116" s="87" t="str">
        <f t="shared" si="23"/>
        <v/>
      </c>
    </row>
    <row r="117" spans="5:21" x14ac:dyDescent="0.25">
      <c r="E117" s="244" t="str">
        <f t="shared" si="12"/>
        <v>-</v>
      </c>
      <c r="F117" t="str">
        <f t="shared" si="13"/>
        <v/>
      </c>
      <c r="G117" s="300" t="str">
        <f t="shared" si="14"/>
        <v/>
      </c>
      <c r="H117" t="str">
        <f t="shared" si="15"/>
        <v/>
      </c>
      <c r="I117" s="88" t="str">
        <f t="shared" si="16"/>
        <v/>
      </c>
      <c r="N117" t="str">
        <f t="shared" si="18"/>
        <v>-</v>
      </c>
      <c r="O117" t="str">
        <f t="shared" si="17"/>
        <v/>
      </c>
      <c r="Q117" s="70" t="str">
        <f t="shared" si="19"/>
        <v/>
      </c>
      <c r="R117" t="str">
        <f t="shared" si="20"/>
        <v/>
      </c>
      <c r="S117" s="525" t="str">
        <f t="shared" si="21"/>
        <v/>
      </c>
      <c r="T117" s="87" t="str">
        <f t="shared" si="22"/>
        <v/>
      </c>
      <c r="U117" s="87" t="str">
        <f t="shared" si="23"/>
        <v/>
      </c>
    </row>
    <row r="118" spans="5:21" x14ac:dyDescent="0.25">
      <c r="E118" s="244" t="str">
        <f t="shared" si="12"/>
        <v>-</v>
      </c>
      <c r="F118" t="str">
        <f t="shared" si="13"/>
        <v/>
      </c>
      <c r="G118" s="300" t="str">
        <f t="shared" si="14"/>
        <v/>
      </c>
      <c r="H118" t="str">
        <f t="shared" si="15"/>
        <v/>
      </c>
      <c r="I118" s="88" t="str">
        <f t="shared" si="16"/>
        <v/>
      </c>
      <c r="N118" t="str">
        <f t="shared" si="18"/>
        <v>-</v>
      </c>
      <c r="O118" t="str">
        <f t="shared" si="17"/>
        <v/>
      </c>
      <c r="Q118" s="70" t="str">
        <f t="shared" si="19"/>
        <v/>
      </c>
      <c r="R118" t="str">
        <f t="shared" si="20"/>
        <v/>
      </c>
      <c r="S118" s="525" t="str">
        <f t="shared" si="21"/>
        <v/>
      </c>
      <c r="T118" s="87" t="str">
        <f t="shared" si="22"/>
        <v/>
      </c>
      <c r="U118" s="87" t="str">
        <f t="shared" si="23"/>
        <v/>
      </c>
    </row>
    <row r="119" spans="5:21" x14ac:dyDescent="0.25">
      <c r="E119" s="244" t="str">
        <f t="shared" si="12"/>
        <v>-</v>
      </c>
      <c r="F119" t="str">
        <f t="shared" si="13"/>
        <v/>
      </c>
      <c r="G119" s="300" t="str">
        <f t="shared" si="14"/>
        <v/>
      </c>
      <c r="H119" t="str">
        <f t="shared" si="15"/>
        <v/>
      </c>
      <c r="I119" s="88" t="str">
        <f t="shared" si="16"/>
        <v/>
      </c>
      <c r="N119" t="str">
        <f t="shared" si="18"/>
        <v>-</v>
      </c>
      <c r="O119" t="str">
        <f t="shared" si="17"/>
        <v/>
      </c>
      <c r="Q119" s="70" t="str">
        <f t="shared" si="19"/>
        <v/>
      </c>
      <c r="R119" t="str">
        <f t="shared" si="20"/>
        <v/>
      </c>
      <c r="S119" s="525" t="str">
        <f t="shared" si="21"/>
        <v/>
      </c>
      <c r="T119" s="87" t="str">
        <f t="shared" si="22"/>
        <v/>
      </c>
      <c r="U119" s="87" t="str">
        <f t="shared" si="23"/>
        <v/>
      </c>
    </row>
    <row r="120" spans="5:21" x14ac:dyDescent="0.25">
      <c r="E120" s="244" t="str">
        <f t="shared" si="12"/>
        <v>-</v>
      </c>
      <c r="F120" t="str">
        <f t="shared" si="13"/>
        <v/>
      </c>
      <c r="G120" s="300" t="str">
        <f t="shared" si="14"/>
        <v/>
      </c>
      <c r="H120" t="str">
        <f t="shared" si="15"/>
        <v/>
      </c>
      <c r="I120" s="88" t="str">
        <f t="shared" si="16"/>
        <v/>
      </c>
      <c r="N120" t="str">
        <f t="shared" si="18"/>
        <v>-</v>
      </c>
      <c r="O120" t="str">
        <f t="shared" si="17"/>
        <v/>
      </c>
      <c r="Q120" s="70" t="str">
        <f t="shared" si="19"/>
        <v/>
      </c>
      <c r="R120" t="str">
        <f t="shared" si="20"/>
        <v/>
      </c>
      <c r="S120" s="525" t="str">
        <f t="shared" si="21"/>
        <v/>
      </c>
      <c r="T120" s="87" t="str">
        <f t="shared" si="22"/>
        <v/>
      </c>
      <c r="U120" s="87" t="str">
        <f t="shared" si="23"/>
        <v/>
      </c>
    </row>
    <row r="121" spans="5:21" x14ac:dyDescent="0.25">
      <c r="E121" s="244" t="str">
        <f t="shared" si="12"/>
        <v>-</v>
      </c>
      <c r="F121" t="str">
        <f t="shared" si="13"/>
        <v/>
      </c>
      <c r="G121" s="300" t="str">
        <f t="shared" si="14"/>
        <v/>
      </c>
      <c r="H121" t="str">
        <f t="shared" si="15"/>
        <v/>
      </c>
      <c r="I121" s="88" t="str">
        <f t="shared" si="16"/>
        <v/>
      </c>
      <c r="N121" t="str">
        <f t="shared" si="18"/>
        <v>-</v>
      </c>
      <c r="O121" t="str">
        <f t="shared" si="17"/>
        <v/>
      </c>
      <c r="Q121" s="70" t="str">
        <f t="shared" si="19"/>
        <v/>
      </c>
      <c r="R121" t="str">
        <f t="shared" si="20"/>
        <v/>
      </c>
      <c r="S121" s="525" t="str">
        <f t="shared" si="21"/>
        <v/>
      </c>
      <c r="T121" s="87" t="str">
        <f t="shared" si="22"/>
        <v/>
      </c>
      <c r="U121" s="87" t="str">
        <f t="shared" si="23"/>
        <v/>
      </c>
    </row>
    <row r="122" spans="5:21" x14ac:dyDescent="0.25">
      <c r="E122" s="244" t="str">
        <f t="shared" si="12"/>
        <v>-</v>
      </c>
      <c r="F122" t="str">
        <f t="shared" si="13"/>
        <v/>
      </c>
      <c r="G122" s="300" t="str">
        <f t="shared" si="14"/>
        <v/>
      </c>
      <c r="H122" t="str">
        <f t="shared" si="15"/>
        <v/>
      </c>
      <c r="I122" s="88" t="str">
        <f t="shared" si="16"/>
        <v/>
      </c>
      <c r="N122" t="str">
        <f t="shared" si="18"/>
        <v>-</v>
      </c>
      <c r="O122" t="str">
        <f t="shared" si="17"/>
        <v/>
      </c>
      <c r="Q122" s="70" t="str">
        <f t="shared" si="19"/>
        <v/>
      </c>
      <c r="R122" t="str">
        <f t="shared" si="20"/>
        <v/>
      </c>
      <c r="S122" s="525" t="str">
        <f t="shared" si="21"/>
        <v/>
      </c>
      <c r="T122" s="87" t="str">
        <f t="shared" si="22"/>
        <v/>
      </c>
      <c r="U122" s="87" t="str">
        <f t="shared" si="23"/>
        <v/>
      </c>
    </row>
    <row r="123" spans="5:21" x14ac:dyDescent="0.25">
      <c r="E123" s="244" t="str">
        <f t="shared" si="12"/>
        <v>-</v>
      </c>
      <c r="F123" t="str">
        <f t="shared" si="13"/>
        <v/>
      </c>
      <c r="G123" s="300" t="str">
        <f t="shared" si="14"/>
        <v/>
      </c>
      <c r="H123" t="str">
        <f t="shared" si="15"/>
        <v/>
      </c>
      <c r="I123" s="88" t="str">
        <f t="shared" si="16"/>
        <v/>
      </c>
      <c r="N123" t="str">
        <f t="shared" si="18"/>
        <v>-</v>
      </c>
      <c r="O123" t="str">
        <f t="shared" si="17"/>
        <v/>
      </c>
      <c r="Q123" s="70" t="str">
        <f t="shared" si="19"/>
        <v/>
      </c>
      <c r="R123" t="str">
        <f t="shared" si="20"/>
        <v/>
      </c>
      <c r="S123" s="525" t="str">
        <f t="shared" si="21"/>
        <v/>
      </c>
      <c r="T123" s="87" t="str">
        <f t="shared" si="22"/>
        <v/>
      </c>
      <c r="U123" s="87" t="str">
        <f t="shared" si="23"/>
        <v/>
      </c>
    </row>
    <row r="124" spans="5:21" x14ac:dyDescent="0.25">
      <c r="E124" s="244" t="str">
        <f t="shared" si="12"/>
        <v>-</v>
      </c>
      <c r="F124" t="str">
        <f t="shared" si="13"/>
        <v/>
      </c>
      <c r="G124" s="300" t="str">
        <f t="shared" si="14"/>
        <v/>
      </c>
      <c r="H124" t="str">
        <f t="shared" si="15"/>
        <v/>
      </c>
      <c r="I124" s="88" t="str">
        <f t="shared" si="16"/>
        <v/>
      </c>
      <c r="N124" t="str">
        <f t="shared" si="18"/>
        <v>-</v>
      </c>
      <c r="O124" t="str">
        <f t="shared" si="17"/>
        <v/>
      </c>
      <c r="Q124" s="70" t="str">
        <f t="shared" si="19"/>
        <v/>
      </c>
      <c r="R124" t="str">
        <f t="shared" si="20"/>
        <v/>
      </c>
      <c r="S124" s="525" t="str">
        <f t="shared" si="21"/>
        <v/>
      </c>
      <c r="T124" s="87" t="str">
        <f t="shared" si="22"/>
        <v/>
      </c>
      <c r="U124" s="87" t="str">
        <f t="shared" si="23"/>
        <v/>
      </c>
    </row>
    <row r="125" spans="5:21" x14ac:dyDescent="0.25">
      <c r="E125" s="244" t="str">
        <f t="shared" si="12"/>
        <v>-</v>
      </c>
      <c r="F125" t="str">
        <f t="shared" si="13"/>
        <v/>
      </c>
      <c r="G125" s="300" t="str">
        <f t="shared" si="14"/>
        <v/>
      </c>
      <c r="H125" t="str">
        <f t="shared" si="15"/>
        <v/>
      </c>
      <c r="I125" s="88" t="str">
        <f t="shared" si="16"/>
        <v/>
      </c>
      <c r="N125" t="str">
        <f t="shared" si="18"/>
        <v>-</v>
      </c>
      <c r="O125" t="str">
        <f t="shared" si="17"/>
        <v/>
      </c>
      <c r="Q125" s="70" t="str">
        <f t="shared" si="19"/>
        <v/>
      </c>
      <c r="R125" t="str">
        <f t="shared" si="20"/>
        <v/>
      </c>
      <c r="S125" s="525" t="str">
        <f t="shared" si="21"/>
        <v/>
      </c>
      <c r="T125" s="87" t="str">
        <f t="shared" si="22"/>
        <v/>
      </c>
      <c r="U125" s="87" t="str">
        <f t="shared" si="23"/>
        <v/>
      </c>
    </row>
    <row r="126" spans="5:21" x14ac:dyDescent="0.25">
      <c r="E126" s="244" t="str">
        <f t="shared" si="12"/>
        <v>-</v>
      </c>
      <c r="F126" t="str">
        <f t="shared" si="13"/>
        <v/>
      </c>
      <c r="G126" s="300" t="str">
        <f t="shared" si="14"/>
        <v/>
      </c>
      <c r="H126" t="str">
        <f t="shared" si="15"/>
        <v/>
      </c>
      <c r="I126" s="88" t="str">
        <f t="shared" si="16"/>
        <v/>
      </c>
      <c r="N126" t="str">
        <f t="shared" si="18"/>
        <v>-</v>
      </c>
      <c r="O126" t="str">
        <f t="shared" si="17"/>
        <v/>
      </c>
      <c r="Q126" s="70" t="str">
        <f t="shared" si="19"/>
        <v/>
      </c>
      <c r="R126" t="str">
        <f t="shared" si="20"/>
        <v/>
      </c>
      <c r="S126" s="525" t="str">
        <f t="shared" si="21"/>
        <v/>
      </c>
      <c r="T126" s="87" t="str">
        <f t="shared" si="22"/>
        <v/>
      </c>
      <c r="U126" s="87" t="str">
        <f t="shared" si="23"/>
        <v/>
      </c>
    </row>
    <row r="127" spans="5:21" x14ac:dyDescent="0.25">
      <c r="E127" s="244" t="str">
        <f t="shared" si="12"/>
        <v>-</v>
      </c>
      <c r="F127" t="str">
        <f t="shared" si="13"/>
        <v/>
      </c>
      <c r="G127" s="300" t="str">
        <f t="shared" si="14"/>
        <v/>
      </c>
      <c r="H127" t="str">
        <f t="shared" si="15"/>
        <v/>
      </c>
      <c r="I127" s="88" t="str">
        <f t="shared" si="16"/>
        <v/>
      </c>
      <c r="N127" t="str">
        <f t="shared" si="18"/>
        <v>-</v>
      </c>
      <c r="O127" t="str">
        <f t="shared" si="17"/>
        <v/>
      </c>
      <c r="Q127" s="70" t="str">
        <f t="shared" si="19"/>
        <v/>
      </c>
      <c r="R127" t="str">
        <f t="shared" si="20"/>
        <v/>
      </c>
      <c r="S127" s="525" t="str">
        <f t="shared" si="21"/>
        <v/>
      </c>
      <c r="T127" s="87" t="str">
        <f t="shared" si="22"/>
        <v/>
      </c>
      <c r="U127" s="87" t="str">
        <f t="shared" si="23"/>
        <v/>
      </c>
    </row>
    <row r="128" spans="5:21" x14ac:dyDescent="0.25">
      <c r="E128" s="244" t="str">
        <f t="shared" si="12"/>
        <v>-</v>
      </c>
      <c r="F128" t="str">
        <f t="shared" si="13"/>
        <v/>
      </c>
      <c r="G128" s="300" t="str">
        <f t="shared" si="14"/>
        <v/>
      </c>
      <c r="H128" t="str">
        <f t="shared" si="15"/>
        <v/>
      </c>
      <c r="I128" s="88" t="str">
        <f t="shared" si="16"/>
        <v/>
      </c>
      <c r="N128" t="str">
        <f t="shared" si="18"/>
        <v>-</v>
      </c>
      <c r="O128" t="str">
        <f t="shared" si="17"/>
        <v/>
      </c>
      <c r="Q128" s="70" t="str">
        <f t="shared" si="19"/>
        <v/>
      </c>
      <c r="R128" t="str">
        <f t="shared" si="20"/>
        <v/>
      </c>
      <c r="S128" s="525" t="str">
        <f t="shared" si="21"/>
        <v/>
      </c>
      <c r="T128" s="87" t="str">
        <f t="shared" si="22"/>
        <v/>
      </c>
      <c r="U128" s="87" t="str">
        <f t="shared" si="23"/>
        <v/>
      </c>
    </row>
    <row r="129" spans="5:21" x14ac:dyDescent="0.25">
      <c r="E129" s="244" t="str">
        <f t="shared" si="12"/>
        <v>-</v>
      </c>
      <c r="F129" t="str">
        <f t="shared" si="13"/>
        <v/>
      </c>
      <c r="G129" s="300" t="str">
        <f t="shared" si="14"/>
        <v/>
      </c>
      <c r="H129" t="str">
        <f t="shared" si="15"/>
        <v/>
      </c>
      <c r="I129" s="88" t="str">
        <f t="shared" si="16"/>
        <v/>
      </c>
      <c r="N129" t="str">
        <f t="shared" si="18"/>
        <v>-</v>
      </c>
      <c r="O129" t="str">
        <f t="shared" si="17"/>
        <v/>
      </c>
      <c r="Q129" s="70" t="str">
        <f t="shared" si="19"/>
        <v/>
      </c>
      <c r="R129" t="str">
        <f t="shared" si="20"/>
        <v/>
      </c>
      <c r="S129" s="525" t="str">
        <f t="shared" si="21"/>
        <v/>
      </c>
      <c r="T129" s="87" t="str">
        <f t="shared" si="22"/>
        <v/>
      </c>
      <c r="U129" s="87" t="str">
        <f t="shared" si="23"/>
        <v/>
      </c>
    </row>
    <row r="130" spans="5:21" x14ac:dyDescent="0.25">
      <c r="E130" s="244" t="str">
        <f t="shared" si="12"/>
        <v>-</v>
      </c>
      <c r="F130" t="str">
        <f t="shared" si="13"/>
        <v/>
      </c>
      <c r="G130" s="300" t="str">
        <f t="shared" si="14"/>
        <v/>
      </c>
      <c r="H130" t="str">
        <f t="shared" si="15"/>
        <v/>
      </c>
      <c r="I130" s="88" t="str">
        <f t="shared" si="16"/>
        <v/>
      </c>
      <c r="N130" t="str">
        <f t="shared" si="18"/>
        <v>-</v>
      </c>
      <c r="O130" t="str">
        <f t="shared" si="17"/>
        <v/>
      </c>
      <c r="Q130" s="70" t="str">
        <f t="shared" si="19"/>
        <v/>
      </c>
      <c r="R130" t="str">
        <f t="shared" si="20"/>
        <v/>
      </c>
      <c r="S130" s="525" t="str">
        <f t="shared" si="21"/>
        <v/>
      </c>
      <c r="T130" s="87" t="str">
        <f t="shared" si="22"/>
        <v/>
      </c>
      <c r="U130" s="87" t="str">
        <f t="shared" si="23"/>
        <v/>
      </c>
    </row>
    <row r="131" spans="5:21" x14ac:dyDescent="0.25">
      <c r="E131" s="244" t="str">
        <f t="shared" si="12"/>
        <v>-</v>
      </c>
      <c r="F131" t="str">
        <f t="shared" si="13"/>
        <v/>
      </c>
      <c r="G131" s="300" t="str">
        <f t="shared" si="14"/>
        <v/>
      </c>
      <c r="H131" t="str">
        <f t="shared" si="15"/>
        <v/>
      </c>
      <c r="I131" s="88" t="str">
        <f t="shared" si="16"/>
        <v/>
      </c>
      <c r="N131" t="str">
        <f t="shared" si="18"/>
        <v>-</v>
      </c>
      <c r="O131" t="str">
        <f t="shared" si="17"/>
        <v/>
      </c>
      <c r="Q131" s="70" t="str">
        <f t="shared" si="19"/>
        <v/>
      </c>
      <c r="R131" t="str">
        <f t="shared" si="20"/>
        <v/>
      </c>
      <c r="S131" s="525" t="str">
        <f t="shared" si="21"/>
        <v/>
      </c>
      <c r="T131" s="87" t="str">
        <f t="shared" si="22"/>
        <v/>
      </c>
      <c r="U131" s="87" t="str">
        <f t="shared" si="23"/>
        <v/>
      </c>
    </row>
    <row r="132" spans="5:21" x14ac:dyDescent="0.25">
      <c r="E132" s="244" t="str">
        <f t="shared" ref="E132:E195" si="24">G132&amp;"-"&amp;H132</f>
        <v>-</v>
      </c>
      <c r="F132" t="str">
        <f t="shared" si="13"/>
        <v/>
      </c>
      <c r="G132" s="300" t="str">
        <f t="shared" si="14"/>
        <v/>
      </c>
      <c r="H132" t="str">
        <f t="shared" si="15"/>
        <v/>
      </c>
      <c r="I132" s="88" t="str">
        <f t="shared" si="16"/>
        <v/>
      </c>
      <c r="N132" t="str">
        <f t="shared" si="18"/>
        <v>-</v>
      </c>
      <c r="O132" t="str">
        <f t="shared" si="17"/>
        <v/>
      </c>
      <c r="Q132" s="70" t="str">
        <f t="shared" si="19"/>
        <v/>
      </c>
      <c r="R132" t="str">
        <f t="shared" si="20"/>
        <v/>
      </c>
      <c r="S132" s="525" t="str">
        <f t="shared" si="21"/>
        <v/>
      </c>
      <c r="T132" s="87" t="str">
        <f t="shared" si="22"/>
        <v/>
      </c>
      <c r="U132" s="87" t="str">
        <f t="shared" si="23"/>
        <v/>
      </c>
    </row>
    <row r="133" spans="5:21" x14ac:dyDescent="0.25">
      <c r="E133" s="244" t="str">
        <f t="shared" si="24"/>
        <v>-</v>
      </c>
      <c r="F133" t="str">
        <f t="shared" ref="F133:F196" si="25">IF(A131="Grand Total","",IF(LEN(A131)=4,A131,IF(F132="","",F132)))</f>
        <v/>
      </c>
      <c r="G133" s="300" t="str">
        <f t="shared" ref="G133:G196" si="26">IF(F133=A133,"",F133)</f>
        <v/>
      </c>
      <c r="H133" t="str">
        <f t="shared" si="15"/>
        <v/>
      </c>
      <c r="I133" s="88" t="str">
        <f t="shared" si="16"/>
        <v/>
      </c>
      <c r="N133" t="str">
        <f t="shared" si="18"/>
        <v>-</v>
      </c>
      <c r="O133" t="str">
        <f t="shared" si="17"/>
        <v/>
      </c>
      <c r="Q133" s="70" t="str">
        <f t="shared" si="19"/>
        <v/>
      </c>
      <c r="R133" t="str">
        <f t="shared" si="20"/>
        <v/>
      </c>
      <c r="S133" s="525" t="str">
        <f t="shared" si="21"/>
        <v/>
      </c>
      <c r="T133" s="87" t="str">
        <f t="shared" si="22"/>
        <v/>
      </c>
      <c r="U133" s="87" t="str">
        <f t="shared" si="23"/>
        <v/>
      </c>
    </row>
    <row r="134" spans="5:21" x14ac:dyDescent="0.25">
      <c r="E134" s="244" t="str">
        <f t="shared" si="24"/>
        <v>-</v>
      </c>
      <c r="F134" t="str">
        <f t="shared" si="25"/>
        <v/>
      </c>
      <c r="G134" s="300" t="str">
        <f t="shared" si="26"/>
        <v/>
      </c>
      <c r="H134" t="str">
        <f t="shared" si="15"/>
        <v/>
      </c>
      <c r="I134" s="88" t="str">
        <f t="shared" si="16"/>
        <v/>
      </c>
      <c r="N134" t="str">
        <f t="shared" si="18"/>
        <v>-</v>
      </c>
      <c r="O134" t="str">
        <f t="shared" si="17"/>
        <v/>
      </c>
      <c r="Q134" s="70" t="str">
        <f t="shared" si="19"/>
        <v/>
      </c>
      <c r="R134" t="str">
        <f t="shared" si="20"/>
        <v/>
      </c>
      <c r="S134" s="525" t="str">
        <f t="shared" si="21"/>
        <v/>
      </c>
      <c r="T134" s="87" t="str">
        <f t="shared" si="22"/>
        <v/>
      </c>
      <c r="U134" s="87" t="str">
        <f t="shared" si="23"/>
        <v/>
      </c>
    </row>
    <row r="135" spans="5:21" x14ac:dyDescent="0.25">
      <c r="E135" s="244" t="str">
        <f t="shared" si="24"/>
        <v>-</v>
      </c>
      <c r="F135" t="str">
        <f t="shared" si="25"/>
        <v/>
      </c>
      <c r="G135" s="300" t="str">
        <f t="shared" si="26"/>
        <v/>
      </c>
      <c r="H135" t="str">
        <f t="shared" si="15"/>
        <v/>
      </c>
      <c r="I135" s="88" t="str">
        <f t="shared" si="16"/>
        <v/>
      </c>
      <c r="N135" t="str">
        <f t="shared" si="18"/>
        <v>-</v>
      </c>
      <c r="O135" t="str">
        <f t="shared" si="17"/>
        <v/>
      </c>
      <c r="Q135" s="70" t="str">
        <f t="shared" si="19"/>
        <v/>
      </c>
      <c r="R135" t="str">
        <f t="shared" si="20"/>
        <v/>
      </c>
      <c r="S135" s="525" t="str">
        <f t="shared" si="21"/>
        <v/>
      </c>
      <c r="T135" s="87" t="str">
        <f t="shared" si="22"/>
        <v/>
      </c>
      <c r="U135" s="87" t="str">
        <f t="shared" si="23"/>
        <v/>
      </c>
    </row>
    <row r="136" spans="5:21" x14ac:dyDescent="0.25">
      <c r="E136" s="244" t="str">
        <f t="shared" si="24"/>
        <v>-</v>
      </c>
      <c r="F136" t="str">
        <f t="shared" si="25"/>
        <v/>
      </c>
      <c r="G136" s="300" t="str">
        <f t="shared" si="26"/>
        <v/>
      </c>
      <c r="H136" t="str">
        <f t="shared" ref="H136:H199" si="27">IF(F136="","",IF(F136=G136,A136,""))</f>
        <v/>
      </c>
      <c r="I136" s="88" t="str">
        <f t="shared" ref="I136:I199" si="28">IF(H136="","",B136)</f>
        <v/>
      </c>
      <c r="N136" t="str">
        <f t="shared" si="18"/>
        <v>-</v>
      </c>
      <c r="O136" t="str">
        <f t="shared" si="17"/>
        <v/>
      </c>
      <c r="Q136" s="70" t="str">
        <f t="shared" si="19"/>
        <v/>
      </c>
      <c r="R136" t="str">
        <f t="shared" si="20"/>
        <v/>
      </c>
      <c r="S136" s="525" t="str">
        <f t="shared" si="21"/>
        <v/>
      </c>
      <c r="T136" s="87" t="str">
        <f t="shared" si="22"/>
        <v/>
      </c>
      <c r="U136" s="87" t="str">
        <f t="shared" si="23"/>
        <v/>
      </c>
    </row>
    <row r="137" spans="5:21" x14ac:dyDescent="0.25">
      <c r="E137" s="244" t="str">
        <f t="shared" si="24"/>
        <v>-</v>
      </c>
      <c r="F137" t="str">
        <f t="shared" si="25"/>
        <v/>
      </c>
      <c r="G137" s="300" t="str">
        <f t="shared" si="26"/>
        <v/>
      </c>
      <c r="H137" t="str">
        <f t="shared" si="27"/>
        <v/>
      </c>
      <c r="I137" s="88" t="str">
        <f t="shared" si="28"/>
        <v/>
      </c>
      <c r="N137" t="str">
        <f t="shared" si="18"/>
        <v>-</v>
      </c>
      <c r="O137" t="str">
        <f t="shared" si="17"/>
        <v/>
      </c>
      <c r="Q137" s="70" t="str">
        <f t="shared" si="19"/>
        <v/>
      </c>
      <c r="R137" t="str">
        <f t="shared" si="20"/>
        <v/>
      </c>
      <c r="S137" s="525" t="str">
        <f t="shared" si="21"/>
        <v/>
      </c>
      <c r="T137" s="87" t="str">
        <f t="shared" si="22"/>
        <v/>
      </c>
      <c r="U137" s="87" t="str">
        <f t="shared" si="23"/>
        <v/>
      </c>
    </row>
    <row r="138" spans="5:21" x14ac:dyDescent="0.25">
      <c r="E138" s="244" t="str">
        <f t="shared" si="24"/>
        <v>-</v>
      </c>
      <c r="F138" t="str">
        <f t="shared" si="25"/>
        <v/>
      </c>
      <c r="G138" s="300" t="str">
        <f t="shared" si="26"/>
        <v/>
      </c>
      <c r="H138" t="str">
        <f t="shared" si="27"/>
        <v/>
      </c>
      <c r="I138" s="88" t="str">
        <f t="shared" si="28"/>
        <v/>
      </c>
      <c r="N138" t="str">
        <f t="shared" si="18"/>
        <v>-</v>
      </c>
      <c r="O138" t="str">
        <f t="shared" si="17"/>
        <v/>
      </c>
      <c r="Q138" s="70" t="str">
        <f t="shared" si="19"/>
        <v/>
      </c>
      <c r="R138" t="str">
        <f t="shared" si="20"/>
        <v/>
      </c>
      <c r="S138" s="525" t="str">
        <f t="shared" si="21"/>
        <v/>
      </c>
      <c r="T138" s="87" t="str">
        <f t="shared" si="22"/>
        <v/>
      </c>
      <c r="U138" s="87" t="str">
        <f t="shared" si="23"/>
        <v/>
      </c>
    </row>
    <row r="139" spans="5:21" x14ac:dyDescent="0.25">
      <c r="E139" s="244" t="str">
        <f t="shared" si="24"/>
        <v>-</v>
      </c>
      <c r="F139" t="str">
        <f t="shared" si="25"/>
        <v/>
      </c>
      <c r="G139" s="300" t="str">
        <f t="shared" si="26"/>
        <v/>
      </c>
      <c r="H139" t="str">
        <f t="shared" si="27"/>
        <v/>
      </c>
      <c r="I139" s="88" t="str">
        <f t="shared" si="28"/>
        <v/>
      </c>
      <c r="N139" t="str">
        <f t="shared" si="18"/>
        <v>-</v>
      </c>
      <c r="O139" t="str">
        <f t="shared" si="17"/>
        <v/>
      </c>
      <c r="Q139" s="70" t="str">
        <f t="shared" si="19"/>
        <v/>
      </c>
      <c r="R139" t="str">
        <f t="shared" si="20"/>
        <v/>
      </c>
      <c r="S139" s="525" t="str">
        <f t="shared" si="21"/>
        <v/>
      </c>
      <c r="T139" s="87" t="str">
        <f t="shared" si="22"/>
        <v/>
      </c>
      <c r="U139" s="87" t="str">
        <f t="shared" si="23"/>
        <v/>
      </c>
    </row>
    <row r="140" spans="5:21" x14ac:dyDescent="0.25">
      <c r="E140" s="244" t="str">
        <f t="shared" si="24"/>
        <v>-</v>
      </c>
      <c r="F140" t="str">
        <f t="shared" si="25"/>
        <v/>
      </c>
      <c r="G140" s="300" t="str">
        <f t="shared" si="26"/>
        <v/>
      </c>
      <c r="H140" t="str">
        <f t="shared" si="27"/>
        <v/>
      </c>
      <c r="I140" s="88" t="str">
        <f t="shared" si="28"/>
        <v/>
      </c>
      <c r="N140" t="str">
        <f t="shared" si="18"/>
        <v>-</v>
      </c>
      <c r="O140" t="str">
        <f t="shared" si="17"/>
        <v/>
      </c>
      <c r="Q140" s="70" t="str">
        <f t="shared" si="19"/>
        <v/>
      </c>
      <c r="R140" t="str">
        <f t="shared" si="20"/>
        <v/>
      </c>
      <c r="S140" s="525" t="str">
        <f t="shared" si="21"/>
        <v/>
      </c>
      <c r="T140" s="87" t="str">
        <f t="shared" si="22"/>
        <v/>
      </c>
      <c r="U140" s="87" t="str">
        <f t="shared" si="23"/>
        <v/>
      </c>
    </row>
    <row r="141" spans="5:21" x14ac:dyDescent="0.25">
      <c r="E141" s="244" t="str">
        <f t="shared" si="24"/>
        <v>-</v>
      </c>
      <c r="F141" t="str">
        <f t="shared" si="25"/>
        <v/>
      </c>
      <c r="G141" s="300" t="str">
        <f t="shared" si="26"/>
        <v/>
      </c>
      <c r="H141" t="str">
        <f t="shared" si="27"/>
        <v/>
      </c>
      <c r="I141" s="88" t="str">
        <f t="shared" si="28"/>
        <v/>
      </c>
      <c r="N141" t="str">
        <f t="shared" si="18"/>
        <v>-</v>
      </c>
      <c r="O141" t="str">
        <f t="shared" si="17"/>
        <v/>
      </c>
      <c r="Q141" s="70" t="str">
        <f t="shared" si="19"/>
        <v/>
      </c>
      <c r="R141" t="str">
        <f t="shared" si="20"/>
        <v/>
      </c>
      <c r="S141" s="525" t="str">
        <f t="shared" si="21"/>
        <v/>
      </c>
      <c r="T141" s="87" t="str">
        <f t="shared" si="22"/>
        <v/>
      </c>
      <c r="U141" s="87" t="str">
        <f t="shared" si="23"/>
        <v/>
      </c>
    </row>
    <row r="142" spans="5:21" x14ac:dyDescent="0.25">
      <c r="E142" s="244" t="str">
        <f t="shared" si="24"/>
        <v>-</v>
      </c>
      <c r="F142" t="str">
        <f t="shared" si="25"/>
        <v/>
      </c>
      <c r="G142" s="300" t="str">
        <f t="shared" si="26"/>
        <v/>
      </c>
      <c r="H142" t="str">
        <f t="shared" si="27"/>
        <v/>
      </c>
      <c r="I142" s="88" t="str">
        <f t="shared" si="28"/>
        <v/>
      </c>
      <c r="N142" t="str">
        <f t="shared" si="18"/>
        <v>-</v>
      </c>
      <c r="O142" t="str">
        <f t="shared" ref="O142:O205" si="29">IF(K142="Grand Total","",IF(LEN(K142)=4,K142,IF(O141="","",O141)))</f>
        <v/>
      </c>
      <c r="Q142" s="70" t="str">
        <f t="shared" si="19"/>
        <v/>
      </c>
      <c r="R142" t="str">
        <f t="shared" si="20"/>
        <v/>
      </c>
      <c r="S142" s="525" t="str">
        <f t="shared" si="21"/>
        <v/>
      </c>
      <c r="T142" s="87" t="str">
        <f t="shared" si="22"/>
        <v/>
      </c>
      <c r="U142" s="87" t="str">
        <f t="shared" si="23"/>
        <v/>
      </c>
    </row>
    <row r="143" spans="5:21" x14ac:dyDescent="0.25">
      <c r="E143" s="244" t="str">
        <f t="shared" si="24"/>
        <v>-</v>
      </c>
      <c r="F143" t="str">
        <f t="shared" si="25"/>
        <v/>
      </c>
      <c r="G143" s="300" t="str">
        <f t="shared" si="26"/>
        <v/>
      </c>
      <c r="H143" t="str">
        <f t="shared" si="27"/>
        <v/>
      </c>
      <c r="I143" s="88" t="str">
        <f t="shared" si="28"/>
        <v/>
      </c>
      <c r="N143" t="str">
        <f t="shared" ref="N143:N206" si="30">Q143&amp;"-"&amp;R143</f>
        <v>-</v>
      </c>
      <c r="O143" t="str">
        <f t="shared" si="29"/>
        <v/>
      </c>
      <c r="Q143" s="70" t="str">
        <f t="shared" ref="Q143:Q206" si="31">IF(O143=K143,"",O143)</f>
        <v/>
      </c>
      <c r="R143" t="str">
        <f t="shared" ref="R143:R206" si="32">IF(O143="","",IF(O143=Q143,K143,""))</f>
        <v/>
      </c>
      <c r="S143" s="525" t="str">
        <f t="shared" ref="S143:S206" si="33">IF(R143="","",L143)</f>
        <v/>
      </c>
      <c r="T143" s="87" t="str">
        <f t="shared" ref="T143:T206" si="34">VLOOKUP(N143,$E$4:$I$566,5,FALSE)</f>
        <v/>
      </c>
      <c r="U143" s="87" t="str">
        <f t="shared" ref="U143:U206" si="35">IFERROR(T143/S143,"")</f>
        <v/>
      </c>
    </row>
    <row r="144" spans="5:21" x14ac:dyDescent="0.25">
      <c r="E144" s="244" t="str">
        <f t="shared" si="24"/>
        <v>-</v>
      </c>
      <c r="F144" t="str">
        <f t="shared" si="25"/>
        <v/>
      </c>
      <c r="G144" s="300" t="str">
        <f t="shared" si="26"/>
        <v/>
      </c>
      <c r="H144" t="str">
        <f t="shared" si="27"/>
        <v/>
      </c>
      <c r="I144" s="88" t="str">
        <f t="shared" si="28"/>
        <v/>
      </c>
      <c r="N144" t="str">
        <f t="shared" si="30"/>
        <v>-</v>
      </c>
      <c r="O144" t="str">
        <f t="shared" si="29"/>
        <v/>
      </c>
      <c r="Q144" s="70" t="str">
        <f t="shared" si="31"/>
        <v/>
      </c>
      <c r="R144" t="str">
        <f t="shared" si="32"/>
        <v/>
      </c>
      <c r="S144" s="525" t="str">
        <f t="shared" si="33"/>
        <v/>
      </c>
      <c r="T144" s="87" t="str">
        <f t="shared" si="34"/>
        <v/>
      </c>
      <c r="U144" s="87" t="str">
        <f t="shared" si="35"/>
        <v/>
      </c>
    </row>
    <row r="145" spans="5:21" x14ac:dyDescent="0.25">
      <c r="E145" s="244" t="str">
        <f t="shared" si="24"/>
        <v>-</v>
      </c>
      <c r="F145" t="str">
        <f t="shared" si="25"/>
        <v/>
      </c>
      <c r="G145" s="300" t="str">
        <f t="shared" si="26"/>
        <v/>
      </c>
      <c r="H145" t="str">
        <f t="shared" si="27"/>
        <v/>
      </c>
      <c r="I145" s="88" t="str">
        <f t="shared" si="28"/>
        <v/>
      </c>
      <c r="N145" t="str">
        <f t="shared" si="30"/>
        <v>-</v>
      </c>
      <c r="O145" t="str">
        <f t="shared" si="29"/>
        <v/>
      </c>
      <c r="Q145" s="70" t="str">
        <f t="shared" si="31"/>
        <v/>
      </c>
      <c r="R145" t="str">
        <f t="shared" si="32"/>
        <v/>
      </c>
      <c r="S145" s="525" t="str">
        <f t="shared" si="33"/>
        <v/>
      </c>
      <c r="T145" s="87" t="str">
        <f t="shared" si="34"/>
        <v/>
      </c>
      <c r="U145" s="87" t="str">
        <f t="shared" si="35"/>
        <v/>
      </c>
    </row>
    <row r="146" spans="5:21" x14ac:dyDescent="0.25">
      <c r="E146" s="244" t="str">
        <f t="shared" si="24"/>
        <v>-</v>
      </c>
      <c r="F146" t="str">
        <f t="shared" si="25"/>
        <v/>
      </c>
      <c r="G146" s="300" t="str">
        <f t="shared" si="26"/>
        <v/>
      </c>
      <c r="H146" t="str">
        <f t="shared" si="27"/>
        <v/>
      </c>
      <c r="I146" s="88" t="str">
        <f t="shared" si="28"/>
        <v/>
      </c>
      <c r="N146" t="str">
        <f t="shared" si="30"/>
        <v>-</v>
      </c>
      <c r="O146" t="str">
        <f t="shared" si="29"/>
        <v/>
      </c>
      <c r="Q146" s="70" t="str">
        <f t="shared" si="31"/>
        <v/>
      </c>
      <c r="R146" t="str">
        <f t="shared" si="32"/>
        <v/>
      </c>
      <c r="S146" s="525" t="str">
        <f t="shared" si="33"/>
        <v/>
      </c>
      <c r="T146" s="87" t="str">
        <f t="shared" si="34"/>
        <v/>
      </c>
      <c r="U146" s="87" t="str">
        <f t="shared" si="35"/>
        <v/>
      </c>
    </row>
    <row r="147" spans="5:21" x14ac:dyDescent="0.25">
      <c r="E147" s="244" t="str">
        <f t="shared" si="24"/>
        <v>-</v>
      </c>
      <c r="F147" t="str">
        <f t="shared" si="25"/>
        <v/>
      </c>
      <c r="G147" s="300" t="str">
        <f t="shared" si="26"/>
        <v/>
      </c>
      <c r="H147" t="str">
        <f t="shared" si="27"/>
        <v/>
      </c>
      <c r="I147" s="88" t="str">
        <f t="shared" si="28"/>
        <v/>
      </c>
      <c r="N147" t="str">
        <f t="shared" si="30"/>
        <v>-</v>
      </c>
      <c r="O147" t="str">
        <f t="shared" si="29"/>
        <v/>
      </c>
      <c r="Q147" s="70" t="str">
        <f t="shared" si="31"/>
        <v/>
      </c>
      <c r="R147" t="str">
        <f t="shared" si="32"/>
        <v/>
      </c>
      <c r="S147" s="525" t="str">
        <f t="shared" si="33"/>
        <v/>
      </c>
      <c r="T147" s="87" t="str">
        <f t="shared" si="34"/>
        <v/>
      </c>
      <c r="U147" s="87" t="str">
        <f t="shared" si="35"/>
        <v/>
      </c>
    </row>
    <row r="148" spans="5:21" x14ac:dyDescent="0.25">
      <c r="E148" s="244" t="str">
        <f t="shared" si="24"/>
        <v>-</v>
      </c>
      <c r="F148" t="str">
        <f t="shared" si="25"/>
        <v/>
      </c>
      <c r="G148" s="300" t="str">
        <f t="shared" si="26"/>
        <v/>
      </c>
      <c r="H148" t="str">
        <f t="shared" si="27"/>
        <v/>
      </c>
      <c r="I148" s="88" t="str">
        <f t="shared" si="28"/>
        <v/>
      </c>
      <c r="N148" t="str">
        <f t="shared" si="30"/>
        <v>-</v>
      </c>
      <c r="O148" t="str">
        <f t="shared" si="29"/>
        <v/>
      </c>
      <c r="Q148" s="70" t="str">
        <f t="shared" si="31"/>
        <v/>
      </c>
      <c r="R148" t="str">
        <f t="shared" si="32"/>
        <v/>
      </c>
      <c r="S148" s="525" t="str">
        <f t="shared" si="33"/>
        <v/>
      </c>
      <c r="T148" s="87" t="str">
        <f t="shared" si="34"/>
        <v/>
      </c>
      <c r="U148" s="87" t="str">
        <f t="shared" si="35"/>
        <v/>
      </c>
    </row>
    <row r="149" spans="5:21" x14ac:dyDescent="0.25">
      <c r="E149" s="244" t="str">
        <f t="shared" si="24"/>
        <v>-</v>
      </c>
      <c r="F149" t="str">
        <f t="shared" si="25"/>
        <v/>
      </c>
      <c r="G149" s="300" t="str">
        <f t="shared" si="26"/>
        <v/>
      </c>
      <c r="H149" t="str">
        <f t="shared" si="27"/>
        <v/>
      </c>
      <c r="I149" s="88" t="str">
        <f t="shared" si="28"/>
        <v/>
      </c>
      <c r="N149" t="str">
        <f t="shared" si="30"/>
        <v>-</v>
      </c>
      <c r="O149" t="str">
        <f t="shared" si="29"/>
        <v/>
      </c>
      <c r="Q149" s="70" t="str">
        <f t="shared" si="31"/>
        <v/>
      </c>
      <c r="R149" t="str">
        <f t="shared" si="32"/>
        <v/>
      </c>
      <c r="S149" s="525" t="str">
        <f t="shared" si="33"/>
        <v/>
      </c>
      <c r="T149" s="87" t="str">
        <f t="shared" si="34"/>
        <v/>
      </c>
      <c r="U149" s="87" t="str">
        <f t="shared" si="35"/>
        <v/>
      </c>
    </row>
    <row r="150" spans="5:21" x14ac:dyDescent="0.25">
      <c r="E150" s="244" t="str">
        <f t="shared" si="24"/>
        <v>-</v>
      </c>
      <c r="F150" t="str">
        <f t="shared" si="25"/>
        <v/>
      </c>
      <c r="G150" s="300" t="str">
        <f t="shared" si="26"/>
        <v/>
      </c>
      <c r="H150" t="str">
        <f t="shared" si="27"/>
        <v/>
      </c>
      <c r="I150" s="88" t="str">
        <f t="shared" si="28"/>
        <v/>
      </c>
      <c r="N150" t="str">
        <f t="shared" si="30"/>
        <v>-</v>
      </c>
      <c r="O150" t="str">
        <f t="shared" si="29"/>
        <v/>
      </c>
      <c r="Q150" s="70" t="str">
        <f t="shared" si="31"/>
        <v/>
      </c>
      <c r="R150" t="str">
        <f t="shared" si="32"/>
        <v/>
      </c>
      <c r="S150" s="525" t="str">
        <f t="shared" si="33"/>
        <v/>
      </c>
      <c r="T150" s="87" t="str">
        <f t="shared" si="34"/>
        <v/>
      </c>
      <c r="U150" s="87" t="str">
        <f t="shared" si="35"/>
        <v/>
      </c>
    </row>
    <row r="151" spans="5:21" x14ac:dyDescent="0.25">
      <c r="E151" s="244" t="str">
        <f t="shared" si="24"/>
        <v>-</v>
      </c>
      <c r="F151" t="str">
        <f t="shared" si="25"/>
        <v/>
      </c>
      <c r="G151" s="300" t="str">
        <f t="shared" si="26"/>
        <v/>
      </c>
      <c r="H151" t="str">
        <f t="shared" si="27"/>
        <v/>
      </c>
      <c r="I151" s="88" t="str">
        <f t="shared" si="28"/>
        <v/>
      </c>
      <c r="N151" t="str">
        <f t="shared" si="30"/>
        <v>-</v>
      </c>
      <c r="O151" t="str">
        <f t="shared" si="29"/>
        <v/>
      </c>
      <c r="Q151" s="70" t="str">
        <f t="shared" si="31"/>
        <v/>
      </c>
      <c r="R151" t="str">
        <f t="shared" si="32"/>
        <v/>
      </c>
      <c r="S151" s="525" t="str">
        <f t="shared" si="33"/>
        <v/>
      </c>
      <c r="T151" s="87" t="str">
        <f t="shared" si="34"/>
        <v/>
      </c>
      <c r="U151" s="87" t="str">
        <f t="shared" si="35"/>
        <v/>
      </c>
    </row>
    <row r="152" spans="5:21" x14ac:dyDescent="0.25">
      <c r="E152" s="244" t="str">
        <f t="shared" si="24"/>
        <v>-</v>
      </c>
      <c r="F152" t="str">
        <f t="shared" si="25"/>
        <v/>
      </c>
      <c r="G152" s="300" t="str">
        <f t="shared" si="26"/>
        <v/>
      </c>
      <c r="H152" t="str">
        <f t="shared" si="27"/>
        <v/>
      </c>
      <c r="I152" s="88" t="str">
        <f t="shared" si="28"/>
        <v/>
      </c>
      <c r="N152" t="str">
        <f t="shared" si="30"/>
        <v>-</v>
      </c>
      <c r="O152" t="str">
        <f t="shared" si="29"/>
        <v/>
      </c>
      <c r="Q152" s="70" t="str">
        <f t="shared" si="31"/>
        <v/>
      </c>
      <c r="R152" t="str">
        <f t="shared" si="32"/>
        <v/>
      </c>
      <c r="S152" s="525" t="str">
        <f t="shared" si="33"/>
        <v/>
      </c>
      <c r="T152" s="87" t="str">
        <f t="shared" si="34"/>
        <v/>
      </c>
      <c r="U152" s="87" t="str">
        <f t="shared" si="35"/>
        <v/>
      </c>
    </row>
    <row r="153" spans="5:21" x14ac:dyDescent="0.25">
      <c r="E153" s="244" t="str">
        <f t="shared" si="24"/>
        <v>-</v>
      </c>
      <c r="F153" t="str">
        <f t="shared" si="25"/>
        <v/>
      </c>
      <c r="G153" s="300" t="str">
        <f t="shared" si="26"/>
        <v/>
      </c>
      <c r="H153" t="str">
        <f t="shared" si="27"/>
        <v/>
      </c>
      <c r="I153" s="88" t="str">
        <f t="shared" si="28"/>
        <v/>
      </c>
      <c r="N153" t="str">
        <f t="shared" si="30"/>
        <v>-</v>
      </c>
      <c r="O153" t="str">
        <f t="shared" si="29"/>
        <v/>
      </c>
      <c r="Q153" s="70" t="str">
        <f t="shared" si="31"/>
        <v/>
      </c>
      <c r="R153" t="str">
        <f t="shared" si="32"/>
        <v/>
      </c>
      <c r="S153" s="525" t="str">
        <f t="shared" si="33"/>
        <v/>
      </c>
      <c r="T153" s="87" t="str">
        <f t="shared" si="34"/>
        <v/>
      </c>
      <c r="U153" s="87" t="str">
        <f t="shared" si="35"/>
        <v/>
      </c>
    </row>
    <row r="154" spans="5:21" x14ac:dyDescent="0.25">
      <c r="E154" s="244" t="str">
        <f t="shared" si="24"/>
        <v>-</v>
      </c>
      <c r="F154" t="str">
        <f t="shared" si="25"/>
        <v/>
      </c>
      <c r="G154" s="300" t="str">
        <f t="shared" si="26"/>
        <v/>
      </c>
      <c r="H154" t="str">
        <f t="shared" si="27"/>
        <v/>
      </c>
      <c r="I154" s="88" t="str">
        <f t="shared" si="28"/>
        <v/>
      </c>
      <c r="N154" t="str">
        <f t="shared" si="30"/>
        <v>-</v>
      </c>
      <c r="O154" t="str">
        <f t="shared" si="29"/>
        <v/>
      </c>
      <c r="Q154" s="70" t="str">
        <f t="shared" si="31"/>
        <v/>
      </c>
      <c r="R154" t="str">
        <f t="shared" si="32"/>
        <v/>
      </c>
      <c r="S154" s="525" t="str">
        <f t="shared" si="33"/>
        <v/>
      </c>
      <c r="T154" s="87" t="str">
        <f t="shared" si="34"/>
        <v/>
      </c>
      <c r="U154" s="87" t="str">
        <f t="shared" si="35"/>
        <v/>
      </c>
    </row>
    <row r="155" spans="5:21" x14ac:dyDescent="0.25">
      <c r="E155" s="244" t="str">
        <f t="shared" si="24"/>
        <v>-</v>
      </c>
      <c r="F155" t="str">
        <f t="shared" si="25"/>
        <v/>
      </c>
      <c r="G155" s="300" t="str">
        <f t="shared" si="26"/>
        <v/>
      </c>
      <c r="H155" t="str">
        <f t="shared" si="27"/>
        <v/>
      </c>
      <c r="I155" s="88" t="str">
        <f t="shared" si="28"/>
        <v/>
      </c>
      <c r="N155" t="str">
        <f t="shared" si="30"/>
        <v>-</v>
      </c>
      <c r="O155" t="str">
        <f t="shared" si="29"/>
        <v/>
      </c>
      <c r="Q155" s="70" t="str">
        <f t="shared" si="31"/>
        <v/>
      </c>
      <c r="R155" t="str">
        <f t="shared" si="32"/>
        <v/>
      </c>
      <c r="S155" s="525" t="str">
        <f t="shared" si="33"/>
        <v/>
      </c>
      <c r="T155" s="87" t="str">
        <f t="shared" si="34"/>
        <v/>
      </c>
      <c r="U155" s="87" t="str">
        <f t="shared" si="35"/>
        <v/>
      </c>
    </row>
    <row r="156" spans="5:21" x14ac:dyDescent="0.25">
      <c r="E156" s="244" t="str">
        <f t="shared" si="24"/>
        <v>-</v>
      </c>
      <c r="F156" t="str">
        <f t="shared" si="25"/>
        <v/>
      </c>
      <c r="G156" s="300" t="str">
        <f t="shared" si="26"/>
        <v/>
      </c>
      <c r="H156" t="str">
        <f t="shared" si="27"/>
        <v/>
      </c>
      <c r="I156" s="88" t="str">
        <f t="shared" si="28"/>
        <v/>
      </c>
      <c r="N156" t="str">
        <f t="shared" si="30"/>
        <v>-</v>
      </c>
      <c r="O156" t="str">
        <f t="shared" si="29"/>
        <v/>
      </c>
      <c r="Q156" s="70" t="str">
        <f t="shared" si="31"/>
        <v/>
      </c>
      <c r="R156" t="str">
        <f t="shared" si="32"/>
        <v/>
      </c>
      <c r="S156" s="525" t="str">
        <f t="shared" si="33"/>
        <v/>
      </c>
      <c r="T156" s="87" t="str">
        <f t="shared" si="34"/>
        <v/>
      </c>
      <c r="U156" s="87" t="str">
        <f t="shared" si="35"/>
        <v/>
      </c>
    </row>
    <row r="157" spans="5:21" x14ac:dyDescent="0.25">
      <c r="E157" s="244" t="str">
        <f t="shared" si="24"/>
        <v>-</v>
      </c>
      <c r="F157" t="str">
        <f t="shared" si="25"/>
        <v/>
      </c>
      <c r="G157" s="300" t="str">
        <f t="shared" si="26"/>
        <v/>
      </c>
      <c r="H157" t="str">
        <f t="shared" si="27"/>
        <v/>
      </c>
      <c r="I157" s="88" t="str">
        <f t="shared" si="28"/>
        <v/>
      </c>
      <c r="N157" t="str">
        <f t="shared" si="30"/>
        <v>-</v>
      </c>
      <c r="O157" t="str">
        <f t="shared" si="29"/>
        <v/>
      </c>
      <c r="Q157" s="70" t="str">
        <f t="shared" si="31"/>
        <v/>
      </c>
      <c r="R157" t="str">
        <f t="shared" si="32"/>
        <v/>
      </c>
      <c r="S157" s="525" t="str">
        <f t="shared" si="33"/>
        <v/>
      </c>
      <c r="T157" s="87" t="str">
        <f t="shared" si="34"/>
        <v/>
      </c>
      <c r="U157" s="87" t="str">
        <f t="shared" si="35"/>
        <v/>
      </c>
    </row>
    <row r="158" spans="5:21" x14ac:dyDescent="0.25">
      <c r="E158" s="244" t="str">
        <f t="shared" si="24"/>
        <v>-</v>
      </c>
      <c r="F158" t="str">
        <f t="shared" si="25"/>
        <v/>
      </c>
      <c r="G158" s="300" t="str">
        <f t="shared" si="26"/>
        <v/>
      </c>
      <c r="H158" t="str">
        <f t="shared" si="27"/>
        <v/>
      </c>
      <c r="I158" s="88" t="str">
        <f t="shared" si="28"/>
        <v/>
      </c>
      <c r="N158" t="str">
        <f t="shared" si="30"/>
        <v>-</v>
      </c>
      <c r="O158" t="str">
        <f t="shared" si="29"/>
        <v/>
      </c>
      <c r="Q158" s="70" t="str">
        <f t="shared" si="31"/>
        <v/>
      </c>
      <c r="R158" t="str">
        <f t="shared" si="32"/>
        <v/>
      </c>
      <c r="S158" s="525" t="str">
        <f t="shared" si="33"/>
        <v/>
      </c>
      <c r="T158" s="87" t="str">
        <f t="shared" si="34"/>
        <v/>
      </c>
      <c r="U158" s="87" t="str">
        <f t="shared" si="35"/>
        <v/>
      </c>
    </row>
    <row r="159" spans="5:21" x14ac:dyDescent="0.25">
      <c r="E159" s="244" t="str">
        <f t="shared" si="24"/>
        <v>-</v>
      </c>
      <c r="F159" t="str">
        <f t="shared" si="25"/>
        <v/>
      </c>
      <c r="G159" s="300" t="str">
        <f t="shared" si="26"/>
        <v/>
      </c>
      <c r="H159" t="str">
        <f t="shared" si="27"/>
        <v/>
      </c>
      <c r="I159" s="88" t="str">
        <f t="shared" si="28"/>
        <v/>
      </c>
      <c r="N159" t="str">
        <f t="shared" si="30"/>
        <v>-</v>
      </c>
      <c r="O159" t="str">
        <f t="shared" si="29"/>
        <v/>
      </c>
      <c r="Q159" s="70" t="str">
        <f t="shared" si="31"/>
        <v/>
      </c>
      <c r="R159" t="str">
        <f t="shared" si="32"/>
        <v/>
      </c>
      <c r="S159" s="525" t="str">
        <f t="shared" si="33"/>
        <v/>
      </c>
      <c r="T159" s="87" t="str">
        <f t="shared" si="34"/>
        <v/>
      </c>
      <c r="U159" s="87" t="str">
        <f t="shared" si="35"/>
        <v/>
      </c>
    </row>
    <row r="160" spans="5:21" x14ac:dyDescent="0.25">
      <c r="E160" s="244" t="str">
        <f t="shared" si="24"/>
        <v>-</v>
      </c>
      <c r="F160" t="str">
        <f t="shared" si="25"/>
        <v/>
      </c>
      <c r="G160" s="300" t="str">
        <f t="shared" si="26"/>
        <v/>
      </c>
      <c r="H160" t="str">
        <f t="shared" si="27"/>
        <v/>
      </c>
      <c r="I160" s="88" t="str">
        <f t="shared" si="28"/>
        <v/>
      </c>
      <c r="N160" t="str">
        <f t="shared" si="30"/>
        <v>-</v>
      </c>
      <c r="O160" t="str">
        <f t="shared" si="29"/>
        <v/>
      </c>
      <c r="Q160" s="70" t="str">
        <f t="shared" si="31"/>
        <v/>
      </c>
      <c r="R160" t="str">
        <f t="shared" si="32"/>
        <v/>
      </c>
      <c r="S160" s="525" t="str">
        <f t="shared" si="33"/>
        <v/>
      </c>
      <c r="T160" s="87" t="str">
        <f t="shared" si="34"/>
        <v/>
      </c>
      <c r="U160" s="87" t="str">
        <f t="shared" si="35"/>
        <v/>
      </c>
    </row>
    <row r="161" spans="5:21" x14ac:dyDescent="0.25">
      <c r="E161" s="244" t="str">
        <f t="shared" si="24"/>
        <v>-</v>
      </c>
      <c r="F161" t="str">
        <f t="shared" si="25"/>
        <v/>
      </c>
      <c r="G161" s="300" t="str">
        <f t="shared" si="26"/>
        <v/>
      </c>
      <c r="H161" t="str">
        <f t="shared" si="27"/>
        <v/>
      </c>
      <c r="I161" s="88" t="str">
        <f t="shared" si="28"/>
        <v/>
      </c>
      <c r="N161" t="str">
        <f t="shared" si="30"/>
        <v>-</v>
      </c>
      <c r="O161" t="str">
        <f t="shared" si="29"/>
        <v/>
      </c>
      <c r="Q161" s="70" t="str">
        <f t="shared" si="31"/>
        <v/>
      </c>
      <c r="R161" t="str">
        <f t="shared" si="32"/>
        <v/>
      </c>
      <c r="S161" s="525" t="str">
        <f t="shared" si="33"/>
        <v/>
      </c>
      <c r="T161" s="87" t="str">
        <f t="shared" si="34"/>
        <v/>
      </c>
      <c r="U161" s="87" t="str">
        <f t="shared" si="35"/>
        <v/>
      </c>
    </row>
    <row r="162" spans="5:21" x14ac:dyDescent="0.25">
      <c r="E162" s="244" t="str">
        <f t="shared" si="24"/>
        <v>-</v>
      </c>
      <c r="F162" t="str">
        <f t="shared" si="25"/>
        <v/>
      </c>
      <c r="G162" s="300" t="str">
        <f t="shared" si="26"/>
        <v/>
      </c>
      <c r="H162" t="str">
        <f t="shared" si="27"/>
        <v/>
      </c>
      <c r="I162" s="88" t="str">
        <f t="shared" si="28"/>
        <v/>
      </c>
      <c r="N162" t="str">
        <f t="shared" si="30"/>
        <v>-</v>
      </c>
      <c r="O162" t="str">
        <f t="shared" si="29"/>
        <v/>
      </c>
      <c r="Q162" s="70" t="str">
        <f t="shared" si="31"/>
        <v/>
      </c>
      <c r="R162" t="str">
        <f t="shared" si="32"/>
        <v/>
      </c>
      <c r="S162" s="525" t="str">
        <f t="shared" si="33"/>
        <v/>
      </c>
      <c r="T162" s="87" t="str">
        <f t="shared" si="34"/>
        <v/>
      </c>
      <c r="U162" s="87" t="str">
        <f t="shared" si="35"/>
        <v/>
      </c>
    </row>
    <row r="163" spans="5:21" x14ac:dyDescent="0.25">
      <c r="E163" s="244" t="str">
        <f t="shared" si="24"/>
        <v>-</v>
      </c>
      <c r="F163" t="str">
        <f t="shared" si="25"/>
        <v/>
      </c>
      <c r="G163" s="300" t="str">
        <f t="shared" si="26"/>
        <v/>
      </c>
      <c r="H163" t="str">
        <f t="shared" si="27"/>
        <v/>
      </c>
      <c r="I163" s="88" t="str">
        <f t="shared" si="28"/>
        <v/>
      </c>
      <c r="N163" t="str">
        <f t="shared" si="30"/>
        <v>-</v>
      </c>
      <c r="O163" t="str">
        <f t="shared" si="29"/>
        <v/>
      </c>
      <c r="Q163" s="70" t="str">
        <f t="shared" si="31"/>
        <v/>
      </c>
      <c r="R163" t="str">
        <f t="shared" si="32"/>
        <v/>
      </c>
      <c r="S163" s="525" t="str">
        <f t="shared" si="33"/>
        <v/>
      </c>
      <c r="T163" s="87" t="str">
        <f t="shared" si="34"/>
        <v/>
      </c>
      <c r="U163" s="87" t="str">
        <f t="shared" si="35"/>
        <v/>
      </c>
    </row>
    <row r="164" spans="5:21" x14ac:dyDescent="0.25">
      <c r="E164" s="244" t="str">
        <f t="shared" si="24"/>
        <v>-</v>
      </c>
      <c r="F164" t="str">
        <f t="shared" si="25"/>
        <v/>
      </c>
      <c r="G164" s="300" t="str">
        <f t="shared" si="26"/>
        <v/>
      </c>
      <c r="H164" t="str">
        <f t="shared" si="27"/>
        <v/>
      </c>
      <c r="I164" s="88" t="str">
        <f t="shared" si="28"/>
        <v/>
      </c>
      <c r="N164" t="str">
        <f t="shared" si="30"/>
        <v>-</v>
      </c>
      <c r="O164" t="str">
        <f t="shared" si="29"/>
        <v/>
      </c>
      <c r="Q164" s="70" t="str">
        <f t="shared" si="31"/>
        <v/>
      </c>
      <c r="R164" t="str">
        <f t="shared" si="32"/>
        <v/>
      </c>
      <c r="S164" s="525" t="str">
        <f t="shared" si="33"/>
        <v/>
      </c>
      <c r="T164" s="87" t="str">
        <f t="shared" si="34"/>
        <v/>
      </c>
      <c r="U164" s="87" t="str">
        <f t="shared" si="35"/>
        <v/>
      </c>
    </row>
    <row r="165" spans="5:21" x14ac:dyDescent="0.25">
      <c r="E165" s="244" t="str">
        <f t="shared" si="24"/>
        <v>-</v>
      </c>
      <c r="F165" t="str">
        <f t="shared" si="25"/>
        <v/>
      </c>
      <c r="G165" s="300" t="str">
        <f t="shared" si="26"/>
        <v/>
      </c>
      <c r="H165" t="str">
        <f t="shared" si="27"/>
        <v/>
      </c>
      <c r="I165" s="88" t="str">
        <f t="shared" si="28"/>
        <v/>
      </c>
      <c r="N165" t="str">
        <f t="shared" si="30"/>
        <v>-</v>
      </c>
      <c r="O165" t="str">
        <f t="shared" si="29"/>
        <v/>
      </c>
      <c r="Q165" s="70" t="str">
        <f t="shared" si="31"/>
        <v/>
      </c>
      <c r="R165" t="str">
        <f t="shared" si="32"/>
        <v/>
      </c>
      <c r="S165" s="525" t="str">
        <f t="shared" si="33"/>
        <v/>
      </c>
      <c r="T165" s="87" t="str">
        <f t="shared" si="34"/>
        <v/>
      </c>
      <c r="U165" s="87" t="str">
        <f t="shared" si="35"/>
        <v/>
      </c>
    </row>
    <row r="166" spans="5:21" x14ac:dyDescent="0.25">
      <c r="E166" s="244" t="str">
        <f t="shared" si="24"/>
        <v>-</v>
      </c>
      <c r="F166" t="str">
        <f t="shared" si="25"/>
        <v/>
      </c>
      <c r="G166" s="300" t="str">
        <f t="shared" si="26"/>
        <v/>
      </c>
      <c r="H166" t="str">
        <f t="shared" si="27"/>
        <v/>
      </c>
      <c r="I166" s="88" t="str">
        <f t="shared" si="28"/>
        <v/>
      </c>
      <c r="N166" t="str">
        <f t="shared" si="30"/>
        <v>-</v>
      </c>
      <c r="O166" t="str">
        <f t="shared" si="29"/>
        <v/>
      </c>
      <c r="Q166" s="70" t="str">
        <f t="shared" si="31"/>
        <v/>
      </c>
      <c r="R166" t="str">
        <f t="shared" si="32"/>
        <v/>
      </c>
      <c r="S166" s="525" t="str">
        <f t="shared" si="33"/>
        <v/>
      </c>
      <c r="T166" s="87" t="str">
        <f t="shared" si="34"/>
        <v/>
      </c>
      <c r="U166" s="87" t="str">
        <f t="shared" si="35"/>
        <v/>
      </c>
    </row>
    <row r="167" spans="5:21" x14ac:dyDescent="0.25">
      <c r="E167" s="244" t="str">
        <f t="shared" si="24"/>
        <v>-</v>
      </c>
      <c r="F167" t="str">
        <f t="shared" si="25"/>
        <v/>
      </c>
      <c r="G167" s="300" t="str">
        <f t="shared" si="26"/>
        <v/>
      </c>
      <c r="H167" t="str">
        <f t="shared" si="27"/>
        <v/>
      </c>
      <c r="I167" s="88" t="str">
        <f t="shared" si="28"/>
        <v/>
      </c>
      <c r="N167" t="str">
        <f t="shared" si="30"/>
        <v>-</v>
      </c>
      <c r="O167" t="str">
        <f t="shared" si="29"/>
        <v/>
      </c>
      <c r="Q167" s="70" t="str">
        <f t="shared" si="31"/>
        <v/>
      </c>
      <c r="R167" t="str">
        <f t="shared" si="32"/>
        <v/>
      </c>
      <c r="S167" s="525" t="str">
        <f t="shared" si="33"/>
        <v/>
      </c>
      <c r="T167" s="87" t="str">
        <f t="shared" si="34"/>
        <v/>
      </c>
      <c r="U167" s="87" t="str">
        <f t="shared" si="35"/>
        <v/>
      </c>
    </row>
    <row r="168" spans="5:21" x14ac:dyDescent="0.25">
      <c r="E168" s="244" t="str">
        <f t="shared" si="24"/>
        <v>-</v>
      </c>
      <c r="F168" t="str">
        <f t="shared" si="25"/>
        <v/>
      </c>
      <c r="G168" s="300" t="str">
        <f t="shared" si="26"/>
        <v/>
      </c>
      <c r="H168" t="str">
        <f t="shared" si="27"/>
        <v/>
      </c>
      <c r="I168" s="88" t="str">
        <f t="shared" si="28"/>
        <v/>
      </c>
      <c r="N168" t="str">
        <f t="shared" si="30"/>
        <v>-</v>
      </c>
      <c r="O168" t="str">
        <f t="shared" si="29"/>
        <v/>
      </c>
      <c r="Q168" s="70" t="str">
        <f t="shared" si="31"/>
        <v/>
      </c>
      <c r="R168" t="str">
        <f t="shared" si="32"/>
        <v/>
      </c>
      <c r="S168" s="525" t="str">
        <f t="shared" si="33"/>
        <v/>
      </c>
      <c r="T168" s="87" t="str">
        <f t="shared" si="34"/>
        <v/>
      </c>
      <c r="U168" s="87" t="str">
        <f t="shared" si="35"/>
        <v/>
      </c>
    </row>
    <row r="169" spans="5:21" x14ac:dyDescent="0.25">
      <c r="E169" s="244" t="str">
        <f t="shared" si="24"/>
        <v>-</v>
      </c>
      <c r="F169" t="str">
        <f t="shared" si="25"/>
        <v/>
      </c>
      <c r="G169" s="300" t="str">
        <f t="shared" si="26"/>
        <v/>
      </c>
      <c r="H169" t="str">
        <f t="shared" si="27"/>
        <v/>
      </c>
      <c r="I169" s="88" t="str">
        <f t="shared" si="28"/>
        <v/>
      </c>
      <c r="N169" t="str">
        <f t="shared" si="30"/>
        <v>-</v>
      </c>
      <c r="O169" t="str">
        <f t="shared" si="29"/>
        <v/>
      </c>
      <c r="Q169" s="70" t="str">
        <f t="shared" si="31"/>
        <v/>
      </c>
      <c r="R169" t="str">
        <f t="shared" si="32"/>
        <v/>
      </c>
      <c r="S169" s="525" t="str">
        <f t="shared" si="33"/>
        <v/>
      </c>
      <c r="T169" s="87" t="str">
        <f t="shared" si="34"/>
        <v/>
      </c>
      <c r="U169" s="87" t="str">
        <f t="shared" si="35"/>
        <v/>
      </c>
    </row>
    <row r="170" spans="5:21" x14ac:dyDescent="0.25">
      <c r="E170" s="244" t="str">
        <f t="shared" si="24"/>
        <v>-</v>
      </c>
      <c r="F170" t="str">
        <f t="shared" si="25"/>
        <v/>
      </c>
      <c r="G170" s="300" t="str">
        <f t="shared" si="26"/>
        <v/>
      </c>
      <c r="H170" t="str">
        <f t="shared" si="27"/>
        <v/>
      </c>
      <c r="I170" s="88" t="str">
        <f t="shared" si="28"/>
        <v/>
      </c>
      <c r="N170" t="str">
        <f t="shared" si="30"/>
        <v>-</v>
      </c>
      <c r="O170" t="str">
        <f t="shared" si="29"/>
        <v/>
      </c>
      <c r="Q170" s="70" t="str">
        <f t="shared" si="31"/>
        <v/>
      </c>
      <c r="R170" t="str">
        <f t="shared" si="32"/>
        <v/>
      </c>
      <c r="S170" s="525" t="str">
        <f t="shared" si="33"/>
        <v/>
      </c>
      <c r="T170" s="87" t="str">
        <f t="shared" si="34"/>
        <v/>
      </c>
      <c r="U170" s="87" t="str">
        <f t="shared" si="35"/>
        <v/>
      </c>
    </row>
    <row r="171" spans="5:21" x14ac:dyDescent="0.25">
      <c r="E171" s="244" t="str">
        <f t="shared" si="24"/>
        <v>-</v>
      </c>
      <c r="F171" t="str">
        <f t="shared" si="25"/>
        <v/>
      </c>
      <c r="G171" s="300" t="str">
        <f t="shared" si="26"/>
        <v/>
      </c>
      <c r="H171" t="str">
        <f t="shared" si="27"/>
        <v/>
      </c>
      <c r="I171" s="88" t="str">
        <f t="shared" si="28"/>
        <v/>
      </c>
      <c r="N171" t="str">
        <f t="shared" si="30"/>
        <v>-</v>
      </c>
      <c r="O171" t="str">
        <f t="shared" si="29"/>
        <v/>
      </c>
      <c r="Q171" s="70" t="str">
        <f t="shared" si="31"/>
        <v/>
      </c>
      <c r="R171" t="str">
        <f t="shared" si="32"/>
        <v/>
      </c>
      <c r="S171" s="525" t="str">
        <f t="shared" si="33"/>
        <v/>
      </c>
      <c r="T171" s="87" t="str">
        <f t="shared" si="34"/>
        <v/>
      </c>
      <c r="U171" s="87" t="str">
        <f t="shared" si="35"/>
        <v/>
      </c>
    </row>
    <row r="172" spans="5:21" x14ac:dyDescent="0.25">
      <c r="E172" s="244" t="str">
        <f t="shared" si="24"/>
        <v>-</v>
      </c>
      <c r="F172" t="str">
        <f t="shared" si="25"/>
        <v/>
      </c>
      <c r="G172" s="300" t="str">
        <f t="shared" si="26"/>
        <v/>
      </c>
      <c r="H172" t="str">
        <f t="shared" si="27"/>
        <v/>
      </c>
      <c r="I172" s="88" t="str">
        <f t="shared" si="28"/>
        <v/>
      </c>
      <c r="N172" t="str">
        <f t="shared" si="30"/>
        <v>-</v>
      </c>
      <c r="O172" t="str">
        <f t="shared" si="29"/>
        <v/>
      </c>
      <c r="Q172" s="70" t="str">
        <f t="shared" si="31"/>
        <v/>
      </c>
      <c r="R172" t="str">
        <f t="shared" si="32"/>
        <v/>
      </c>
      <c r="S172" s="525" t="str">
        <f t="shared" si="33"/>
        <v/>
      </c>
      <c r="T172" s="87" t="str">
        <f t="shared" si="34"/>
        <v/>
      </c>
      <c r="U172" s="87" t="str">
        <f t="shared" si="35"/>
        <v/>
      </c>
    </row>
    <row r="173" spans="5:21" x14ac:dyDescent="0.25">
      <c r="E173" s="244" t="str">
        <f t="shared" si="24"/>
        <v>-</v>
      </c>
      <c r="F173" t="str">
        <f t="shared" si="25"/>
        <v/>
      </c>
      <c r="G173" s="300" t="str">
        <f t="shared" si="26"/>
        <v/>
      </c>
      <c r="H173" t="str">
        <f t="shared" si="27"/>
        <v/>
      </c>
      <c r="I173" s="88" t="str">
        <f t="shared" si="28"/>
        <v/>
      </c>
      <c r="N173" t="str">
        <f t="shared" si="30"/>
        <v>-</v>
      </c>
      <c r="O173" t="str">
        <f t="shared" si="29"/>
        <v/>
      </c>
      <c r="Q173" s="70" t="str">
        <f t="shared" si="31"/>
        <v/>
      </c>
      <c r="R173" t="str">
        <f t="shared" si="32"/>
        <v/>
      </c>
      <c r="S173" s="525" t="str">
        <f t="shared" si="33"/>
        <v/>
      </c>
      <c r="T173" s="87" t="str">
        <f t="shared" si="34"/>
        <v/>
      </c>
      <c r="U173" s="87" t="str">
        <f t="shared" si="35"/>
        <v/>
      </c>
    </row>
    <row r="174" spans="5:21" x14ac:dyDescent="0.25">
      <c r="E174" s="244" t="str">
        <f t="shared" si="24"/>
        <v>-</v>
      </c>
      <c r="F174" t="str">
        <f t="shared" si="25"/>
        <v/>
      </c>
      <c r="G174" s="300" t="str">
        <f t="shared" si="26"/>
        <v/>
      </c>
      <c r="H174" t="str">
        <f t="shared" si="27"/>
        <v/>
      </c>
      <c r="I174" s="88" t="str">
        <f t="shared" si="28"/>
        <v/>
      </c>
      <c r="N174" t="str">
        <f t="shared" si="30"/>
        <v>-</v>
      </c>
      <c r="O174" t="str">
        <f t="shared" si="29"/>
        <v/>
      </c>
      <c r="Q174" s="70" t="str">
        <f t="shared" si="31"/>
        <v/>
      </c>
      <c r="R174" t="str">
        <f t="shared" si="32"/>
        <v/>
      </c>
      <c r="S174" s="525" t="str">
        <f t="shared" si="33"/>
        <v/>
      </c>
      <c r="T174" s="87" t="str">
        <f t="shared" si="34"/>
        <v/>
      </c>
      <c r="U174" s="87" t="str">
        <f t="shared" si="35"/>
        <v/>
      </c>
    </row>
    <row r="175" spans="5:21" x14ac:dyDescent="0.25">
      <c r="E175" s="244" t="str">
        <f t="shared" si="24"/>
        <v>-</v>
      </c>
      <c r="F175" t="str">
        <f t="shared" si="25"/>
        <v/>
      </c>
      <c r="G175" s="300" t="str">
        <f t="shared" si="26"/>
        <v/>
      </c>
      <c r="H175" t="str">
        <f t="shared" si="27"/>
        <v/>
      </c>
      <c r="I175" s="88" t="str">
        <f t="shared" si="28"/>
        <v/>
      </c>
      <c r="N175" t="str">
        <f t="shared" si="30"/>
        <v>-</v>
      </c>
      <c r="O175" t="str">
        <f t="shared" si="29"/>
        <v/>
      </c>
      <c r="Q175" s="70" t="str">
        <f t="shared" si="31"/>
        <v/>
      </c>
      <c r="R175" t="str">
        <f t="shared" si="32"/>
        <v/>
      </c>
      <c r="S175" s="525" t="str">
        <f t="shared" si="33"/>
        <v/>
      </c>
      <c r="T175" s="87" t="str">
        <f t="shared" si="34"/>
        <v/>
      </c>
      <c r="U175" s="87" t="str">
        <f t="shared" si="35"/>
        <v/>
      </c>
    </row>
    <row r="176" spans="5:21" x14ac:dyDescent="0.25">
      <c r="E176" s="244" t="str">
        <f t="shared" si="24"/>
        <v>-</v>
      </c>
      <c r="F176" t="str">
        <f t="shared" si="25"/>
        <v/>
      </c>
      <c r="G176" s="300" t="str">
        <f t="shared" si="26"/>
        <v/>
      </c>
      <c r="H176" t="str">
        <f t="shared" si="27"/>
        <v/>
      </c>
      <c r="I176" s="88" t="str">
        <f t="shared" si="28"/>
        <v/>
      </c>
      <c r="N176" t="str">
        <f t="shared" si="30"/>
        <v>-</v>
      </c>
      <c r="O176" t="str">
        <f t="shared" si="29"/>
        <v/>
      </c>
      <c r="Q176" s="70" t="str">
        <f t="shared" si="31"/>
        <v/>
      </c>
      <c r="R176" t="str">
        <f t="shared" si="32"/>
        <v/>
      </c>
      <c r="S176" s="525" t="str">
        <f t="shared" si="33"/>
        <v/>
      </c>
      <c r="T176" s="87" t="str">
        <f t="shared" si="34"/>
        <v/>
      </c>
      <c r="U176" s="87" t="str">
        <f t="shared" si="35"/>
        <v/>
      </c>
    </row>
    <row r="177" spans="5:21" x14ac:dyDescent="0.25">
      <c r="E177" s="244" t="str">
        <f t="shared" si="24"/>
        <v>-</v>
      </c>
      <c r="F177" t="str">
        <f t="shared" si="25"/>
        <v/>
      </c>
      <c r="G177" s="300" t="str">
        <f t="shared" si="26"/>
        <v/>
      </c>
      <c r="H177" t="str">
        <f t="shared" si="27"/>
        <v/>
      </c>
      <c r="I177" s="88" t="str">
        <f t="shared" si="28"/>
        <v/>
      </c>
      <c r="N177" t="str">
        <f t="shared" si="30"/>
        <v>-</v>
      </c>
      <c r="O177" t="str">
        <f t="shared" si="29"/>
        <v/>
      </c>
      <c r="Q177" s="70" t="str">
        <f t="shared" si="31"/>
        <v/>
      </c>
      <c r="R177" t="str">
        <f t="shared" si="32"/>
        <v/>
      </c>
      <c r="S177" s="525" t="str">
        <f t="shared" si="33"/>
        <v/>
      </c>
      <c r="T177" s="87" t="str">
        <f t="shared" si="34"/>
        <v/>
      </c>
      <c r="U177" s="87" t="str">
        <f t="shared" si="35"/>
        <v/>
      </c>
    </row>
    <row r="178" spans="5:21" x14ac:dyDescent="0.25">
      <c r="E178" s="244" t="str">
        <f t="shared" si="24"/>
        <v>-</v>
      </c>
      <c r="F178" t="str">
        <f t="shared" si="25"/>
        <v/>
      </c>
      <c r="G178" s="300" t="str">
        <f t="shared" si="26"/>
        <v/>
      </c>
      <c r="H178" t="str">
        <f t="shared" si="27"/>
        <v/>
      </c>
      <c r="I178" s="88" t="str">
        <f t="shared" si="28"/>
        <v/>
      </c>
      <c r="N178" t="str">
        <f t="shared" si="30"/>
        <v>-</v>
      </c>
      <c r="O178" t="str">
        <f t="shared" si="29"/>
        <v/>
      </c>
      <c r="Q178" s="70" t="str">
        <f t="shared" si="31"/>
        <v/>
      </c>
      <c r="R178" t="str">
        <f t="shared" si="32"/>
        <v/>
      </c>
      <c r="S178" s="525" t="str">
        <f t="shared" si="33"/>
        <v/>
      </c>
      <c r="T178" s="87" t="str">
        <f t="shared" si="34"/>
        <v/>
      </c>
      <c r="U178" s="87" t="str">
        <f t="shared" si="35"/>
        <v/>
      </c>
    </row>
    <row r="179" spans="5:21" x14ac:dyDescent="0.25">
      <c r="E179" s="244" t="str">
        <f t="shared" si="24"/>
        <v>-</v>
      </c>
      <c r="F179" t="str">
        <f t="shared" si="25"/>
        <v/>
      </c>
      <c r="G179" s="300" t="str">
        <f t="shared" si="26"/>
        <v/>
      </c>
      <c r="H179" t="str">
        <f t="shared" si="27"/>
        <v/>
      </c>
      <c r="I179" s="88" t="str">
        <f t="shared" si="28"/>
        <v/>
      </c>
      <c r="N179" t="str">
        <f t="shared" si="30"/>
        <v>-</v>
      </c>
      <c r="O179" t="str">
        <f t="shared" si="29"/>
        <v/>
      </c>
      <c r="Q179" s="70" t="str">
        <f t="shared" si="31"/>
        <v/>
      </c>
      <c r="R179" t="str">
        <f t="shared" si="32"/>
        <v/>
      </c>
      <c r="S179" s="525" t="str">
        <f t="shared" si="33"/>
        <v/>
      </c>
      <c r="T179" s="87" t="str">
        <f t="shared" si="34"/>
        <v/>
      </c>
      <c r="U179" s="87" t="str">
        <f t="shared" si="35"/>
        <v/>
      </c>
    </row>
    <row r="180" spans="5:21" x14ac:dyDescent="0.25">
      <c r="E180" s="244" t="str">
        <f t="shared" si="24"/>
        <v>-</v>
      </c>
      <c r="F180" t="str">
        <f t="shared" si="25"/>
        <v/>
      </c>
      <c r="G180" s="300" t="str">
        <f t="shared" si="26"/>
        <v/>
      </c>
      <c r="H180" t="str">
        <f t="shared" si="27"/>
        <v/>
      </c>
      <c r="I180" s="88" t="str">
        <f t="shared" si="28"/>
        <v/>
      </c>
      <c r="N180" t="str">
        <f t="shared" si="30"/>
        <v>-</v>
      </c>
      <c r="O180" t="str">
        <f t="shared" si="29"/>
        <v/>
      </c>
      <c r="Q180" s="70" t="str">
        <f t="shared" si="31"/>
        <v/>
      </c>
      <c r="R180" t="str">
        <f t="shared" si="32"/>
        <v/>
      </c>
      <c r="S180" s="525" t="str">
        <f t="shared" si="33"/>
        <v/>
      </c>
      <c r="T180" s="87" t="str">
        <f t="shared" si="34"/>
        <v/>
      </c>
      <c r="U180" s="87" t="str">
        <f t="shared" si="35"/>
        <v/>
      </c>
    </row>
    <row r="181" spans="5:21" x14ac:dyDescent="0.25">
      <c r="E181" s="244" t="str">
        <f t="shared" si="24"/>
        <v>-</v>
      </c>
      <c r="F181" t="str">
        <f t="shared" si="25"/>
        <v/>
      </c>
      <c r="G181" s="300" t="str">
        <f t="shared" si="26"/>
        <v/>
      </c>
      <c r="H181" t="str">
        <f t="shared" si="27"/>
        <v/>
      </c>
      <c r="I181" s="88" t="str">
        <f t="shared" si="28"/>
        <v/>
      </c>
      <c r="N181" t="str">
        <f t="shared" si="30"/>
        <v>-</v>
      </c>
      <c r="O181" t="str">
        <f t="shared" si="29"/>
        <v/>
      </c>
      <c r="Q181" s="70" t="str">
        <f t="shared" si="31"/>
        <v/>
      </c>
      <c r="R181" t="str">
        <f t="shared" si="32"/>
        <v/>
      </c>
      <c r="S181" s="525" t="str">
        <f t="shared" si="33"/>
        <v/>
      </c>
      <c r="T181" s="87" t="str">
        <f t="shared" si="34"/>
        <v/>
      </c>
      <c r="U181" s="87" t="str">
        <f t="shared" si="35"/>
        <v/>
      </c>
    </row>
    <row r="182" spans="5:21" x14ac:dyDescent="0.25">
      <c r="E182" s="244" t="str">
        <f t="shared" si="24"/>
        <v>-</v>
      </c>
      <c r="F182" t="str">
        <f t="shared" si="25"/>
        <v/>
      </c>
      <c r="G182" s="300" t="str">
        <f t="shared" si="26"/>
        <v/>
      </c>
      <c r="H182" t="str">
        <f t="shared" si="27"/>
        <v/>
      </c>
      <c r="I182" s="88" t="str">
        <f t="shared" si="28"/>
        <v/>
      </c>
      <c r="N182" t="str">
        <f t="shared" si="30"/>
        <v>-</v>
      </c>
      <c r="O182" t="str">
        <f t="shared" si="29"/>
        <v/>
      </c>
      <c r="Q182" s="70" t="str">
        <f t="shared" si="31"/>
        <v/>
      </c>
      <c r="R182" t="str">
        <f t="shared" si="32"/>
        <v/>
      </c>
      <c r="S182" s="525" t="str">
        <f t="shared" si="33"/>
        <v/>
      </c>
      <c r="T182" s="87" t="str">
        <f t="shared" si="34"/>
        <v/>
      </c>
      <c r="U182" s="87" t="str">
        <f t="shared" si="35"/>
        <v/>
      </c>
    </row>
    <row r="183" spans="5:21" x14ac:dyDescent="0.25">
      <c r="E183" s="244" t="str">
        <f t="shared" si="24"/>
        <v>-</v>
      </c>
      <c r="F183" t="str">
        <f t="shared" si="25"/>
        <v/>
      </c>
      <c r="G183" s="300" t="str">
        <f t="shared" si="26"/>
        <v/>
      </c>
      <c r="H183" t="str">
        <f t="shared" si="27"/>
        <v/>
      </c>
      <c r="I183" s="88" t="str">
        <f t="shared" si="28"/>
        <v/>
      </c>
      <c r="N183" t="str">
        <f t="shared" si="30"/>
        <v>-</v>
      </c>
      <c r="O183" t="str">
        <f t="shared" si="29"/>
        <v/>
      </c>
      <c r="Q183" s="70" t="str">
        <f t="shared" si="31"/>
        <v/>
      </c>
      <c r="R183" t="str">
        <f t="shared" si="32"/>
        <v/>
      </c>
      <c r="S183" s="525" t="str">
        <f t="shared" si="33"/>
        <v/>
      </c>
      <c r="T183" s="87" t="str">
        <f t="shared" si="34"/>
        <v/>
      </c>
      <c r="U183" s="87" t="str">
        <f t="shared" si="35"/>
        <v/>
      </c>
    </row>
    <row r="184" spans="5:21" x14ac:dyDescent="0.25">
      <c r="E184" s="244" t="str">
        <f t="shared" si="24"/>
        <v>-</v>
      </c>
      <c r="F184" t="str">
        <f t="shared" si="25"/>
        <v/>
      </c>
      <c r="G184" s="300" t="str">
        <f t="shared" si="26"/>
        <v/>
      </c>
      <c r="H184" t="str">
        <f t="shared" si="27"/>
        <v/>
      </c>
      <c r="I184" s="88" t="str">
        <f t="shared" si="28"/>
        <v/>
      </c>
      <c r="N184" t="str">
        <f t="shared" si="30"/>
        <v>-</v>
      </c>
      <c r="O184" t="str">
        <f t="shared" si="29"/>
        <v/>
      </c>
      <c r="Q184" s="70" t="str">
        <f t="shared" si="31"/>
        <v/>
      </c>
      <c r="R184" t="str">
        <f t="shared" si="32"/>
        <v/>
      </c>
      <c r="S184" s="525" t="str">
        <f t="shared" si="33"/>
        <v/>
      </c>
      <c r="T184" s="87" t="str">
        <f t="shared" si="34"/>
        <v/>
      </c>
      <c r="U184" s="87" t="str">
        <f t="shared" si="35"/>
        <v/>
      </c>
    </row>
    <row r="185" spans="5:21" x14ac:dyDescent="0.25">
      <c r="E185" s="244" t="str">
        <f t="shared" si="24"/>
        <v>-</v>
      </c>
      <c r="F185" t="str">
        <f t="shared" si="25"/>
        <v/>
      </c>
      <c r="G185" s="300" t="str">
        <f t="shared" si="26"/>
        <v/>
      </c>
      <c r="H185" t="str">
        <f t="shared" si="27"/>
        <v/>
      </c>
      <c r="I185" s="88" t="str">
        <f t="shared" si="28"/>
        <v/>
      </c>
      <c r="N185" t="str">
        <f t="shared" si="30"/>
        <v>-</v>
      </c>
      <c r="O185" t="str">
        <f t="shared" si="29"/>
        <v/>
      </c>
      <c r="Q185" s="70" t="str">
        <f t="shared" si="31"/>
        <v/>
      </c>
      <c r="R185" t="str">
        <f t="shared" si="32"/>
        <v/>
      </c>
      <c r="S185" s="525" t="str">
        <f t="shared" si="33"/>
        <v/>
      </c>
      <c r="T185" s="87" t="str">
        <f t="shared" si="34"/>
        <v/>
      </c>
      <c r="U185" s="87" t="str">
        <f t="shared" si="35"/>
        <v/>
      </c>
    </row>
    <row r="186" spans="5:21" x14ac:dyDescent="0.25">
      <c r="E186" s="244" t="str">
        <f t="shared" si="24"/>
        <v>-</v>
      </c>
      <c r="F186" t="str">
        <f t="shared" si="25"/>
        <v/>
      </c>
      <c r="G186" s="300" t="str">
        <f t="shared" si="26"/>
        <v/>
      </c>
      <c r="H186" t="str">
        <f t="shared" si="27"/>
        <v/>
      </c>
      <c r="I186" s="88" t="str">
        <f t="shared" si="28"/>
        <v/>
      </c>
      <c r="N186" t="str">
        <f t="shared" si="30"/>
        <v>-</v>
      </c>
      <c r="O186" t="str">
        <f t="shared" si="29"/>
        <v/>
      </c>
      <c r="Q186" s="70" t="str">
        <f t="shared" si="31"/>
        <v/>
      </c>
      <c r="R186" t="str">
        <f t="shared" si="32"/>
        <v/>
      </c>
      <c r="S186" s="525" t="str">
        <f t="shared" si="33"/>
        <v/>
      </c>
      <c r="T186" s="87" t="str">
        <f t="shared" si="34"/>
        <v/>
      </c>
      <c r="U186" s="87" t="str">
        <f t="shared" si="35"/>
        <v/>
      </c>
    </row>
    <row r="187" spans="5:21" x14ac:dyDescent="0.25">
      <c r="E187" s="244" t="str">
        <f t="shared" si="24"/>
        <v>-</v>
      </c>
      <c r="F187" t="str">
        <f t="shared" si="25"/>
        <v/>
      </c>
      <c r="G187" s="300" t="str">
        <f t="shared" si="26"/>
        <v/>
      </c>
      <c r="H187" t="str">
        <f t="shared" si="27"/>
        <v/>
      </c>
      <c r="I187" s="88" t="str">
        <f t="shared" si="28"/>
        <v/>
      </c>
      <c r="N187" t="str">
        <f t="shared" si="30"/>
        <v>-</v>
      </c>
      <c r="O187" t="str">
        <f t="shared" si="29"/>
        <v/>
      </c>
      <c r="Q187" s="70" t="str">
        <f t="shared" si="31"/>
        <v/>
      </c>
      <c r="R187" t="str">
        <f t="shared" si="32"/>
        <v/>
      </c>
      <c r="S187" s="525" t="str">
        <f t="shared" si="33"/>
        <v/>
      </c>
      <c r="T187" s="87" t="str">
        <f t="shared" si="34"/>
        <v/>
      </c>
      <c r="U187" s="87" t="str">
        <f t="shared" si="35"/>
        <v/>
      </c>
    </row>
    <row r="188" spans="5:21" x14ac:dyDescent="0.25">
      <c r="E188" s="244" t="str">
        <f t="shared" si="24"/>
        <v>-</v>
      </c>
      <c r="F188" t="str">
        <f t="shared" si="25"/>
        <v/>
      </c>
      <c r="G188" s="300" t="str">
        <f t="shared" si="26"/>
        <v/>
      </c>
      <c r="H188" t="str">
        <f t="shared" si="27"/>
        <v/>
      </c>
      <c r="I188" s="88" t="str">
        <f t="shared" si="28"/>
        <v/>
      </c>
      <c r="N188" t="str">
        <f t="shared" si="30"/>
        <v>-</v>
      </c>
      <c r="O188" t="str">
        <f t="shared" si="29"/>
        <v/>
      </c>
      <c r="Q188" s="70" t="str">
        <f t="shared" si="31"/>
        <v/>
      </c>
      <c r="R188" t="str">
        <f t="shared" si="32"/>
        <v/>
      </c>
      <c r="S188" s="525" t="str">
        <f t="shared" si="33"/>
        <v/>
      </c>
      <c r="T188" s="87" t="str">
        <f t="shared" si="34"/>
        <v/>
      </c>
      <c r="U188" s="87" t="str">
        <f t="shared" si="35"/>
        <v/>
      </c>
    </row>
    <row r="189" spans="5:21" x14ac:dyDescent="0.25">
      <c r="E189" s="244" t="str">
        <f t="shared" si="24"/>
        <v>-</v>
      </c>
      <c r="F189" t="str">
        <f t="shared" si="25"/>
        <v/>
      </c>
      <c r="G189" s="300" t="str">
        <f t="shared" si="26"/>
        <v/>
      </c>
      <c r="H189" t="str">
        <f t="shared" si="27"/>
        <v/>
      </c>
      <c r="I189" s="88" t="str">
        <f t="shared" si="28"/>
        <v/>
      </c>
      <c r="N189" t="str">
        <f t="shared" si="30"/>
        <v>-</v>
      </c>
      <c r="O189" t="str">
        <f t="shared" si="29"/>
        <v/>
      </c>
      <c r="Q189" s="70" t="str">
        <f t="shared" si="31"/>
        <v/>
      </c>
      <c r="R189" t="str">
        <f t="shared" si="32"/>
        <v/>
      </c>
      <c r="S189" s="525" t="str">
        <f t="shared" si="33"/>
        <v/>
      </c>
      <c r="T189" s="87" t="str">
        <f t="shared" si="34"/>
        <v/>
      </c>
      <c r="U189" s="87" t="str">
        <f t="shared" si="35"/>
        <v/>
      </c>
    </row>
    <row r="190" spans="5:21" x14ac:dyDescent="0.25">
      <c r="E190" s="244" t="str">
        <f t="shared" si="24"/>
        <v>-</v>
      </c>
      <c r="F190" t="str">
        <f t="shared" si="25"/>
        <v/>
      </c>
      <c r="G190" s="300" t="str">
        <f t="shared" si="26"/>
        <v/>
      </c>
      <c r="H190" t="str">
        <f t="shared" si="27"/>
        <v/>
      </c>
      <c r="I190" s="88" t="str">
        <f t="shared" si="28"/>
        <v/>
      </c>
      <c r="N190" t="str">
        <f t="shared" si="30"/>
        <v>-</v>
      </c>
      <c r="O190" t="str">
        <f t="shared" si="29"/>
        <v/>
      </c>
      <c r="Q190" s="70" t="str">
        <f t="shared" si="31"/>
        <v/>
      </c>
      <c r="R190" t="str">
        <f t="shared" si="32"/>
        <v/>
      </c>
      <c r="S190" s="525" t="str">
        <f t="shared" si="33"/>
        <v/>
      </c>
      <c r="T190" s="87" t="str">
        <f t="shared" si="34"/>
        <v/>
      </c>
      <c r="U190" s="87" t="str">
        <f t="shared" si="35"/>
        <v/>
      </c>
    </row>
    <row r="191" spans="5:21" x14ac:dyDescent="0.25">
      <c r="E191" s="244" t="str">
        <f t="shared" si="24"/>
        <v>-</v>
      </c>
      <c r="F191" t="str">
        <f t="shared" si="25"/>
        <v/>
      </c>
      <c r="G191" s="300" t="str">
        <f t="shared" si="26"/>
        <v/>
      </c>
      <c r="H191" t="str">
        <f t="shared" si="27"/>
        <v/>
      </c>
      <c r="I191" s="88" t="str">
        <f t="shared" si="28"/>
        <v/>
      </c>
      <c r="N191" t="str">
        <f t="shared" si="30"/>
        <v>-</v>
      </c>
      <c r="O191" t="str">
        <f t="shared" si="29"/>
        <v/>
      </c>
      <c r="Q191" s="70" t="str">
        <f t="shared" si="31"/>
        <v/>
      </c>
      <c r="R191" t="str">
        <f t="shared" si="32"/>
        <v/>
      </c>
      <c r="S191" s="525" t="str">
        <f t="shared" si="33"/>
        <v/>
      </c>
      <c r="T191" s="87" t="str">
        <f t="shared" si="34"/>
        <v/>
      </c>
      <c r="U191" s="87" t="str">
        <f t="shared" si="35"/>
        <v/>
      </c>
    </row>
    <row r="192" spans="5:21" x14ac:dyDescent="0.25">
      <c r="E192" s="244" t="str">
        <f t="shared" si="24"/>
        <v>-</v>
      </c>
      <c r="F192" t="str">
        <f t="shared" si="25"/>
        <v/>
      </c>
      <c r="G192" s="300" t="str">
        <f t="shared" si="26"/>
        <v/>
      </c>
      <c r="H192" t="str">
        <f t="shared" si="27"/>
        <v/>
      </c>
      <c r="I192" s="88" t="str">
        <f t="shared" si="28"/>
        <v/>
      </c>
      <c r="N192" t="str">
        <f t="shared" si="30"/>
        <v>-</v>
      </c>
      <c r="O192" t="str">
        <f t="shared" si="29"/>
        <v/>
      </c>
      <c r="Q192" s="70" t="str">
        <f t="shared" si="31"/>
        <v/>
      </c>
      <c r="R192" t="str">
        <f t="shared" si="32"/>
        <v/>
      </c>
      <c r="S192" s="525" t="str">
        <f t="shared" si="33"/>
        <v/>
      </c>
      <c r="T192" s="87" t="str">
        <f t="shared" si="34"/>
        <v/>
      </c>
      <c r="U192" s="87" t="str">
        <f t="shared" si="35"/>
        <v/>
      </c>
    </row>
    <row r="193" spans="5:21" x14ac:dyDescent="0.25">
      <c r="E193" s="244" t="str">
        <f t="shared" si="24"/>
        <v>-</v>
      </c>
      <c r="F193" t="str">
        <f t="shared" si="25"/>
        <v/>
      </c>
      <c r="G193" s="300" t="str">
        <f t="shared" si="26"/>
        <v/>
      </c>
      <c r="H193" t="str">
        <f t="shared" si="27"/>
        <v/>
      </c>
      <c r="I193" s="88" t="str">
        <f t="shared" si="28"/>
        <v/>
      </c>
      <c r="N193" t="str">
        <f t="shared" si="30"/>
        <v>-</v>
      </c>
      <c r="O193" t="str">
        <f t="shared" si="29"/>
        <v/>
      </c>
      <c r="Q193" s="70" t="str">
        <f t="shared" si="31"/>
        <v/>
      </c>
      <c r="R193" t="str">
        <f t="shared" si="32"/>
        <v/>
      </c>
      <c r="S193" s="525" t="str">
        <f t="shared" si="33"/>
        <v/>
      </c>
      <c r="T193" s="87" t="str">
        <f t="shared" si="34"/>
        <v/>
      </c>
      <c r="U193" s="87" t="str">
        <f t="shared" si="35"/>
        <v/>
      </c>
    </row>
    <row r="194" spans="5:21" x14ac:dyDescent="0.25">
      <c r="E194" s="244" t="str">
        <f t="shared" si="24"/>
        <v>-</v>
      </c>
      <c r="F194" t="str">
        <f t="shared" si="25"/>
        <v/>
      </c>
      <c r="G194" s="300" t="str">
        <f t="shared" si="26"/>
        <v/>
      </c>
      <c r="H194" t="str">
        <f t="shared" si="27"/>
        <v/>
      </c>
      <c r="I194" s="88" t="str">
        <f t="shared" si="28"/>
        <v/>
      </c>
      <c r="N194" t="str">
        <f t="shared" si="30"/>
        <v>-</v>
      </c>
      <c r="O194" t="str">
        <f t="shared" si="29"/>
        <v/>
      </c>
      <c r="Q194" s="70" t="str">
        <f t="shared" si="31"/>
        <v/>
      </c>
      <c r="R194" t="str">
        <f t="shared" si="32"/>
        <v/>
      </c>
      <c r="S194" s="525" t="str">
        <f t="shared" si="33"/>
        <v/>
      </c>
      <c r="T194" s="87" t="str">
        <f t="shared" si="34"/>
        <v/>
      </c>
      <c r="U194" s="87" t="str">
        <f t="shared" si="35"/>
        <v/>
      </c>
    </row>
    <row r="195" spans="5:21" x14ac:dyDescent="0.25">
      <c r="E195" s="244" t="str">
        <f t="shared" si="24"/>
        <v>-</v>
      </c>
      <c r="F195" t="str">
        <f t="shared" si="25"/>
        <v/>
      </c>
      <c r="G195" s="300" t="str">
        <f t="shared" si="26"/>
        <v/>
      </c>
      <c r="H195" t="str">
        <f t="shared" si="27"/>
        <v/>
      </c>
      <c r="I195" s="88" t="str">
        <f t="shared" si="28"/>
        <v/>
      </c>
      <c r="N195" t="str">
        <f t="shared" si="30"/>
        <v>-</v>
      </c>
      <c r="O195" t="str">
        <f t="shared" si="29"/>
        <v/>
      </c>
      <c r="Q195" s="70" t="str">
        <f t="shared" si="31"/>
        <v/>
      </c>
      <c r="R195" t="str">
        <f t="shared" si="32"/>
        <v/>
      </c>
      <c r="S195" s="525" t="str">
        <f t="shared" si="33"/>
        <v/>
      </c>
      <c r="T195" s="87" t="str">
        <f t="shared" si="34"/>
        <v/>
      </c>
      <c r="U195" s="87" t="str">
        <f t="shared" si="35"/>
        <v/>
      </c>
    </row>
    <row r="196" spans="5:21" x14ac:dyDescent="0.25">
      <c r="E196" s="244" t="str">
        <f t="shared" ref="E196:E259" si="36">G196&amp;"-"&amp;H196</f>
        <v>-</v>
      </c>
      <c r="F196" t="str">
        <f t="shared" si="25"/>
        <v/>
      </c>
      <c r="G196" s="300" t="str">
        <f t="shared" si="26"/>
        <v/>
      </c>
      <c r="H196" t="str">
        <f t="shared" si="27"/>
        <v/>
      </c>
      <c r="I196" s="88" t="str">
        <f t="shared" si="28"/>
        <v/>
      </c>
      <c r="N196" t="str">
        <f t="shared" si="30"/>
        <v>-</v>
      </c>
      <c r="O196" t="str">
        <f t="shared" si="29"/>
        <v/>
      </c>
      <c r="Q196" s="70" t="str">
        <f t="shared" si="31"/>
        <v/>
      </c>
      <c r="R196" t="str">
        <f t="shared" si="32"/>
        <v/>
      </c>
      <c r="S196" s="525" t="str">
        <f t="shared" si="33"/>
        <v/>
      </c>
      <c r="T196" s="87" t="str">
        <f t="shared" si="34"/>
        <v/>
      </c>
      <c r="U196" s="87" t="str">
        <f t="shared" si="35"/>
        <v/>
      </c>
    </row>
    <row r="197" spans="5:21" x14ac:dyDescent="0.25">
      <c r="E197" s="244" t="str">
        <f t="shared" si="36"/>
        <v>-</v>
      </c>
      <c r="F197" t="str">
        <f t="shared" ref="F197:F260" si="37">IF(A195="Grand Total","",IF(LEN(A195)=4,A195,IF(F196="","",F196)))</f>
        <v/>
      </c>
      <c r="G197" s="300" t="str">
        <f t="shared" ref="G197:G260" si="38">IF(F197=A197,"",F197)</f>
        <v/>
      </c>
      <c r="H197" t="str">
        <f t="shared" si="27"/>
        <v/>
      </c>
      <c r="I197" s="88" t="str">
        <f t="shared" si="28"/>
        <v/>
      </c>
      <c r="N197" t="str">
        <f t="shared" si="30"/>
        <v>-</v>
      </c>
      <c r="O197" t="str">
        <f t="shared" si="29"/>
        <v/>
      </c>
      <c r="Q197" s="70" t="str">
        <f t="shared" si="31"/>
        <v/>
      </c>
      <c r="R197" t="str">
        <f t="shared" si="32"/>
        <v/>
      </c>
      <c r="S197" s="525" t="str">
        <f t="shared" si="33"/>
        <v/>
      </c>
      <c r="T197" s="87" t="str">
        <f t="shared" si="34"/>
        <v/>
      </c>
      <c r="U197" s="87" t="str">
        <f t="shared" si="35"/>
        <v/>
      </c>
    </row>
    <row r="198" spans="5:21" x14ac:dyDescent="0.25">
      <c r="E198" s="244" t="str">
        <f t="shared" si="36"/>
        <v>-</v>
      </c>
      <c r="F198" t="str">
        <f t="shared" si="37"/>
        <v/>
      </c>
      <c r="G198" s="300" t="str">
        <f t="shared" si="38"/>
        <v/>
      </c>
      <c r="H198" t="str">
        <f t="shared" si="27"/>
        <v/>
      </c>
      <c r="I198" s="88" t="str">
        <f t="shared" si="28"/>
        <v/>
      </c>
      <c r="N198" t="str">
        <f t="shared" si="30"/>
        <v>-</v>
      </c>
      <c r="O198" t="str">
        <f t="shared" si="29"/>
        <v/>
      </c>
      <c r="Q198" s="70" t="str">
        <f t="shared" si="31"/>
        <v/>
      </c>
      <c r="R198" t="str">
        <f t="shared" si="32"/>
        <v/>
      </c>
      <c r="S198" s="525" t="str">
        <f t="shared" si="33"/>
        <v/>
      </c>
      <c r="T198" s="87" t="str">
        <f t="shared" si="34"/>
        <v/>
      </c>
      <c r="U198" s="87" t="str">
        <f t="shared" si="35"/>
        <v/>
      </c>
    </row>
    <row r="199" spans="5:21" x14ac:dyDescent="0.25">
      <c r="E199" s="244" t="str">
        <f t="shared" si="36"/>
        <v>-</v>
      </c>
      <c r="F199" t="str">
        <f t="shared" si="37"/>
        <v/>
      </c>
      <c r="G199" s="300" t="str">
        <f t="shared" si="38"/>
        <v/>
      </c>
      <c r="H199" t="str">
        <f t="shared" si="27"/>
        <v/>
      </c>
      <c r="I199" s="88" t="str">
        <f t="shared" si="28"/>
        <v/>
      </c>
      <c r="N199" t="str">
        <f t="shared" si="30"/>
        <v>-</v>
      </c>
      <c r="O199" t="str">
        <f t="shared" si="29"/>
        <v/>
      </c>
      <c r="Q199" s="70" t="str">
        <f t="shared" si="31"/>
        <v/>
      </c>
      <c r="R199" t="str">
        <f t="shared" si="32"/>
        <v/>
      </c>
      <c r="S199" s="525" t="str">
        <f t="shared" si="33"/>
        <v/>
      </c>
      <c r="T199" s="87" t="str">
        <f t="shared" si="34"/>
        <v/>
      </c>
      <c r="U199" s="87" t="str">
        <f t="shared" si="35"/>
        <v/>
      </c>
    </row>
    <row r="200" spans="5:21" x14ac:dyDescent="0.25">
      <c r="E200" s="244" t="str">
        <f t="shared" si="36"/>
        <v>-</v>
      </c>
      <c r="F200" t="str">
        <f t="shared" si="37"/>
        <v/>
      </c>
      <c r="G200" s="300" t="str">
        <f t="shared" si="38"/>
        <v/>
      </c>
      <c r="H200" t="str">
        <f t="shared" ref="H200:H263" si="39">IF(F200="","",IF(F200=G200,A200,""))</f>
        <v/>
      </c>
      <c r="I200" s="88" t="str">
        <f t="shared" ref="I200:I263" si="40">IF(H200="","",B200)</f>
        <v/>
      </c>
      <c r="N200" t="str">
        <f t="shared" si="30"/>
        <v>-</v>
      </c>
      <c r="O200" t="str">
        <f t="shared" si="29"/>
        <v/>
      </c>
      <c r="Q200" s="70" t="str">
        <f t="shared" si="31"/>
        <v/>
      </c>
      <c r="R200" t="str">
        <f t="shared" si="32"/>
        <v/>
      </c>
      <c r="S200" s="525" t="str">
        <f t="shared" si="33"/>
        <v/>
      </c>
      <c r="T200" s="87" t="str">
        <f t="shared" si="34"/>
        <v/>
      </c>
      <c r="U200" s="87" t="str">
        <f t="shared" si="35"/>
        <v/>
      </c>
    </row>
    <row r="201" spans="5:21" x14ac:dyDescent="0.25">
      <c r="E201" s="244" t="str">
        <f t="shared" si="36"/>
        <v>-</v>
      </c>
      <c r="F201" t="str">
        <f t="shared" si="37"/>
        <v/>
      </c>
      <c r="G201" s="300" t="str">
        <f t="shared" si="38"/>
        <v/>
      </c>
      <c r="H201" t="str">
        <f t="shared" si="39"/>
        <v/>
      </c>
      <c r="I201" s="88" t="str">
        <f t="shared" si="40"/>
        <v/>
      </c>
      <c r="N201" t="str">
        <f t="shared" si="30"/>
        <v>-</v>
      </c>
      <c r="O201" t="str">
        <f t="shared" si="29"/>
        <v/>
      </c>
      <c r="Q201" s="70" t="str">
        <f t="shared" si="31"/>
        <v/>
      </c>
      <c r="R201" t="str">
        <f t="shared" si="32"/>
        <v/>
      </c>
      <c r="S201" s="525" t="str">
        <f t="shared" si="33"/>
        <v/>
      </c>
      <c r="T201" s="87" t="str">
        <f t="shared" si="34"/>
        <v/>
      </c>
      <c r="U201" s="87" t="str">
        <f t="shared" si="35"/>
        <v/>
      </c>
    </row>
    <row r="202" spans="5:21" x14ac:dyDescent="0.25">
      <c r="E202" s="244" t="str">
        <f t="shared" si="36"/>
        <v>-</v>
      </c>
      <c r="F202" t="str">
        <f t="shared" si="37"/>
        <v/>
      </c>
      <c r="G202" s="300" t="str">
        <f t="shared" si="38"/>
        <v/>
      </c>
      <c r="H202" t="str">
        <f t="shared" si="39"/>
        <v/>
      </c>
      <c r="I202" s="88" t="str">
        <f t="shared" si="40"/>
        <v/>
      </c>
      <c r="N202" t="str">
        <f t="shared" si="30"/>
        <v>-</v>
      </c>
      <c r="O202" t="str">
        <f t="shared" si="29"/>
        <v/>
      </c>
      <c r="Q202" s="70" t="str">
        <f t="shared" si="31"/>
        <v/>
      </c>
      <c r="R202" t="str">
        <f t="shared" si="32"/>
        <v/>
      </c>
      <c r="S202" s="525" t="str">
        <f t="shared" si="33"/>
        <v/>
      </c>
      <c r="T202" s="87" t="str">
        <f t="shared" si="34"/>
        <v/>
      </c>
      <c r="U202" s="87" t="str">
        <f t="shared" si="35"/>
        <v/>
      </c>
    </row>
    <row r="203" spans="5:21" x14ac:dyDescent="0.25">
      <c r="E203" s="244" t="str">
        <f t="shared" si="36"/>
        <v>-</v>
      </c>
      <c r="F203" t="str">
        <f t="shared" si="37"/>
        <v/>
      </c>
      <c r="G203" s="300" t="str">
        <f t="shared" si="38"/>
        <v/>
      </c>
      <c r="H203" t="str">
        <f t="shared" si="39"/>
        <v/>
      </c>
      <c r="I203" s="88" t="str">
        <f t="shared" si="40"/>
        <v/>
      </c>
      <c r="N203" t="str">
        <f t="shared" si="30"/>
        <v>-</v>
      </c>
      <c r="O203" t="str">
        <f t="shared" si="29"/>
        <v/>
      </c>
      <c r="Q203" s="70" t="str">
        <f t="shared" si="31"/>
        <v/>
      </c>
      <c r="R203" t="str">
        <f t="shared" si="32"/>
        <v/>
      </c>
      <c r="S203" s="525" t="str">
        <f t="shared" si="33"/>
        <v/>
      </c>
      <c r="T203" s="87" t="str">
        <f t="shared" si="34"/>
        <v/>
      </c>
      <c r="U203" s="87" t="str">
        <f t="shared" si="35"/>
        <v/>
      </c>
    </row>
    <row r="204" spans="5:21" x14ac:dyDescent="0.25">
      <c r="E204" s="244" t="str">
        <f t="shared" si="36"/>
        <v>-</v>
      </c>
      <c r="F204" t="str">
        <f t="shared" si="37"/>
        <v/>
      </c>
      <c r="G204" s="300" t="str">
        <f t="shared" si="38"/>
        <v/>
      </c>
      <c r="H204" t="str">
        <f t="shared" si="39"/>
        <v/>
      </c>
      <c r="I204" s="88" t="str">
        <f t="shared" si="40"/>
        <v/>
      </c>
      <c r="N204" t="str">
        <f t="shared" si="30"/>
        <v>-</v>
      </c>
      <c r="O204" t="str">
        <f t="shared" si="29"/>
        <v/>
      </c>
      <c r="Q204" s="70" t="str">
        <f t="shared" si="31"/>
        <v/>
      </c>
      <c r="R204" t="str">
        <f t="shared" si="32"/>
        <v/>
      </c>
      <c r="S204" s="525" t="str">
        <f t="shared" si="33"/>
        <v/>
      </c>
      <c r="T204" s="87" t="str">
        <f t="shared" si="34"/>
        <v/>
      </c>
      <c r="U204" s="87" t="str">
        <f t="shared" si="35"/>
        <v/>
      </c>
    </row>
    <row r="205" spans="5:21" x14ac:dyDescent="0.25">
      <c r="E205" s="244" t="str">
        <f t="shared" si="36"/>
        <v>-</v>
      </c>
      <c r="F205" t="str">
        <f t="shared" si="37"/>
        <v/>
      </c>
      <c r="G205" s="300" t="str">
        <f t="shared" si="38"/>
        <v/>
      </c>
      <c r="H205" t="str">
        <f t="shared" si="39"/>
        <v/>
      </c>
      <c r="I205" s="88" t="str">
        <f t="shared" si="40"/>
        <v/>
      </c>
      <c r="N205" t="str">
        <f t="shared" si="30"/>
        <v>-</v>
      </c>
      <c r="O205" t="str">
        <f t="shared" si="29"/>
        <v/>
      </c>
      <c r="Q205" s="70" t="str">
        <f t="shared" si="31"/>
        <v/>
      </c>
      <c r="R205" t="str">
        <f t="shared" si="32"/>
        <v/>
      </c>
      <c r="S205" s="525" t="str">
        <f t="shared" si="33"/>
        <v/>
      </c>
      <c r="T205" s="87" t="str">
        <f t="shared" si="34"/>
        <v/>
      </c>
      <c r="U205" s="87" t="str">
        <f t="shared" si="35"/>
        <v/>
      </c>
    </row>
    <row r="206" spans="5:21" x14ac:dyDescent="0.25">
      <c r="E206" s="244" t="str">
        <f t="shared" si="36"/>
        <v>-</v>
      </c>
      <c r="F206" t="str">
        <f t="shared" si="37"/>
        <v/>
      </c>
      <c r="G206" s="300" t="str">
        <f t="shared" si="38"/>
        <v/>
      </c>
      <c r="H206" t="str">
        <f t="shared" si="39"/>
        <v/>
      </c>
      <c r="I206" s="88" t="str">
        <f t="shared" si="40"/>
        <v/>
      </c>
      <c r="N206" t="str">
        <f t="shared" si="30"/>
        <v>-</v>
      </c>
      <c r="O206" t="str">
        <f t="shared" ref="O206:O269" si="41">IF(K206="Grand Total","",IF(LEN(K206)=4,K206,IF(O205="","",O205)))</f>
        <v/>
      </c>
      <c r="Q206" s="70" t="str">
        <f t="shared" si="31"/>
        <v/>
      </c>
      <c r="R206" t="str">
        <f t="shared" si="32"/>
        <v/>
      </c>
      <c r="S206" s="525" t="str">
        <f t="shared" si="33"/>
        <v/>
      </c>
      <c r="T206" s="87" t="str">
        <f t="shared" si="34"/>
        <v/>
      </c>
      <c r="U206" s="87" t="str">
        <f t="shared" si="35"/>
        <v/>
      </c>
    </row>
    <row r="207" spans="5:21" x14ac:dyDescent="0.25">
      <c r="E207" s="244" t="str">
        <f t="shared" si="36"/>
        <v>-</v>
      </c>
      <c r="F207" t="str">
        <f t="shared" si="37"/>
        <v/>
      </c>
      <c r="G207" s="300" t="str">
        <f t="shared" si="38"/>
        <v/>
      </c>
      <c r="H207" t="str">
        <f t="shared" si="39"/>
        <v/>
      </c>
      <c r="I207" s="88" t="str">
        <f t="shared" si="40"/>
        <v/>
      </c>
      <c r="N207" t="str">
        <f t="shared" ref="N207:N270" si="42">Q207&amp;"-"&amp;R207</f>
        <v>-</v>
      </c>
      <c r="O207" t="str">
        <f t="shared" si="41"/>
        <v/>
      </c>
      <c r="Q207" s="70" t="str">
        <f t="shared" ref="Q207:Q270" si="43">IF(O207=K207,"",O207)</f>
        <v/>
      </c>
      <c r="R207" t="str">
        <f t="shared" ref="R207:R270" si="44">IF(O207="","",IF(O207=Q207,K207,""))</f>
        <v/>
      </c>
      <c r="S207" s="525" t="str">
        <f t="shared" ref="S207:S270" si="45">IF(R207="","",L207)</f>
        <v/>
      </c>
      <c r="T207" s="87" t="str">
        <f t="shared" ref="T207:T270" si="46">VLOOKUP(N207,$E$4:$I$566,5,FALSE)</f>
        <v/>
      </c>
      <c r="U207" s="87" t="str">
        <f t="shared" ref="U207:U270" si="47">IFERROR(T207/S207,"")</f>
        <v/>
      </c>
    </row>
    <row r="208" spans="5:21" x14ac:dyDescent="0.25">
      <c r="E208" s="244" t="str">
        <f t="shared" si="36"/>
        <v>-</v>
      </c>
      <c r="F208" t="str">
        <f t="shared" si="37"/>
        <v/>
      </c>
      <c r="G208" s="300" t="str">
        <f t="shared" si="38"/>
        <v/>
      </c>
      <c r="H208" t="str">
        <f t="shared" si="39"/>
        <v/>
      </c>
      <c r="I208" s="88" t="str">
        <f t="shared" si="40"/>
        <v/>
      </c>
      <c r="N208" t="str">
        <f t="shared" si="42"/>
        <v>-</v>
      </c>
      <c r="O208" t="str">
        <f t="shared" si="41"/>
        <v/>
      </c>
      <c r="Q208" s="70" t="str">
        <f t="shared" si="43"/>
        <v/>
      </c>
      <c r="R208" t="str">
        <f t="shared" si="44"/>
        <v/>
      </c>
      <c r="S208" s="525" t="str">
        <f t="shared" si="45"/>
        <v/>
      </c>
      <c r="T208" s="87" t="str">
        <f t="shared" si="46"/>
        <v/>
      </c>
      <c r="U208" s="87" t="str">
        <f t="shared" si="47"/>
        <v/>
      </c>
    </row>
    <row r="209" spans="5:21" x14ac:dyDescent="0.25">
      <c r="E209" s="244" t="str">
        <f t="shared" si="36"/>
        <v>-</v>
      </c>
      <c r="F209" t="str">
        <f t="shared" si="37"/>
        <v/>
      </c>
      <c r="G209" s="300" t="str">
        <f t="shared" si="38"/>
        <v/>
      </c>
      <c r="H209" t="str">
        <f t="shared" si="39"/>
        <v/>
      </c>
      <c r="I209" s="88" t="str">
        <f t="shared" si="40"/>
        <v/>
      </c>
      <c r="N209" t="str">
        <f t="shared" si="42"/>
        <v>-</v>
      </c>
      <c r="O209" t="str">
        <f t="shared" si="41"/>
        <v/>
      </c>
      <c r="Q209" s="70" t="str">
        <f t="shared" si="43"/>
        <v/>
      </c>
      <c r="R209" t="str">
        <f t="shared" si="44"/>
        <v/>
      </c>
      <c r="S209" s="525" t="str">
        <f t="shared" si="45"/>
        <v/>
      </c>
      <c r="T209" s="87" t="str">
        <f t="shared" si="46"/>
        <v/>
      </c>
      <c r="U209" s="87" t="str">
        <f t="shared" si="47"/>
        <v/>
      </c>
    </row>
    <row r="210" spans="5:21" x14ac:dyDescent="0.25">
      <c r="E210" s="244" t="str">
        <f t="shared" si="36"/>
        <v>-</v>
      </c>
      <c r="F210" t="str">
        <f t="shared" si="37"/>
        <v/>
      </c>
      <c r="G210" s="300" t="str">
        <f t="shared" si="38"/>
        <v/>
      </c>
      <c r="H210" t="str">
        <f t="shared" si="39"/>
        <v/>
      </c>
      <c r="I210" s="88" t="str">
        <f t="shared" si="40"/>
        <v/>
      </c>
      <c r="N210" t="str">
        <f t="shared" si="42"/>
        <v>-</v>
      </c>
      <c r="O210" t="str">
        <f t="shared" si="41"/>
        <v/>
      </c>
      <c r="Q210" s="70" t="str">
        <f t="shared" si="43"/>
        <v/>
      </c>
      <c r="R210" t="str">
        <f t="shared" si="44"/>
        <v/>
      </c>
      <c r="S210" s="525" t="str">
        <f t="shared" si="45"/>
        <v/>
      </c>
      <c r="T210" s="87" t="str">
        <f t="shared" si="46"/>
        <v/>
      </c>
      <c r="U210" s="87" t="str">
        <f t="shared" si="47"/>
        <v/>
      </c>
    </row>
    <row r="211" spans="5:21" x14ac:dyDescent="0.25">
      <c r="E211" s="244" t="str">
        <f t="shared" si="36"/>
        <v>-</v>
      </c>
      <c r="F211" t="str">
        <f t="shared" si="37"/>
        <v/>
      </c>
      <c r="G211" s="300" t="str">
        <f t="shared" si="38"/>
        <v/>
      </c>
      <c r="H211" t="str">
        <f t="shared" si="39"/>
        <v/>
      </c>
      <c r="I211" s="88" t="str">
        <f t="shared" si="40"/>
        <v/>
      </c>
      <c r="N211" t="str">
        <f t="shared" si="42"/>
        <v>-</v>
      </c>
      <c r="O211" t="str">
        <f t="shared" si="41"/>
        <v/>
      </c>
      <c r="Q211" s="70" t="str">
        <f t="shared" si="43"/>
        <v/>
      </c>
      <c r="R211" t="str">
        <f t="shared" si="44"/>
        <v/>
      </c>
      <c r="S211" s="525" t="str">
        <f t="shared" si="45"/>
        <v/>
      </c>
      <c r="T211" s="87" t="str">
        <f t="shared" si="46"/>
        <v/>
      </c>
      <c r="U211" s="87" t="str">
        <f t="shared" si="47"/>
        <v/>
      </c>
    </row>
    <row r="212" spans="5:21" x14ac:dyDescent="0.25">
      <c r="E212" s="244" t="str">
        <f t="shared" si="36"/>
        <v>-</v>
      </c>
      <c r="F212" t="str">
        <f t="shared" si="37"/>
        <v/>
      </c>
      <c r="G212" s="300" t="str">
        <f t="shared" si="38"/>
        <v/>
      </c>
      <c r="H212" t="str">
        <f t="shared" si="39"/>
        <v/>
      </c>
      <c r="I212" s="88" t="str">
        <f t="shared" si="40"/>
        <v/>
      </c>
      <c r="N212" t="str">
        <f t="shared" si="42"/>
        <v>-</v>
      </c>
      <c r="O212" t="str">
        <f t="shared" si="41"/>
        <v/>
      </c>
      <c r="Q212" s="70" t="str">
        <f t="shared" si="43"/>
        <v/>
      </c>
      <c r="R212" t="str">
        <f t="shared" si="44"/>
        <v/>
      </c>
      <c r="S212" s="525" t="str">
        <f t="shared" si="45"/>
        <v/>
      </c>
      <c r="T212" s="87" t="str">
        <f t="shared" si="46"/>
        <v/>
      </c>
      <c r="U212" s="87" t="str">
        <f t="shared" si="47"/>
        <v/>
      </c>
    </row>
    <row r="213" spans="5:21" x14ac:dyDescent="0.25">
      <c r="E213" s="244" t="str">
        <f t="shared" si="36"/>
        <v>-</v>
      </c>
      <c r="F213" t="str">
        <f t="shared" si="37"/>
        <v/>
      </c>
      <c r="G213" s="300" t="str">
        <f t="shared" si="38"/>
        <v/>
      </c>
      <c r="H213" t="str">
        <f t="shared" si="39"/>
        <v/>
      </c>
      <c r="I213" s="88" t="str">
        <f t="shared" si="40"/>
        <v/>
      </c>
      <c r="N213" t="str">
        <f t="shared" si="42"/>
        <v>-</v>
      </c>
      <c r="O213" t="str">
        <f t="shared" si="41"/>
        <v/>
      </c>
      <c r="Q213" s="70" t="str">
        <f t="shared" si="43"/>
        <v/>
      </c>
      <c r="R213" t="str">
        <f t="shared" si="44"/>
        <v/>
      </c>
      <c r="S213" s="525" t="str">
        <f t="shared" si="45"/>
        <v/>
      </c>
      <c r="T213" s="87" t="str">
        <f t="shared" si="46"/>
        <v/>
      </c>
      <c r="U213" s="87" t="str">
        <f t="shared" si="47"/>
        <v/>
      </c>
    </row>
    <row r="214" spans="5:21" x14ac:dyDescent="0.25">
      <c r="E214" s="244" t="str">
        <f t="shared" si="36"/>
        <v>-</v>
      </c>
      <c r="F214" t="str">
        <f t="shared" si="37"/>
        <v/>
      </c>
      <c r="G214" s="300" t="str">
        <f t="shared" si="38"/>
        <v/>
      </c>
      <c r="H214" t="str">
        <f t="shared" si="39"/>
        <v/>
      </c>
      <c r="I214" s="88" t="str">
        <f t="shared" si="40"/>
        <v/>
      </c>
      <c r="N214" t="str">
        <f t="shared" si="42"/>
        <v>-</v>
      </c>
      <c r="O214" t="str">
        <f t="shared" si="41"/>
        <v/>
      </c>
      <c r="Q214" s="70" t="str">
        <f t="shared" si="43"/>
        <v/>
      </c>
      <c r="R214" t="str">
        <f t="shared" si="44"/>
        <v/>
      </c>
      <c r="S214" s="525" t="str">
        <f t="shared" si="45"/>
        <v/>
      </c>
      <c r="T214" s="87" t="str">
        <f t="shared" si="46"/>
        <v/>
      </c>
      <c r="U214" s="87" t="str">
        <f t="shared" si="47"/>
        <v/>
      </c>
    </row>
    <row r="215" spans="5:21" x14ac:dyDescent="0.25">
      <c r="E215" s="244" t="str">
        <f t="shared" si="36"/>
        <v>-</v>
      </c>
      <c r="F215" t="str">
        <f t="shared" si="37"/>
        <v/>
      </c>
      <c r="G215" s="300" t="str">
        <f t="shared" si="38"/>
        <v/>
      </c>
      <c r="H215" t="str">
        <f t="shared" si="39"/>
        <v/>
      </c>
      <c r="I215" s="88" t="str">
        <f t="shared" si="40"/>
        <v/>
      </c>
      <c r="N215" t="str">
        <f t="shared" si="42"/>
        <v>-</v>
      </c>
      <c r="O215" t="str">
        <f t="shared" si="41"/>
        <v/>
      </c>
      <c r="Q215" s="70" t="str">
        <f t="shared" si="43"/>
        <v/>
      </c>
      <c r="R215" t="str">
        <f t="shared" si="44"/>
        <v/>
      </c>
      <c r="S215" s="525" t="str">
        <f t="shared" si="45"/>
        <v/>
      </c>
      <c r="T215" s="87" t="str">
        <f t="shared" si="46"/>
        <v/>
      </c>
      <c r="U215" s="87" t="str">
        <f t="shared" si="47"/>
        <v/>
      </c>
    </row>
    <row r="216" spans="5:21" x14ac:dyDescent="0.25">
      <c r="E216" s="244" t="str">
        <f t="shared" si="36"/>
        <v>-</v>
      </c>
      <c r="F216" t="str">
        <f t="shared" si="37"/>
        <v/>
      </c>
      <c r="G216" s="300" t="str">
        <f t="shared" si="38"/>
        <v/>
      </c>
      <c r="H216" t="str">
        <f t="shared" si="39"/>
        <v/>
      </c>
      <c r="I216" s="88" t="str">
        <f t="shared" si="40"/>
        <v/>
      </c>
      <c r="N216" t="str">
        <f t="shared" si="42"/>
        <v>-</v>
      </c>
      <c r="O216" t="str">
        <f t="shared" si="41"/>
        <v/>
      </c>
      <c r="Q216" s="70" t="str">
        <f t="shared" si="43"/>
        <v/>
      </c>
      <c r="R216" t="str">
        <f t="shared" si="44"/>
        <v/>
      </c>
      <c r="S216" s="525" t="str">
        <f t="shared" si="45"/>
        <v/>
      </c>
      <c r="T216" s="87" t="str">
        <f t="shared" si="46"/>
        <v/>
      </c>
      <c r="U216" s="87" t="str">
        <f t="shared" si="47"/>
        <v/>
      </c>
    </row>
    <row r="217" spans="5:21" x14ac:dyDescent="0.25">
      <c r="E217" s="244" t="str">
        <f t="shared" si="36"/>
        <v>-</v>
      </c>
      <c r="F217" t="str">
        <f t="shared" si="37"/>
        <v/>
      </c>
      <c r="G217" s="300" t="str">
        <f t="shared" si="38"/>
        <v/>
      </c>
      <c r="H217" t="str">
        <f t="shared" si="39"/>
        <v/>
      </c>
      <c r="I217" s="88" t="str">
        <f t="shared" si="40"/>
        <v/>
      </c>
      <c r="N217" t="str">
        <f t="shared" si="42"/>
        <v>-</v>
      </c>
      <c r="O217" t="str">
        <f t="shared" si="41"/>
        <v/>
      </c>
      <c r="Q217" s="70" t="str">
        <f t="shared" si="43"/>
        <v/>
      </c>
      <c r="R217" t="str">
        <f t="shared" si="44"/>
        <v/>
      </c>
      <c r="S217" s="525" t="str">
        <f t="shared" si="45"/>
        <v/>
      </c>
      <c r="T217" s="87" t="str">
        <f t="shared" si="46"/>
        <v/>
      </c>
      <c r="U217" s="87" t="str">
        <f t="shared" si="47"/>
        <v/>
      </c>
    </row>
    <row r="218" spans="5:21" x14ac:dyDescent="0.25">
      <c r="E218" s="244" t="str">
        <f t="shared" si="36"/>
        <v>-</v>
      </c>
      <c r="F218" t="str">
        <f t="shared" si="37"/>
        <v/>
      </c>
      <c r="G218" s="300" t="str">
        <f t="shared" si="38"/>
        <v/>
      </c>
      <c r="H218" t="str">
        <f t="shared" si="39"/>
        <v/>
      </c>
      <c r="I218" s="88" t="str">
        <f t="shared" si="40"/>
        <v/>
      </c>
      <c r="N218" t="str">
        <f t="shared" si="42"/>
        <v>-</v>
      </c>
      <c r="O218" t="str">
        <f t="shared" si="41"/>
        <v/>
      </c>
      <c r="Q218" s="70" t="str">
        <f t="shared" si="43"/>
        <v/>
      </c>
      <c r="R218" t="str">
        <f t="shared" si="44"/>
        <v/>
      </c>
      <c r="S218" s="525" t="str">
        <f t="shared" si="45"/>
        <v/>
      </c>
      <c r="T218" s="87" t="str">
        <f t="shared" si="46"/>
        <v/>
      </c>
      <c r="U218" s="87" t="str">
        <f t="shared" si="47"/>
        <v/>
      </c>
    </row>
    <row r="219" spans="5:21" x14ac:dyDescent="0.25">
      <c r="E219" s="244" t="str">
        <f t="shared" si="36"/>
        <v>-</v>
      </c>
      <c r="F219" t="str">
        <f t="shared" si="37"/>
        <v/>
      </c>
      <c r="G219" s="300" t="str">
        <f t="shared" si="38"/>
        <v/>
      </c>
      <c r="H219" t="str">
        <f t="shared" si="39"/>
        <v/>
      </c>
      <c r="I219" s="88" t="str">
        <f t="shared" si="40"/>
        <v/>
      </c>
      <c r="N219" t="str">
        <f t="shared" si="42"/>
        <v>-</v>
      </c>
      <c r="O219" t="str">
        <f t="shared" si="41"/>
        <v/>
      </c>
      <c r="Q219" s="70" t="str">
        <f t="shared" si="43"/>
        <v/>
      </c>
      <c r="R219" t="str">
        <f t="shared" si="44"/>
        <v/>
      </c>
      <c r="S219" s="525" t="str">
        <f t="shared" si="45"/>
        <v/>
      </c>
      <c r="T219" s="87" t="str">
        <f t="shared" si="46"/>
        <v/>
      </c>
      <c r="U219" s="87" t="str">
        <f t="shared" si="47"/>
        <v/>
      </c>
    </row>
    <row r="220" spans="5:21" x14ac:dyDescent="0.25">
      <c r="E220" s="244" t="str">
        <f t="shared" si="36"/>
        <v>-</v>
      </c>
      <c r="F220" t="str">
        <f t="shared" si="37"/>
        <v/>
      </c>
      <c r="G220" s="300" t="str">
        <f t="shared" si="38"/>
        <v/>
      </c>
      <c r="H220" t="str">
        <f t="shared" si="39"/>
        <v/>
      </c>
      <c r="I220" s="88" t="str">
        <f t="shared" si="40"/>
        <v/>
      </c>
      <c r="N220" t="str">
        <f t="shared" si="42"/>
        <v>-</v>
      </c>
      <c r="O220" t="str">
        <f t="shared" si="41"/>
        <v/>
      </c>
      <c r="Q220" s="70" t="str">
        <f t="shared" si="43"/>
        <v/>
      </c>
      <c r="R220" t="str">
        <f t="shared" si="44"/>
        <v/>
      </c>
      <c r="S220" s="525" t="str">
        <f t="shared" si="45"/>
        <v/>
      </c>
      <c r="T220" s="87" t="str">
        <f t="shared" si="46"/>
        <v/>
      </c>
      <c r="U220" s="87" t="str">
        <f t="shared" si="47"/>
        <v/>
      </c>
    </row>
    <row r="221" spans="5:21" x14ac:dyDescent="0.25">
      <c r="E221" s="244" t="str">
        <f t="shared" si="36"/>
        <v>-</v>
      </c>
      <c r="F221" t="str">
        <f t="shared" si="37"/>
        <v/>
      </c>
      <c r="G221" s="300" t="str">
        <f t="shared" si="38"/>
        <v/>
      </c>
      <c r="H221" t="str">
        <f t="shared" si="39"/>
        <v/>
      </c>
      <c r="I221" s="88" t="str">
        <f t="shared" si="40"/>
        <v/>
      </c>
      <c r="N221" t="str">
        <f t="shared" si="42"/>
        <v>-</v>
      </c>
      <c r="O221" t="str">
        <f t="shared" si="41"/>
        <v/>
      </c>
      <c r="Q221" s="70" t="str">
        <f t="shared" si="43"/>
        <v/>
      </c>
      <c r="R221" t="str">
        <f t="shared" si="44"/>
        <v/>
      </c>
      <c r="S221" s="525" t="str">
        <f t="shared" si="45"/>
        <v/>
      </c>
      <c r="T221" s="87" t="str">
        <f t="shared" si="46"/>
        <v/>
      </c>
      <c r="U221" s="87" t="str">
        <f t="shared" si="47"/>
        <v/>
      </c>
    </row>
    <row r="222" spans="5:21" x14ac:dyDescent="0.25">
      <c r="E222" s="244" t="str">
        <f t="shared" si="36"/>
        <v>-</v>
      </c>
      <c r="F222" t="str">
        <f t="shared" si="37"/>
        <v/>
      </c>
      <c r="G222" s="300" t="str">
        <f t="shared" si="38"/>
        <v/>
      </c>
      <c r="H222" t="str">
        <f t="shared" si="39"/>
        <v/>
      </c>
      <c r="I222" s="88" t="str">
        <f t="shared" si="40"/>
        <v/>
      </c>
      <c r="N222" t="str">
        <f t="shared" si="42"/>
        <v>-</v>
      </c>
      <c r="O222" t="str">
        <f t="shared" si="41"/>
        <v/>
      </c>
      <c r="Q222" s="70" t="str">
        <f t="shared" si="43"/>
        <v/>
      </c>
      <c r="R222" t="str">
        <f t="shared" si="44"/>
        <v/>
      </c>
      <c r="S222" s="525" t="str">
        <f t="shared" si="45"/>
        <v/>
      </c>
      <c r="T222" s="87" t="str">
        <f t="shared" si="46"/>
        <v/>
      </c>
      <c r="U222" s="87" t="str">
        <f t="shared" si="47"/>
        <v/>
      </c>
    </row>
    <row r="223" spans="5:21" x14ac:dyDescent="0.25">
      <c r="E223" s="244" t="str">
        <f t="shared" si="36"/>
        <v>-</v>
      </c>
      <c r="F223" t="str">
        <f t="shared" si="37"/>
        <v/>
      </c>
      <c r="G223" s="300" t="str">
        <f t="shared" si="38"/>
        <v/>
      </c>
      <c r="H223" t="str">
        <f t="shared" si="39"/>
        <v/>
      </c>
      <c r="I223" s="88" t="str">
        <f t="shared" si="40"/>
        <v/>
      </c>
      <c r="N223" t="str">
        <f t="shared" si="42"/>
        <v>-</v>
      </c>
      <c r="O223" t="str">
        <f t="shared" si="41"/>
        <v/>
      </c>
      <c r="Q223" s="70" t="str">
        <f t="shared" si="43"/>
        <v/>
      </c>
      <c r="R223" t="str">
        <f t="shared" si="44"/>
        <v/>
      </c>
      <c r="S223" s="525" t="str">
        <f t="shared" si="45"/>
        <v/>
      </c>
      <c r="T223" s="87" t="str">
        <f t="shared" si="46"/>
        <v/>
      </c>
      <c r="U223" s="87" t="str">
        <f t="shared" si="47"/>
        <v/>
      </c>
    </row>
    <row r="224" spans="5:21" x14ac:dyDescent="0.25">
      <c r="E224" s="244" t="str">
        <f t="shared" si="36"/>
        <v>-</v>
      </c>
      <c r="F224" t="str">
        <f t="shared" si="37"/>
        <v/>
      </c>
      <c r="G224" s="300" t="str">
        <f t="shared" si="38"/>
        <v/>
      </c>
      <c r="H224" t="str">
        <f t="shared" si="39"/>
        <v/>
      </c>
      <c r="I224" s="88" t="str">
        <f t="shared" si="40"/>
        <v/>
      </c>
      <c r="N224" t="str">
        <f t="shared" si="42"/>
        <v>-</v>
      </c>
      <c r="O224" t="str">
        <f t="shared" si="41"/>
        <v/>
      </c>
      <c r="Q224" s="70" t="str">
        <f t="shared" si="43"/>
        <v/>
      </c>
      <c r="R224" t="str">
        <f t="shared" si="44"/>
        <v/>
      </c>
      <c r="S224" s="525" t="str">
        <f t="shared" si="45"/>
        <v/>
      </c>
      <c r="T224" s="87" t="str">
        <f t="shared" si="46"/>
        <v/>
      </c>
      <c r="U224" s="87" t="str">
        <f t="shared" si="47"/>
        <v/>
      </c>
    </row>
    <row r="225" spans="5:21" x14ac:dyDescent="0.25">
      <c r="E225" s="244" t="str">
        <f t="shared" si="36"/>
        <v>-</v>
      </c>
      <c r="F225" t="str">
        <f t="shared" si="37"/>
        <v/>
      </c>
      <c r="G225" s="300" t="str">
        <f t="shared" si="38"/>
        <v/>
      </c>
      <c r="H225" t="str">
        <f t="shared" si="39"/>
        <v/>
      </c>
      <c r="I225" s="88" t="str">
        <f t="shared" si="40"/>
        <v/>
      </c>
      <c r="N225" t="str">
        <f t="shared" si="42"/>
        <v>-</v>
      </c>
      <c r="O225" t="str">
        <f t="shared" si="41"/>
        <v/>
      </c>
      <c r="Q225" s="70" t="str">
        <f t="shared" si="43"/>
        <v/>
      </c>
      <c r="R225" t="str">
        <f t="shared" si="44"/>
        <v/>
      </c>
      <c r="S225" s="525" t="str">
        <f t="shared" si="45"/>
        <v/>
      </c>
      <c r="T225" s="87" t="str">
        <f t="shared" si="46"/>
        <v/>
      </c>
      <c r="U225" s="87" t="str">
        <f t="shared" si="47"/>
        <v/>
      </c>
    </row>
    <row r="226" spans="5:21" x14ac:dyDescent="0.25">
      <c r="E226" s="244" t="str">
        <f t="shared" si="36"/>
        <v>-</v>
      </c>
      <c r="F226" t="str">
        <f t="shared" si="37"/>
        <v/>
      </c>
      <c r="G226" s="300" t="str">
        <f t="shared" si="38"/>
        <v/>
      </c>
      <c r="H226" t="str">
        <f t="shared" si="39"/>
        <v/>
      </c>
      <c r="I226" s="88" t="str">
        <f t="shared" si="40"/>
        <v/>
      </c>
      <c r="N226" t="str">
        <f t="shared" si="42"/>
        <v>-</v>
      </c>
      <c r="O226" t="str">
        <f t="shared" si="41"/>
        <v/>
      </c>
      <c r="Q226" s="70" t="str">
        <f t="shared" si="43"/>
        <v/>
      </c>
      <c r="R226" t="str">
        <f t="shared" si="44"/>
        <v/>
      </c>
      <c r="S226" s="525" t="str">
        <f t="shared" si="45"/>
        <v/>
      </c>
      <c r="T226" s="87" t="str">
        <f t="shared" si="46"/>
        <v/>
      </c>
      <c r="U226" s="87" t="str">
        <f t="shared" si="47"/>
        <v/>
      </c>
    </row>
    <row r="227" spans="5:21" x14ac:dyDescent="0.25">
      <c r="E227" s="244" t="str">
        <f t="shared" si="36"/>
        <v>-</v>
      </c>
      <c r="F227" t="str">
        <f t="shared" si="37"/>
        <v/>
      </c>
      <c r="G227" s="300" t="str">
        <f t="shared" si="38"/>
        <v/>
      </c>
      <c r="H227" t="str">
        <f t="shared" si="39"/>
        <v/>
      </c>
      <c r="I227" s="88" t="str">
        <f t="shared" si="40"/>
        <v/>
      </c>
      <c r="N227" t="str">
        <f t="shared" si="42"/>
        <v>-</v>
      </c>
      <c r="O227" t="str">
        <f t="shared" si="41"/>
        <v/>
      </c>
      <c r="Q227" s="70" t="str">
        <f t="shared" si="43"/>
        <v/>
      </c>
      <c r="R227" t="str">
        <f t="shared" si="44"/>
        <v/>
      </c>
      <c r="S227" s="525" t="str">
        <f t="shared" si="45"/>
        <v/>
      </c>
      <c r="T227" s="87" t="str">
        <f t="shared" si="46"/>
        <v/>
      </c>
      <c r="U227" s="87" t="str">
        <f t="shared" si="47"/>
        <v/>
      </c>
    </row>
    <row r="228" spans="5:21" x14ac:dyDescent="0.25">
      <c r="E228" s="244" t="str">
        <f t="shared" si="36"/>
        <v>-</v>
      </c>
      <c r="F228" t="str">
        <f t="shared" si="37"/>
        <v/>
      </c>
      <c r="G228" s="300" t="str">
        <f t="shared" si="38"/>
        <v/>
      </c>
      <c r="H228" t="str">
        <f t="shared" si="39"/>
        <v/>
      </c>
      <c r="I228" s="88" t="str">
        <f t="shared" si="40"/>
        <v/>
      </c>
      <c r="N228" t="str">
        <f t="shared" si="42"/>
        <v>-</v>
      </c>
      <c r="O228" t="str">
        <f t="shared" si="41"/>
        <v/>
      </c>
      <c r="Q228" s="70" t="str">
        <f t="shared" si="43"/>
        <v/>
      </c>
      <c r="R228" t="str">
        <f t="shared" si="44"/>
        <v/>
      </c>
      <c r="S228" s="525" t="str">
        <f t="shared" si="45"/>
        <v/>
      </c>
      <c r="T228" s="87" t="str">
        <f t="shared" si="46"/>
        <v/>
      </c>
      <c r="U228" s="87" t="str">
        <f t="shared" si="47"/>
        <v/>
      </c>
    </row>
    <row r="229" spans="5:21" x14ac:dyDescent="0.25">
      <c r="E229" s="244" t="str">
        <f t="shared" si="36"/>
        <v>-</v>
      </c>
      <c r="F229" t="str">
        <f t="shared" si="37"/>
        <v/>
      </c>
      <c r="G229" s="300" t="str">
        <f t="shared" si="38"/>
        <v/>
      </c>
      <c r="H229" t="str">
        <f t="shared" si="39"/>
        <v/>
      </c>
      <c r="I229" s="88" t="str">
        <f t="shared" si="40"/>
        <v/>
      </c>
      <c r="N229" t="str">
        <f t="shared" si="42"/>
        <v>-</v>
      </c>
      <c r="O229" t="str">
        <f t="shared" si="41"/>
        <v/>
      </c>
      <c r="Q229" s="70" t="str">
        <f t="shared" si="43"/>
        <v/>
      </c>
      <c r="R229" t="str">
        <f t="shared" si="44"/>
        <v/>
      </c>
      <c r="S229" s="525" t="str">
        <f t="shared" si="45"/>
        <v/>
      </c>
      <c r="T229" s="87" t="str">
        <f t="shared" si="46"/>
        <v/>
      </c>
      <c r="U229" s="87" t="str">
        <f t="shared" si="47"/>
        <v/>
      </c>
    </row>
    <row r="230" spans="5:21" x14ac:dyDescent="0.25">
      <c r="E230" s="244" t="str">
        <f t="shared" si="36"/>
        <v>-</v>
      </c>
      <c r="F230" t="str">
        <f t="shared" si="37"/>
        <v/>
      </c>
      <c r="G230" s="300" t="str">
        <f t="shared" si="38"/>
        <v/>
      </c>
      <c r="H230" t="str">
        <f t="shared" si="39"/>
        <v/>
      </c>
      <c r="I230" s="88" t="str">
        <f t="shared" si="40"/>
        <v/>
      </c>
      <c r="N230" t="str">
        <f t="shared" si="42"/>
        <v>-</v>
      </c>
      <c r="O230" t="str">
        <f t="shared" si="41"/>
        <v/>
      </c>
      <c r="Q230" s="70" t="str">
        <f t="shared" si="43"/>
        <v/>
      </c>
      <c r="R230" t="str">
        <f t="shared" si="44"/>
        <v/>
      </c>
      <c r="S230" s="525" t="str">
        <f t="shared" si="45"/>
        <v/>
      </c>
      <c r="T230" s="87" t="str">
        <f t="shared" si="46"/>
        <v/>
      </c>
      <c r="U230" s="87" t="str">
        <f t="shared" si="47"/>
        <v/>
      </c>
    </row>
    <row r="231" spans="5:21" x14ac:dyDescent="0.25">
      <c r="E231" s="244" t="str">
        <f t="shared" si="36"/>
        <v>-</v>
      </c>
      <c r="F231" t="str">
        <f t="shared" si="37"/>
        <v/>
      </c>
      <c r="G231" s="300" t="str">
        <f t="shared" si="38"/>
        <v/>
      </c>
      <c r="H231" t="str">
        <f t="shared" si="39"/>
        <v/>
      </c>
      <c r="I231" s="88" t="str">
        <f t="shared" si="40"/>
        <v/>
      </c>
      <c r="N231" t="str">
        <f t="shared" si="42"/>
        <v>-</v>
      </c>
      <c r="O231" t="str">
        <f t="shared" si="41"/>
        <v/>
      </c>
      <c r="Q231" s="70" t="str">
        <f t="shared" si="43"/>
        <v/>
      </c>
      <c r="R231" t="str">
        <f t="shared" si="44"/>
        <v/>
      </c>
      <c r="S231" s="525" t="str">
        <f t="shared" si="45"/>
        <v/>
      </c>
      <c r="T231" s="87" t="str">
        <f t="shared" si="46"/>
        <v/>
      </c>
      <c r="U231" s="87" t="str">
        <f t="shared" si="47"/>
        <v/>
      </c>
    </row>
    <row r="232" spans="5:21" x14ac:dyDescent="0.25">
      <c r="E232" s="244" t="str">
        <f t="shared" si="36"/>
        <v>-</v>
      </c>
      <c r="F232" t="str">
        <f t="shared" si="37"/>
        <v/>
      </c>
      <c r="G232" s="300" t="str">
        <f t="shared" si="38"/>
        <v/>
      </c>
      <c r="H232" t="str">
        <f t="shared" si="39"/>
        <v/>
      </c>
      <c r="I232" s="88" t="str">
        <f t="shared" si="40"/>
        <v/>
      </c>
      <c r="N232" t="str">
        <f t="shared" si="42"/>
        <v>-</v>
      </c>
      <c r="O232" t="str">
        <f t="shared" si="41"/>
        <v/>
      </c>
      <c r="Q232" s="70" t="str">
        <f t="shared" si="43"/>
        <v/>
      </c>
      <c r="R232" t="str">
        <f t="shared" si="44"/>
        <v/>
      </c>
      <c r="S232" s="525" t="str">
        <f t="shared" si="45"/>
        <v/>
      </c>
      <c r="T232" s="87" t="str">
        <f t="shared" si="46"/>
        <v/>
      </c>
      <c r="U232" s="87" t="str">
        <f t="shared" si="47"/>
        <v/>
      </c>
    </row>
    <row r="233" spans="5:21" x14ac:dyDescent="0.25">
      <c r="E233" s="244" t="str">
        <f t="shared" si="36"/>
        <v>-</v>
      </c>
      <c r="F233" t="str">
        <f t="shared" si="37"/>
        <v/>
      </c>
      <c r="G233" s="300" t="str">
        <f t="shared" si="38"/>
        <v/>
      </c>
      <c r="H233" t="str">
        <f t="shared" si="39"/>
        <v/>
      </c>
      <c r="I233" s="88" t="str">
        <f t="shared" si="40"/>
        <v/>
      </c>
      <c r="N233" t="str">
        <f t="shared" si="42"/>
        <v>-</v>
      </c>
      <c r="O233" t="str">
        <f t="shared" si="41"/>
        <v/>
      </c>
      <c r="Q233" s="70" t="str">
        <f t="shared" si="43"/>
        <v/>
      </c>
      <c r="R233" t="str">
        <f t="shared" si="44"/>
        <v/>
      </c>
      <c r="S233" s="525" t="str">
        <f t="shared" si="45"/>
        <v/>
      </c>
      <c r="T233" s="87" t="str">
        <f t="shared" si="46"/>
        <v/>
      </c>
      <c r="U233" s="87" t="str">
        <f t="shared" si="47"/>
        <v/>
      </c>
    </row>
    <row r="234" spans="5:21" x14ac:dyDescent="0.25">
      <c r="E234" s="244" t="str">
        <f t="shared" si="36"/>
        <v>-</v>
      </c>
      <c r="F234" t="str">
        <f t="shared" si="37"/>
        <v/>
      </c>
      <c r="G234" s="300" t="str">
        <f t="shared" si="38"/>
        <v/>
      </c>
      <c r="H234" t="str">
        <f t="shared" si="39"/>
        <v/>
      </c>
      <c r="I234" s="88" t="str">
        <f t="shared" si="40"/>
        <v/>
      </c>
      <c r="N234" t="str">
        <f t="shared" si="42"/>
        <v>-</v>
      </c>
      <c r="O234" t="str">
        <f t="shared" si="41"/>
        <v/>
      </c>
      <c r="Q234" s="70" t="str">
        <f t="shared" si="43"/>
        <v/>
      </c>
      <c r="R234" t="str">
        <f t="shared" si="44"/>
        <v/>
      </c>
      <c r="S234" s="525" t="str">
        <f t="shared" si="45"/>
        <v/>
      </c>
      <c r="T234" s="87" t="str">
        <f t="shared" si="46"/>
        <v/>
      </c>
      <c r="U234" s="87" t="str">
        <f t="shared" si="47"/>
        <v/>
      </c>
    </row>
    <row r="235" spans="5:21" x14ac:dyDescent="0.25">
      <c r="E235" s="244" t="str">
        <f t="shared" si="36"/>
        <v>-</v>
      </c>
      <c r="F235" t="str">
        <f t="shared" si="37"/>
        <v/>
      </c>
      <c r="G235" s="300" t="str">
        <f t="shared" si="38"/>
        <v/>
      </c>
      <c r="H235" t="str">
        <f t="shared" si="39"/>
        <v/>
      </c>
      <c r="I235" s="88" t="str">
        <f t="shared" si="40"/>
        <v/>
      </c>
      <c r="N235" t="str">
        <f t="shared" si="42"/>
        <v>-</v>
      </c>
      <c r="O235" t="str">
        <f t="shared" si="41"/>
        <v/>
      </c>
      <c r="Q235" s="70" t="str">
        <f t="shared" si="43"/>
        <v/>
      </c>
      <c r="R235" t="str">
        <f t="shared" si="44"/>
        <v/>
      </c>
      <c r="S235" s="525" t="str">
        <f t="shared" si="45"/>
        <v/>
      </c>
      <c r="T235" s="87" t="str">
        <f t="shared" si="46"/>
        <v/>
      </c>
      <c r="U235" s="87" t="str">
        <f t="shared" si="47"/>
        <v/>
      </c>
    </row>
    <row r="236" spans="5:21" x14ac:dyDescent="0.25">
      <c r="E236" s="244" t="str">
        <f t="shared" si="36"/>
        <v>-</v>
      </c>
      <c r="F236" t="str">
        <f t="shared" si="37"/>
        <v/>
      </c>
      <c r="G236" s="300" t="str">
        <f t="shared" si="38"/>
        <v/>
      </c>
      <c r="H236" t="str">
        <f t="shared" si="39"/>
        <v/>
      </c>
      <c r="I236" s="88" t="str">
        <f t="shared" si="40"/>
        <v/>
      </c>
      <c r="N236" t="str">
        <f t="shared" si="42"/>
        <v>-</v>
      </c>
      <c r="O236" t="str">
        <f t="shared" si="41"/>
        <v/>
      </c>
      <c r="Q236" s="70" t="str">
        <f t="shared" si="43"/>
        <v/>
      </c>
      <c r="R236" t="str">
        <f t="shared" si="44"/>
        <v/>
      </c>
      <c r="S236" s="525" t="str">
        <f t="shared" si="45"/>
        <v/>
      </c>
      <c r="T236" s="87" t="str">
        <f t="shared" si="46"/>
        <v/>
      </c>
      <c r="U236" s="87" t="str">
        <f t="shared" si="47"/>
        <v/>
      </c>
    </row>
    <row r="237" spans="5:21" x14ac:dyDescent="0.25">
      <c r="E237" s="244" t="str">
        <f t="shared" si="36"/>
        <v>-</v>
      </c>
      <c r="F237" t="str">
        <f t="shared" si="37"/>
        <v/>
      </c>
      <c r="G237" s="300" t="str">
        <f t="shared" si="38"/>
        <v/>
      </c>
      <c r="H237" t="str">
        <f t="shared" si="39"/>
        <v/>
      </c>
      <c r="I237" s="88" t="str">
        <f t="shared" si="40"/>
        <v/>
      </c>
      <c r="N237" t="str">
        <f t="shared" si="42"/>
        <v>-</v>
      </c>
      <c r="O237" t="str">
        <f t="shared" si="41"/>
        <v/>
      </c>
      <c r="Q237" s="70" t="str">
        <f t="shared" si="43"/>
        <v/>
      </c>
      <c r="R237" t="str">
        <f t="shared" si="44"/>
        <v/>
      </c>
      <c r="S237" s="525" t="str">
        <f t="shared" si="45"/>
        <v/>
      </c>
      <c r="T237" s="87" t="str">
        <f t="shared" si="46"/>
        <v/>
      </c>
      <c r="U237" s="87" t="str">
        <f t="shared" si="47"/>
        <v/>
      </c>
    </row>
    <row r="238" spans="5:21" x14ac:dyDescent="0.25">
      <c r="E238" s="244" t="str">
        <f t="shared" si="36"/>
        <v>-</v>
      </c>
      <c r="F238" t="str">
        <f t="shared" si="37"/>
        <v/>
      </c>
      <c r="G238" s="300" t="str">
        <f t="shared" si="38"/>
        <v/>
      </c>
      <c r="H238" t="str">
        <f t="shared" si="39"/>
        <v/>
      </c>
      <c r="I238" s="88" t="str">
        <f t="shared" si="40"/>
        <v/>
      </c>
      <c r="N238" t="str">
        <f t="shared" si="42"/>
        <v>-</v>
      </c>
      <c r="O238" t="str">
        <f t="shared" si="41"/>
        <v/>
      </c>
      <c r="Q238" s="70" t="str">
        <f t="shared" si="43"/>
        <v/>
      </c>
      <c r="R238" t="str">
        <f t="shared" si="44"/>
        <v/>
      </c>
      <c r="S238" s="525" t="str">
        <f t="shared" si="45"/>
        <v/>
      </c>
      <c r="T238" s="87" t="str">
        <f t="shared" si="46"/>
        <v/>
      </c>
      <c r="U238" s="87" t="str">
        <f t="shared" si="47"/>
        <v/>
      </c>
    </row>
    <row r="239" spans="5:21" x14ac:dyDescent="0.25">
      <c r="E239" s="244" t="str">
        <f t="shared" si="36"/>
        <v>-</v>
      </c>
      <c r="F239" t="str">
        <f t="shared" si="37"/>
        <v/>
      </c>
      <c r="G239" s="300" t="str">
        <f t="shared" si="38"/>
        <v/>
      </c>
      <c r="H239" t="str">
        <f t="shared" si="39"/>
        <v/>
      </c>
      <c r="I239" s="88" t="str">
        <f t="shared" si="40"/>
        <v/>
      </c>
      <c r="N239" t="str">
        <f t="shared" si="42"/>
        <v>-</v>
      </c>
      <c r="O239" t="str">
        <f t="shared" si="41"/>
        <v/>
      </c>
      <c r="Q239" s="70" t="str">
        <f t="shared" si="43"/>
        <v/>
      </c>
      <c r="R239" t="str">
        <f t="shared" si="44"/>
        <v/>
      </c>
      <c r="S239" s="525" t="str">
        <f t="shared" si="45"/>
        <v/>
      </c>
      <c r="T239" s="87" t="str">
        <f t="shared" si="46"/>
        <v/>
      </c>
      <c r="U239" s="87" t="str">
        <f t="shared" si="47"/>
        <v/>
      </c>
    </row>
    <row r="240" spans="5:21" x14ac:dyDescent="0.25">
      <c r="E240" s="244" t="str">
        <f t="shared" si="36"/>
        <v>-</v>
      </c>
      <c r="F240" t="str">
        <f t="shared" si="37"/>
        <v/>
      </c>
      <c r="G240" s="300" t="str">
        <f t="shared" si="38"/>
        <v/>
      </c>
      <c r="H240" t="str">
        <f t="shared" si="39"/>
        <v/>
      </c>
      <c r="I240" s="88" t="str">
        <f t="shared" si="40"/>
        <v/>
      </c>
      <c r="N240" t="str">
        <f t="shared" si="42"/>
        <v>-</v>
      </c>
      <c r="O240" t="str">
        <f t="shared" si="41"/>
        <v/>
      </c>
      <c r="Q240" s="70" t="str">
        <f t="shared" si="43"/>
        <v/>
      </c>
      <c r="R240" t="str">
        <f t="shared" si="44"/>
        <v/>
      </c>
      <c r="S240" s="525" t="str">
        <f t="shared" si="45"/>
        <v/>
      </c>
      <c r="T240" s="87" t="str">
        <f t="shared" si="46"/>
        <v/>
      </c>
      <c r="U240" s="87" t="str">
        <f t="shared" si="47"/>
        <v/>
      </c>
    </row>
    <row r="241" spans="5:21" x14ac:dyDescent="0.25">
      <c r="E241" s="244" t="str">
        <f t="shared" si="36"/>
        <v>-</v>
      </c>
      <c r="F241" t="str">
        <f t="shared" si="37"/>
        <v/>
      </c>
      <c r="G241" s="300" t="str">
        <f t="shared" si="38"/>
        <v/>
      </c>
      <c r="H241" t="str">
        <f t="shared" si="39"/>
        <v/>
      </c>
      <c r="I241" s="88" t="str">
        <f t="shared" si="40"/>
        <v/>
      </c>
      <c r="N241" t="str">
        <f t="shared" si="42"/>
        <v>-</v>
      </c>
      <c r="O241" t="str">
        <f t="shared" si="41"/>
        <v/>
      </c>
      <c r="Q241" s="70" t="str">
        <f t="shared" si="43"/>
        <v/>
      </c>
      <c r="R241" t="str">
        <f t="shared" si="44"/>
        <v/>
      </c>
      <c r="S241" s="525" t="str">
        <f t="shared" si="45"/>
        <v/>
      </c>
      <c r="T241" s="87" t="str">
        <f t="shared" si="46"/>
        <v/>
      </c>
      <c r="U241" s="87" t="str">
        <f t="shared" si="47"/>
        <v/>
      </c>
    </row>
    <row r="242" spans="5:21" x14ac:dyDescent="0.25">
      <c r="E242" s="244" t="str">
        <f t="shared" si="36"/>
        <v>-</v>
      </c>
      <c r="F242" t="str">
        <f t="shared" si="37"/>
        <v/>
      </c>
      <c r="G242" s="300" t="str">
        <f t="shared" si="38"/>
        <v/>
      </c>
      <c r="H242" t="str">
        <f t="shared" si="39"/>
        <v/>
      </c>
      <c r="I242" s="88" t="str">
        <f t="shared" si="40"/>
        <v/>
      </c>
      <c r="N242" t="str">
        <f t="shared" si="42"/>
        <v>-</v>
      </c>
      <c r="O242" t="str">
        <f t="shared" si="41"/>
        <v/>
      </c>
      <c r="Q242" s="70" t="str">
        <f t="shared" si="43"/>
        <v/>
      </c>
      <c r="R242" t="str">
        <f t="shared" si="44"/>
        <v/>
      </c>
      <c r="S242" s="525" t="str">
        <f t="shared" si="45"/>
        <v/>
      </c>
      <c r="T242" s="87" t="str">
        <f t="shared" si="46"/>
        <v/>
      </c>
      <c r="U242" s="87" t="str">
        <f t="shared" si="47"/>
        <v/>
      </c>
    </row>
    <row r="243" spans="5:21" x14ac:dyDescent="0.25">
      <c r="E243" s="244" t="str">
        <f t="shared" si="36"/>
        <v>-</v>
      </c>
      <c r="F243" t="str">
        <f t="shared" si="37"/>
        <v/>
      </c>
      <c r="G243" s="300" t="str">
        <f t="shared" si="38"/>
        <v/>
      </c>
      <c r="H243" t="str">
        <f t="shared" si="39"/>
        <v/>
      </c>
      <c r="I243" s="88" t="str">
        <f t="shared" si="40"/>
        <v/>
      </c>
      <c r="N243" t="str">
        <f t="shared" si="42"/>
        <v>-</v>
      </c>
      <c r="O243" t="str">
        <f t="shared" si="41"/>
        <v/>
      </c>
      <c r="Q243" s="70" t="str">
        <f t="shared" si="43"/>
        <v/>
      </c>
      <c r="R243" t="str">
        <f t="shared" si="44"/>
        <v/>
      </c>
      <c r="S243" s="525" t="str">
        <f t="shared" si="45"/>
        <v/>
      </c>
      <c r="T243" s="87" t="str">
        <f t="shared" si="46"/>
        <v/>
      </c>
      <c r="U243" s="87" t="str">
        <f t="shared" si="47"/>
        <v/>
      </c>
    </row>
    <row r="244" spans="5:21" x14ac:dyDescent="0.25">
      <c r="E244" s="244" t="str">
        <f t="shared" si="36"/>
        <v>-</v>
      </c>
      <c r="F244" t="str">
        <f t="shared" si="37"/>
        <v/>
      </c>
      <c r="G244" s="300" t="str">
        <f t="shared" si="38"/>
        <v/>
      </c>
      <c r="H244" t="str">
        <f t="shared" si="39"/>
        <v/>
      </c>
      <c r="I244" s="88" t="str">
        <f t="shared" si="40"/>
        <v/>
      </c>
      <c r="N244" t="str">
        <f t="shared" si="42"/>
        <v>-</v>
      </c>
      <c r="O244" t="str">
        <f t="shared" si="41"/>
        <v/>
      </c>
      <c r="Q244" s="70" t="str">
        <f t="shared" si="43"/>
        <v/>
      </c>
      <c r="R244" t="str">
        <f t="shared" si="44"/>
        <v/>
      </c>
      <c r="S244" s="525" t="str">
        <f t="shared" si="45"/>
        <v/>
      </c>
      <c r="T244" s="87" t="str">
        <f t="shared" si="46"/>
        <v/>
      </c>
      <c r="U244" s="87" t="str">
        <f t="shared" si="47"/>
        <v/>
      </c>
    </row>
    <row r="245" spans="5:21" x14ac:dyDescent="0.25">
      <c r="E245" s="244" t="str">
        <f t="shared" si="36"/>
        <v>-</v>
      </c>
      <c r="F245" t="str">
        <f t="shared" si="37"/>
        <v/>
      </c>
      <c r="G245" s="300" t="str">
        <f t="shared" si="38"/>
        <v/>
      </c>
      <c r="H245" t="str">
        <f t="shared" si="39"/>
        <v/>
      </c>
      <c r="I245" s="88" t="str">
        <f t="shared" si="40"/>
        <v/>
      </c>
      <c r="N245" t="str">
        <f t="shared" si="42"/>
        <v>-</v>
      </c>
      <c r="O245" t="str">
        <f t="shared" si="41"/>
        <v/>
      </c>
      <c r="Q245" s="70" t="str">
        <f t="shared" si="43"/>
        <v/>
      </c>
      <c r="R245" t="str">
        <f t="shared" si="44"/>
        <v/>
      </c>
      <c r="S245" s="525" t="str">
        <f t="shared" si="45"/>
        <v/>
      </c>
      <c r="T245" s="87" t="str">
        <f t="shared" si="46"/>
        <v/>
      </c>
      <c r="U245" s="87" t="str">
        <f t="shared" si="47"/>
        <v/>
      </c>
    </row>
    <row r="246" spans="5:21" x14ac:dyDescent="0.25">
      <c r="E246" s="244" t="str">
        <f t="shared" si="36"/>
        <v>-</v>
      </c>
      <c r="F246" t="str">
        <f t="shared" si="37"/>
        <v/>
      </c>
      <c r="G246" s="300" t="str">
        <f t="shared" si="38"/>
        <v/>
      </c>
      <c r="H246" t="str">
        <f t="shared" si="39"/>
        <v/>
      </c>
      <c r="I246" s="88" t="str">
        <f t="shared" si="40"/>
        <v/>
      </c>
      <c r="N246" t="str">
        <f t="shared" si="42"/>
        <v>-</v>
      </c>
      <c r="O246" t="str">
        <f t="shared" si="41"/>
        <v/>
      </c>
      <c r="Q246" s="70" t="str">
        <f t="shared" si="43"/>
        <v/>
      </c>
      <c r="R246" t="str">
        <f t="shared" si="44"/>
        <v/>
      </c>
      <c r="S246" s="525" t="str">
        <f t="shared" si="45"/>
        <v/>
      </c>
      <c r="T246" s="87" t="str">
        <f t="shared" si="46"/>
        <v/>
      </c>
      <c r="U246" s="87" t="str">
        <f t="shared" si="47"/>
        <v/>
      </c>
    </row>
    <row r="247" spans="5:21" x14ac:dyDescent="0.25">
      <c r="E247" s="244" t="str">
        <f t="shared" si="36"/>
        <v>-</v>
      </c>
      <c r="F247" t="str">
        <f t="shared" si="37"/>
        <v/>
      </c>
      <c r="G247" s="300" t="str">
        <f t="shared" si="38"/>
        <v/>
      </c>
      <c r="H247" t="str">
        <f t="shared" si="39"/>
        <v/>
      </c>
      <c r="I247" s="88" t="str">
        <f t="shared" si="40"/>
        <v/>
      </c>
      <c r="N247" t="str">
        <f t="shared" si="42"/>
        <v>-</v>
      </c>
      <c r="O247" t="str">
        <f t="shared" si="41"/>
        <v/>
      </c>
      <c r="Q247" s="70" t="str">
        <f t="shared" si="43"/>
        <v/>
      </c>
      <c r="R247" t="str">
        <f t="shared" si="44"/>
        <v/>
      </c>
      <c r="S247" s="525" t="str">
        <f t="shared" si="45"/>
        <v/>
      </c>
      <c r="T247" s="87" t="str">
        <f t="shared" si="46"/>
        <v/>
      </c>
      <c r="U247" s="87" t="str">
        <f t="shared" si="47"/>
        <v/>
      </c>
    </row>
    <row r="248" spans="5:21" x14ac:dyDescent="0.25">
      <c r="E248" s="244" t="str">
        <f t="shared" si="36"/>
        <v>-</v>
      </c>
      <c r="F248" t="str">
        <f t="shared" si="37"/>
        <v/>
      </c>
      <c r="G248" s="300" t="str">
        <f t="shared" si="38"/>
        <v/>
      </c>
      <c r="H248" t="str">
        <f t="shared" si="39"/>
        <v/>
      </c>
      <c r="I248" s="88" t="str">
        <f t="shared" si="40"/>
        <v/>
      </c>
      <c r="N248" t="str">
        <f t="shared" si="42"/>
        <v>-</v>
      </c>
      <c r="O248" t="str">
        <f t="shared" si="41"/>
        <v/>
      </c>
      <c r="Q248" s="70" t="str">
        <f t="shared" si="43"/>
        <v/>
      </c>
      <c r="R248" t="str">
        <f t="shared" si="44"/>
        <v/>
      </c>
      <c r="S248" s="525" t="str">
        <f t="shared" si="45"/>
        <v/>
      </c>
      <c r="T248" s="87" t="str">
        <f t="shared" si="46"/>
        <v/>
      </c>
      <c r="U248" s="87" t="str">
        <f t="shared" si="47"/>
        <v/>
      </c>
    </row>
    <row r="249" spans="5:21" x14ac:dyDescent="0.25">
      <c r="E249" s="244" t="str">
        <f t="shared" si="36"/>
        <v>-</v>
      </c>
      <c r="F249" t="str">
        <f t="shared" si="37"/>
        <v/>
      </c>
      <c r="G249" s="300" t="str">
        <f t="shared" si="38"/>
        <v/>
      </c>
      <c r="H249" t="str">
        <f t="shared" si="39"/>
        <v/>
      </c>
      <c r="I249" s="88" t="str">
        <f t="shared" si="40"/>
        <v/>
      </c>
      <c r="N249" t="str">
        <f t="shared" si="42"/>
        <v>-</v>
      </c>
      <c r="O249" t="str">
        <f t="shared" si="41"/>
        <v/>
      </c>
      <c r="Q249" s="70" t="str">
        <f t="shared" si="43"/>
        <v/>
      </c>
      <c r="R249" t="str">
        <f t="shared" si="44"/>
        <v/>
      </c>
      <c r="S249" s="525" t="str">
        <f t="shared" si="45"/>
        <v/>
      </c>
      <c r="T249" s="87" t="str">
        <f t="shared" si="46"/>
        <v/>
      </c>
      <c r="U249" s="87" t="str">
        <f t="shared" si="47"/>
        <v/>
      </c>
    </row>
    <row r="250" spans="5:21" x14ac:dyDescent="0.25">
      <c r="E250" s="244" t="str">
        <f t="shared" si="36"/>
        <v>-</v>
      </c>
      <c r="F250" t="str">
        <f t="shared" si="37"/>
        <v/>
      </c>
      <c r="G250" s="300" t="str">
        <f t="shared" si="38"/>
        <v/>
      </c>
      <c r="H250" t="str">
        <f t="shared" si="39"/>
        <v/>
      </c>
      <c r="I250" s="88" t="str">
        <f t="shared" si="40"/>
        <v/>
      </c>
      <c r="N250" t="str">
        <f t="shared" si="42"/>
        <v>-</v>
      </c>
      <c r="O250" t="str">
        <f t="shared" si="41"/>
        <v/>
      </c>
      <c r="Q250" s="70" t="str">
        <f t="shared" si="43"/>
        <v/>
      </c>
      <c r="R250" t="str">
        <f t="shared" si="44"/>
        <v/>
      </c>
      <c r="S250" s="525" t="str">
        <f t="shared" si="45"/>
        <v/>
      </c>
      <c r="T250" s="87" t="str">
        <f t="shared" si="46"/>
        <v/>
      </c>
      <c r="U250" s="87" t="str">
        <f t="shared" si="47"/>
        <v/>
      </c>
    </row>
    <row r="251" spans="5:21" x14ac:dyDescent="0.25">
      <c r="E251" s="244" t="str">
        <f t="shared" si="36"/>
        <v>-</v>
      </c>
      <c r="F251" t="str">
        <f t="shared" si="37"/>
        <v/>
      </c>
      <c r="G251" s="300" t="str">
        <f t="shared" si="38"/>
        <v/>
      </c>
      <c r="H251" t="str">
        <f t="shared" si="39"/>
        <v/>
      </c>
      <c r="I251" s="88" t="str">
        <f t="shared" si="40"/>
        <v/>
      </c>
      <c r="N251" t="str">
        <f t="shared" si="42"/>
        <v>-</v>
      </c>
      <c r="O251" t="str">
        <f t="shared" si="41"/>
        <v/>
      </c>
      <c r="Q251" s="70" t="str">
        <f t="shared" si="43"/>
        <v/>
      </c>
      <c r="R251" t="str">
        <f t="shared" si="44"/>
        <v/>
      </c>
      <c r="S251" s="525" t="str">
        <f t="shared" si="45"/>
        <v/>
      </c>
      <c r="T251" s="87" t="str">
        <f t="shared" si="46"/>
        <v/>
      </c>
      <c r="U251" s="87" t="str">
        <f t="shared" si="47"/>
        <v/>
      </c>
    </row>
    <row r="252" spans="5:21" x14ac:dyDescent="0.25">
      <c r="E252" s="244" t="str">
        <f t="shared" si="36"/>
        <v>-</v>
      </c>
      <c r="F252" t="str">
        <f t="shared" si="37"/>
        <v/>
      </c>
      <c r="G252" s="300" t="str">
        <f t="shared" si="38"/>
        <v/>
      </c>
      <c r="H252" t="str">
        <f t="shared" si="39"/>
        <v/>
      </c>
      <c r="I252" s="88" t="str">
        <f t="shared" si="40"/>
        <v/>
      </c>
      <c r="N252" t="str">
        <f t="shared" si="42"/>
        <v>-</v>
      </c>
      <c r="O252" t="str">
        <f t="shared" si="41"/>
        <v/>
      </c>
      <c r="Q252" s="70" t="str">
        <f t="shared" si="43"/>
        <v/>
      </c>
      <c r="R252" t="str">
        <f t="shared" si="44"/>
        <v/>
      </c>
      <c r="S252" s="525" t="str">
        <f t="shared" si="45"/>
        <v/>
      </c>
      <c r="T252" s="87" t="str">
        <f t="shared" si="46"/>
        <v/>
      </c>
      <c r="U252" s="87" t="str">
        <f t="shared" si="47"/>
        <v/>
      </c>
    </row>
    <row r="253" spans="5:21" x14ac:dyDescent="0.25">
      <c r="E253" s="244" t="str">
        <f t="shared" si="36"/>
        <v>-</v>
      </c>
      <c r="F253" t="str">
        <f t="shared" si="37"/>
        <v/>
      </c>
      <c r="G253" s="300" t="str">
        <f t="shared" si="38"/>
        <v/>
      </c>
      <c r="H253" t="str">
        <f t="shared" si="39"/>
        <v/>
      </c>
      <c r="I253" s="88" t="str">
        <f t="shared" si="40"/>
        <v/>
      </c>
      <c r="N253" t="str">
        <f t="shared" si="42"/>
        <v>-</v>
      </c>
      <c r="O253" t="str">
        <f t="shared" si="41"/>
        <v/>
      </c>
      <c r="Q253" s="70" t="str">
        <f t="shared" si="43"/>
        <v/>
      </c>
      <c r="R253" t="str">
        <f t="shared" si="44"/>
        <v/>
      </c>
      <c r="S253" s="525" t="str">
        <f t="shared" si="45"/>
        <v/>
      </c>
      <c r="T253" s="87" t="str">
        <f t="shared" si="46"/>
        <v/>
      </c>
      <c r="U253" s="87" t="str">
        <f t="shared" si="47"/>
        <v/>
      </c>
    </row>
    <row r="254" spans="5:21" x14ac:dyDescent="0.25">
      <c r="E254" s="244" t="str">
        <f t="shared" si="36"/>
        <v>-</v>
      </c>
      <c r="F254" t="str">
        <f t="shared" si="37"/>
        <v/>
      </c>
      <c r="G254" s="300" t="str">
        <f t="shared" si="38"/>
        <v/>
      </c>
      <c r="H254" t="str">
        <f t="shared" si="39"/>
        <v/>
      </c>
      <c r="I254" s="88" t="str">
        <f t="shared" si="40"/>
        <v/>
      </c>
      <c r="N254" t="str">
        <f t="shared" si="42"/>
        <v>-</v>
      </c>
      <c r="O254" t="str">
        <f t="shared" si="41"/>
        <v/>
      </c>
      <c r="Q254" s="70" t="str">
        <f t="shared" si="43"/>
        <v/>
      </c>
      <c r="R254" t="str">
        <f t="shared" si="44"/>
        <v/>
      </c>
      <c r="S254" s="525" t="str">
        <f t="shared" si="45"/>
        <v/>
      </c>
      <c r="T254" s="87" t="str">
        <f t="shared" si="46"/>
        <v/>
      </c>
      <c r="U254" s="87" t="str">
        <f t="shared" si="47"/>
        <v/>
      </c>
    </row>
    <row r="255" spans="5:21" x14ac:dyDescent="0.25">
      <c r="E255" s="244" t="str">
        <f t="shared" si="36"/>
        <v>-</v>
      </c>
      <c r="F255" t="str">
        <f t="shared" si="37"/>
        <v/>
      </c>
      <c r="G255" s="300" t="str">
        <f t="shared" si="38"/>
        <v/>
      </c>
      <c r="H255" t="str">
        <f t="shared" si="39"/>
        <v/>
      </c>
      <c r="I255" s="88" t="str">
        <f t="shared" si="40"/>
        <v/>
      </c>
      <c r="N255" t="str">
        <f t="shared" si="42"/>
        <v>-</v>
      </c>
      <c r="O255" t="str">
        <f t="shared" si="41"/>
        <v/>
      </c>
      <c r="Q255" s="70" t="str">
        <f t="shared" si="43"/>
        <v/>
      </c>
      <c r="R255" t="str">
        <f t="shared" si="44"/>
        <v/>
      </c>
      <c r="S255" s="525" t="str">
        <f t="shared" si="45"/>
        <v/>
      </c>
      <c r="T255" s="87" t="str">
        <f t="shared" si="46"/>
        <v/>
      </c>
      <c r="U255" s="87" t="str">
        <f t="shared" si="47"/>
        <v/>
      </c>
    </row>
    <row r="256" spans="5:21" x14ac:dyDescent="0.25">
      <c r="E256" s="244" t="str">
        <f t="shared" si="36"/>
        <v>-</v>
      </c>
      <c r="F256" t="str">
        <f t="shared" si="37"/>
        <v/>
      </c>
      <c r="G256" s="300" t="str">
        <f t="shared" si="38"/>
        <v/>
      </c>
      <c r="H256" t="str">
        <f t="shared" si="39"/>
        <v/>
      </c>
      <c r="I256" s="88" t="str">
        <f t="shared" si="40"/>
        <v/>
      </c>
      <c r="N256" t="str">
        <f t="shared" si="42"/>
        <v>-</v>
      </c>
      <c r="O256" t="str">
        <f t="shared" si="41"/>
        <v/>
      </c>
      <c r="Q256" s="70" t="str">
        <f t="shared" si="43"/>
        <v/>
      </c>
      <c r="R256" t="str">
        <f t="shared" si="44"/>
        <v/>
      </c>
      <c r="S256" s="525" t="str">
        <f t="shared" si="45"/>
        <v/>
      </c>
      <c r="T256" s="87" t="str">
        <f t="shared" si="46"/>
        <v/>
      </c>
      <c r="U256" s="87" t="str">
        <f t="shared" si="47"/>
        <v/>
      </c>
    </row>
    <row r="257" spans="5:21" x14ac:dyDescent="0.25">
      <c r="E257" s="244" t="str">
        <f t="shared" si="36"/>
        <v>-</v>
      </c>
      <c r="F257" t="str">
        <f t="shared" si="37"/>
        <v/>
      </c>
      <c r="G257" s="300" t="str">
        <f t="shared" si="38"/>
        <v/>
      </c>
      <c r="H257" t="str">
        <f t="shared" si="39"/>
        <v/>
      </c>
      <c r="I257" s="88" t="str">
        <f t="shared" si="40"/>
        <v/>
      </c>
      <c r="N257" t="str">
        <f t="shared" si="42"/>
        <v>-</v>
      </c>
      <c r="O257" t="str">
        <f t="shared" si="41"/>
        <v/>
      </c>
      <c r="Q257" s="70" t="str">
        <f t="shared" si="43"/>
        <v/>
      </c>
      <c r="R257" t="str">
        <f t="shared" si="44"/>
        <v/>
      </c>
      <c r="S257" s="525" t="str">
        <f t="shared" si="45"/>
        <v/>
      </c>
      <c r="T257" s="87" t="str">
        <f t="shared" si="46"/>
        <v/>
      </c>
      <c r="U257" s="87" t="str">
        <f t="shared" si="47"/>
        <v/>
      </c>
    </row>
    <row r="258" spans="5:21" x14ac:dyDescent="0.25">
      <c r="E258" s="244" t="str">
        <f t="shared" si="36"/>
        <v>-</v>
      </c>
      <c r="F258" t="str">
        <f t="shared" si="37"/>
        <v/>
      </c>
      <c r="G258" s="300" t="str">
        <f t="shared" si="38"/>
        <v/>
      </c>
      <c r="H258" t="str">
        <f t="shared" si="39"/>
        <v/>
      </c>
      <c r="I258" s="88" t="str">
        <f t="shared" si="40"/>
        <v/>
      </c>
      <c r="N258" t="str">
        <f t="shared" si="42"/>
        <v>-</v>
      </c>
      <c r="O258" t="str">
        <f t="shared" si="41"/>
        <v/>
      </c>
      <c r="Q258" s="70" t="str">
        <f t="shared" si="43"/>
        <v/>
      </c>
      <c r="R258" t="str">
        <f t="shared" si="44"/>
        <v/>
      </c>
      <c r="S258" s="525" t="str">
        <f t="shared" si="45"/>
        <v/>
      </c>
      <c r="T258" s="87" t="str">
        <f t="shared" si="46"/>
        <v/>
      </c>
      <c r="U258" s="87" t="str">
        <f t="shared" si="47"/>
        <v/>
      </c>
    </row>
    <row r="259" spans="5:21" x14ac:dyDescent="0.25">
      <c r="E259" s="244" t="str">
        <f t="shared" si="36"/>
        <v>-</v>
      </c>
      <c r="F259" t="str">
        <f t="shared" si="37"/>
        <v/>
      </c>
      <c r="G259" s="300" t="str">
        <f t="shared" si="38"/>
        <v/>
      </c>
      <c r="H259" t="str">
        <f t="shared" si="39"/>
        <v/>
      </c>
      <c r="I259" s="88" t="str">
        <f t="shared" si="40"/>
        <v/>
      </c>
      <c r="N259" t="str">
        <f t="shared" si="42"/>
        <v>-</v>
      </c>
      <c r="O259" t="str">
        <f t="shared" si="41"/>
        <v/>
      </c>
      <c r="Q259" s="70" t="str">
        <f t="shared" si="43"/>
        <v/>
      </c>
      <c r="R259" t="str">
        <f t="shared" si="44"/>
        <v/>
      </c>
      <c r="S259" s="525" t="str">
        <f t="shared" si="45"/>
        <v/>
      </c>
      <c r="T259" s="87" t="str">
        <f t="shared" si="46"/>
        <v/>
      </c>
      <c r="U259" s="87" t="str">
        <f t="shared" si="47"/>
        <v/>
      </c>
    </row>
    <row r="260" spans="5:21" x14ac:dyDescent="0.25">
      <c r="E260" s="244" t="str">
        <f t="shared" ref="E260:E323" si="48">G260&amp;"-"&amp;H260</f>
        <v>-</v>
      </c>
      <c r="F260" t="str">
        <f t="shared" si="37"/>
        <v/>
      </c>
      <c r="G260" s="300" t="str">
        <f t="shared" si="38"/>
        <v/>
      </c>
      <c r="H260" t="str">
        <f t="shared" si="39"/>
        <v/>
      </c>
      <c r="I260" s="88" t="str">
        <f t="shared" si="40"/>
        <v/>
      </c>
      <c r="N260" t="str">
        <f t="shared" si="42"/>
        <v>-</v>
      </c>
      <c r="O260" t="str">
        <f t="shared" si="41"/>
        <v/>
      </c>
      <c r="Q260" s="70" t="str">
        <f t="shared" si="43"/>
        <v/>
      </c>
      <c r="R260" t="str">
        <f t="shared" si="44"/>
        <v/>
      </c>
      <c r="S260" s="525" t="str">
        <f t="shared" si="45"/>
        <v/>
      </c>
      <c r="T260" s="87" t="str">
        <f t="shared" si="46"/>
        <v/>
      </c>
      <c r="U260" s="87" t="str">
        <f t="shared" si="47"/>
        <v/>
      </c>
    </row>
    <row r="261" spans="5:21" x14ac:dyDescent="0.25">
      <c r="E261" s="244" t="str">
        <f t="shared" si="48"/>
        <v>-</v>
      </c>
      <c r="F261" t="str">
        <f t="shared" ref="F261:F324" si="49">IF(A259="Grand Total","",IF(LEN(A259)=4,A259,IF(F260="","",F260)))</f>
        <v/>
      </c>
      <c r="G261" s="300" t="str">
        <f t="shared" ref="G261:G324" si="50">IF(F261=A261,"",F261)</f>
        <v/>
      </c>
      <c r="H261" t="str">
        <f t="shared" si="39"/>
        <v/>
      </c>
      <c r="I261" s="88" t="str">
        <f t="shared" si="40"/>
        <v/>
      </c>
      <c r="N261" t="str">
        <f t="shared" si="42"/>
        <v>-</v>
      </c>
      <c r="O261" t="str">
        <f t="shared" si="41"/>
        <v/>
      </c>
      <c r="Q261" s="70" t="str">
        <f t="shared" si="43"/>
        <v/>
      </c>
      <c r="R261" t="str">
        <f t="shared" si="44"/>
        <v/>
      </c>
      <c r="S261" s="525" t="str">
        <f t="shared" si="45"/>
        <v/>
      </c>
      <c r="T261" s="87" t="str">
        <f t="shared" si="46"/>
        <v/>
      </c>
      <c r="U261" s="87" t="str">
        <f t="shared" si="47"/>
        <v/>
      </c>
    </row>
    <row r="262" spans="5:21" x14ac:dyDescent="0.25">
      <c r="E262" s="244" t="str">
        <f t="shared" si="48"/>
        <v>-</v>
      </c>
      <c r="F262" t="str">
        <f t="shared" si="49"/>
        <v/>
      </c>
      <c r="G262" s="300" t="str">
        <f t="shared" si="50"/>
        <v/>
      </c>
      <c r="H262" t="str">
        <f t="shared" si="39"/>
        <v/>
      </c>
      <c r="I262" s="88" t="str">
        <f t="shared" si="40"/>
        <v/>
      </c>
      <c r="N262" t="str">
        <f t="shared" si="42"/>
        <v>-</v>
      </c>
      <c r="O262" t="str">
        <f t="shared" si="41"/>
        <v/>
      </c>
      <c r="Q262" s="70" t="str">
        <f t="shared" si="43"/>
        <v/>
      </c>
      <c r="R262" t="str">
        <f t="shared" si="44"/>
        <v/>
      </c>
      <c r="S262" s="525" t="str">
        <f t="shared" si="45"/>
        <v/>
      </c>
      <c r="T262" s="87" t="str">
        <f t="shared" si="46"/>
        <v/>
      </c>
      <c r="U262" s="87" t="str">
        <f t="shared" si="47"/>
        <v/>
      </c>
    </row>
    <row r="263" spans="5:21" x14ac:dyDescent="0.25">
      <c r="E263" s="244" t="str">
        <f t="shared" si="48"/>
        <v>-</v>
      </c>
      <c r="F263" t="str">
        <f t="shared" si="49"/>
        <v/>
      </c>
      <c r="G263" s="300" t="str">
        <f t="shared" si="50"/>
        <v/>
      </c>
      <c r="H263" t="str">
        <f t="shared" si="39"/>
        <v/>
      </c>
      <c r="I263" s="88" t="str">
        <f t="shared" si="40"/>
        <v/>
      </c>
      <c r="N263" t="str">
        <f t="shared" si="42"/>
        <v>-</v>
      </c>
      <c r="O263" t="str">
        <f t="shared" si="41"/>
        <v/>
      </c>
      <c r="Q263" s="70" t="str">
        <f t="shared" si="43"/>
        <v/>
      </c>
      <c r="R263" t="str">
        <f t="shared" si="44"/>
        <v/>
      </c>
      <c r="S263" s="525" t="str">
        <f t="shared" si="45"/>
        <v/>
      </c>
      <c r="T263" s="87" t="str">
        <f t="shared" si="46"/>
        <v/>
      </c>
      <c r="U263" s="87" t="str">
        <f t="shared" si="47"/>
        <v/>
      </c>
    </row>
    <row r="264" spans="5:21" x14ac:dyDescent="0.25">
      <c r="E264" s="244" t="str">
        <f t="shared" si="48"/>
        <v>-</v>
      </c>
      <c r="F264" t="str">
        <f t="shared" si="49"/>
        <v/>
      </c>
      <c r="G264" s="300" t="str">
        <f t="shared" si="50"/>
        <v/>
      </c>
      <c r="H264" t="str">
        <f t="shared" ref="H264:H327" si="51">IF(F264="","",IF(F264=G264,A264,""))</f>
        <v/>
      </c>
      <c r="I264" s="88" t="str">
        <f t="shared" ref="I264:I327" si="52">IF(H264="","",B264)</f>
        <v/>
      </c>
      <c r="N264" t="str">
        <f t="shared" si="42"/>
        <v>-</v>
      </c>
      <c r="O264" t="str">
        <f t="shared" si="41"/>
        <v/>
      </c>
      <c r="Q264" s="70" t="str">
        <f t="shared" si="43"/>
        <v/>
      </c>
      <c r="R264" t="str">
        <f t="shared" si="44"/>
        <v/>
      </c>
      <c r="S264" s="525" t="str">
        <f t="shared" si="45"/>
        <v/>
      </c>
      <c r="T264" s="87" t="str">
        <f t="shared" si="46"/>
        <v/>
      </c>
      <c r="U264" s="87" t="str">
        <f t="shared" si="47"/>
        <v/>
      </c>
    </row>
    <row r="265" spans="5:21" x14ac:dyDescent="0.25">
      <c r="E265" s="244" t="str">
        <f t="shared" si="48"/>
        <v>-</v>
      </c>
      <c r="F265" t="str">
        <f t="shared" si="49"/>
        <v/>
      </c>
      <c r="G265" s="300" t="str">
        <f t="shared" si="50"/>
        <v/>
      </c>
      <c r="H265" t="str">
        <f t="shared" si="51"/>
        <v/>
      </c>
      <c r="I265" s="88" t="str">
        <f t="shared" si="52"/>
        <v/>
      </c>
      <c r="N265" t="str">
        <f t="shared" si="42"/>
        <v>-</v>
      </c>
      <c r="O265" t="str">
        <f t="shared" si="41"/>
        <v/>
      </c>
      <c r="Q265" s="70" t="str">
        <f t="shared" si="43"/>
        <v/>
      </c>
      <c r="R265" t="str">
        <f t="shared" si="44"/>
        <v/>
      </c>
      <c r="S265" s="525" t="str">
        <f t="shared" si="45"/>
        <v/>
      </c>
      <c r="T265" s="87" t="str">
        <f t="shared" si="46"/>
        <v/>
      </c>
      <c r="U265" s="87" t="str">
        <f t="shared" si="47"/>
        <v/>
      </c>
    </row>
    <row r="266" spans="5:21" x14ac:dyDescent="0.25">
      <c r="E266" s="244" t="str">
        <f t="shared" si="48"/>
        <v>-</v>
      </c>
      <c r="F266" t="str">
        <f t="shared" si="49"/>
        <v/>
      </c>
      <c r="G266" s="300" t="str">
        <f t="shared" si="50"/>
        <v/>
      </c>
      <c r="H266" t="str">
        <f t="shared" si="51"/>
        <v/>
      </c>
      <c r="I266" s="88" t="str">
        <f t="shared" si="52"/>
        <v/>
      </c>
      <c r="N266" t="str">
        <f t="shared" si="42"/>
        <v>-</v>
      </c>
      <c r="O266" t="str">
        <f t="shared" si="41"/>
        <v/>
      </c>
      <c r="Q266" s="70" t="str">
        <f t="shared" si="43"/>
        <v/>
      </c>
      <c r="R266" t="str">
        <f t="shared" si="44"/>
        <v/>
      </c>
      <c r="S266" s="525" t="str">
        <f t="shared" si="45"/>
        <v/>
      </c>
      <c r="T266" s="87" t="str">
        <f t="shared" si="46"/>
        <v/>
      </c>
      <c r="U266" s="87" t="str">
        <f t="shared" si="47"/>
        <v/>
      </c>
    </row>
    <row r="267" spans="5:21" x14ac:dyDescent="0.25">
      <c r="E267" s="244" t="str">
        <f t="shared" si="48"/>
        <v>-</v>
      </c>
      <c r="F267" t="str">
        <f t="shared" si="49"/>
        <v/>
      </c>
      <c r="G267" s="300" t="str">
        <f t="shared" si="50"/>
        <v/>
      </c>
      <c r="H267" t="str">
        <f t="shared" si="51"/>
        <v/>
      </c>
      <c r="I267" s="88" t="str">
        <f t="shared" si="52"/>
        <v/>
      </c>
      <c r="N267" t="str">
        <f t="shared" si="42"/>
        <v>-</v>
      </c>
      <c r="O267" t="str">
        <f t="shared" si="41"/>
        <v/>
      </c>
      <c r="Q267" s="70" t="str">
        <f t="shared" si="43"/>
        <v/>
      </c>
      <c r="R267" t="str">
        <f t="shared" si="44"/>
        <v/>
      </c>
      <c r="S267" s="525" t="str">
        <f t="shared" si="45"/>
        <v/>
      </c>
      <c r="T267" s="87" t="str">
        <f t="shared" si="46"/>
        <v/>
      </c>
      <c r="U267" s="87" t="str">
        <f t="shared" si="47"/>
        <v/>
      </c>
    </row>
    <row r="268" spans="5:21" x14ac:dyDescent="0.25">
      <c r="E268" s="244" t="str">
        <f t="shared" si="48"/>
        <v>-</v>
      </c>
      <c r="F268" t="str">
        <f t="shared" si="49"/>
        <v/>
      </c>
      <c r="G268" s="300" t="str">
        <f t="shared" si="50"/>
        <v/>
      </c>
      <c r="H268" t="str">
        <f t="shared" si="51"/>
        <v/>
      </c>
      <c r="I268" s="88" t="str">
        <f t="shared" si="52"/>
        <v/>
      </c>
      <c r="N268" t="str">
        <f t="shared" si="42"/>
        <v>-</v>
      </c>
      <c r="O268" t="str">
        <f t="shared" si="41"/>
        <v/>
      </c>
      <c r="Q268" s="70" t="str">
        <f t="shared" si="43"/>
        <v/>
      </c>
      <c r="R268" t="str">
        <f t="shared" si="44"/>
        <v/>
      </c>
      <c r="S268" s="525" t="str">
        <f t="shared" si="45"/>
        <v/>
      </c>
      <c r="T268" s="87" t="str">
        <f t="shared" si="46"/>
        <v/>
      </c>
      <c r="U268" s="87" t="str">
        <f t="shared" si="47"/>
        <v/>
      </c>
    </row>
    <row r="269" spans="5:21" x14ac:dyDescent="0.25">
      <c r="E269" s="244" t="str">
        <f t="shared" si="48"/>
        <v>-</v>
      </c>
      <c r="F269" t="str">
        <f t="shared" si="49"/>
        <v/>
      </c>
      <c r="G269" s="300" t="str">
        <f t="shared" si="50"/>
        <v/>
      </c>
      <c r="H269" t="str">
        <f t="shared" si="51"/>
        <v/>
      </c>
      <c r="I269" s="88" t="str">
        <f t="shared" si="52"/>
        <v/>
      </c>
      <c r="N269" t="str">
        <f t="shared" si="42"/>
        <v>-</v>
      </c>
      <c r="O269" t="str">
        <f t="shared" si="41"/>
        <v/>
      </c>
      <c r="Q269" s="70" t="str">
        <f t="shared" si="43"/>
        <v/>
      </c>
      <c r="R269" t="str">
        <f t="shared" si="44"/>
        <v/>
      </c>
      <c r="S269" s="525" t="str">
        <f t="shared" si="45"/>
        <v/>
      </c>
      <c r="T269" s="87" t="str">
        <f t="shared" si="46"/>
        <v/>
      </c>
      <c r="U269" s="87" t="str">
        <f t="shared" si="47"/>
        <v/>
      </c>
    </row>
    <row r="270" spans="5:21" x14ac:dyDescent="0.25">
      <c r="E270" s="244" t="str">
        <f t="shared" si="48"/>
        <v>-</v>
      </c>
      <c r="F270" t="str">
        <f t="shared" si="49"/>
        <v/>
      </c>
      <c r="G270" s="300" t="str">
        <f t="shared" si="50"/>
        <v/>
      </c>
      <c r="H270" t="str">
        <f t="shared" si="51"/>
        <v/>
      </c>
      <c r="I270" s="88" t="str">
        <f t="shared" si="52"/>
        <v/>
      </c>
      <c r="N270" t="str">
        <f t="shared" si="42"/>
        <v>-</v>
      </c>
      <c r="O270" t="str">
        <f t="shared" ref="O270:O333" si="53">IF(K270="Grand Total","",IF(LEN(K270)=4,K270,IF(O269="","",O269)))</f>
        <v/>
      </c>
      <c r="Q270" s="70" t="str">
        <f t="shared" si="43"/>
        <v/>
      </c>
      <c r="R270" t="str">
        <f t="shared" si="44"/>
        <v/>
      </c>
      <c r="S270" s="525" t="str">
        <f t="shared" si="45"/>
        <v/>
      </c>
      <c r="T270" s="87" t="str">
        <f t="shared" si="46"/>
        <v/>
      </c>
      <c r="U270" s="87" t="str">
        <f t="shared" si="47"/>
        <v/>
      </c>
    </row>
    <row r="271" spans="5:21" x14ac:dyDescent="0.25">
      <c r="E271" s="244" t="str">
        <f t="shared" si="48"/>
        <v>-</v>
      </c>
      <c r="F271" t="str">
        <f t="shared" si="49"/>
        <v/>
      </c>
      <c r="G271" s="300" t="str">
        <f t="shared" si="50"/>
        <v/>
      </c>
      <c r="H271" t="str">
        <f t="shared" si="51"/>
        <v/>
      </c>
      <c r="I271" s="88" t="str">
        <f t="shared" si="52"/>
        <v/>
      </c>
      <c r="N271" t="str">
        <f t="shared" ref="N271:N334" si="54">Q271&amp;"-"&amp;R271</f>
        <v>-</v>
      </c>
      <c r="O271" t="str">
        <f t="shared" si="53"/>
        <v/>
      </c>
      <c r="Q271" s="70" t="str">
        <f t="shared" ref="Q271:Q334" si="55">IF(O271=K271,"",O271)</f>
        <v/>
      </c>
      <c r="R271" t="str">
        <f t="shared" ref="R271:R334" si="56">IF(O271="","",IF(O271=Q271,K271,""))</f>
        <v/>
      </c>
      <c r="S271" s="525" t="str">
        <f t="shared" ref="S271:S334" si="57">IF(R271="","",L271)</f>
        <v/>
      </c>
      <c r="T271" s="87" t="str">
        <f t="shared" ref="T271:T334" si="58">VLOOKUP(N271,$E$4:$I$566,5,FALSE)</f>
        <v/>
      </c>
      <c r="U271" s="87" t="str">
        <f t="shared" ref="U271:U334" si="59">IFERROR(T271/S271,"")</f>
        <v/>
      </c>
    </row>
    <row r="272" spans="5:21" x14ac:dyDescent="0.25">
      <c r="E272" s="244" t="str">
        <f t="shared" si="48"/>
        <v>-</v>
      </c>
      <c r="F272" t="str">
        <f t="shared" si="49"/>
        <v/>
      </c>
      <c r="G272" s="300" t="str">
        <f t="shared" si="50"/>
        <v/>
      </c>
      <c r="H272" t="str">
        <f t="shared" si="51"/>
        <v/>
      </c>
      <c r="I272" s="88" t="str">
        <f t="shared" si="52"/>
        <v/>
      </c>
      <c r="N272" t="str">
        <f t="shared" si="54"/>
        <v>-</v>
      </c>
      <c r="O272" t="str">
        <f t="shared" si="53"/>
        <v/>
      </c>
      <c r="Q272" s="70" t="str">
        <f t="shared" si="55"/>
        <v/>
      </c>
      <c r="R272" t="str">
        <f t="shared" si="56"/>
        <v/>
      </c>
      <c r="S272" s="525" t="str">
        <f t="shared" si="57"/>
        <v/>
      </c>
      <c r="T272" s="87" t="str">
        <f t="shared" si="58"/>
        <v/>
      </c>
      <c r="U272" s="87" t="str">
        <f t="shared" si="59"/>
        <v/>
      </c>
    </row>
    <row r="273" spans="5:21" x14ac:dyDescent="0.25">
      <c r="E273" s="244" t="str">
        <f t="shared" si="48"/>
        <v>-</v>
      </c>
      <c r="F273" t="str">
        <f t="shared" si="49"/>
        <v/>
      </c>
      <c r="G273" s="300" t="str">
        <f t="shared" si="50"/>
        <v/>
      </c>
      <c r="H273" t="str">
        <f t="shared" si="51"/>
        <v/>
      </c>
      <c r="I273" s="88" t="str">
        <f t="shared" si="52"/>
        <v/>
      </c>
      <c r="N273" t="str">
        <f t="shared" si="54"/>
        <v>-</v>
      </c>
      <c r="O273" t="str">
        <f t="shared" si="53"/>
        <v/>
      </c>
      <c r="Q273" s="70" t="str">
        <f t="shared" si="55"/>
        <v/>
      </c>
      <c r="R273" t="str">
        <f t="shared" si="56"/>
        <v/>
      </c>
      <c r="S273" s="525" t="str">
        <f t="shared" si="57"/>
        <v/>
      </c>
      <c r="T273" s="87" t="str">
        <f t="shared" si="58"/>
        <v/>
      </c>
      <c r="U273" s="87" t="str">
        <f t="shared" si="59"/>
        <v/>
      </c>
    </row>
    <row r="274" spans="5:21" x14ac:dyDescent="0.25">
      <c r="E274" s="244" t="str">
        <f t="shared" si="48"/>
        <v>-</v>
      </c>
      <c r="F274" t="str">
        <f t="shared" si="49"/>
        <v/>
      </c>
      <c r="G274" s="300" t="str">
        <f t="shared" si="50"/>
        <v/>
      </c>
      <c r="H274" t="str">
        <f t="shared" si="51"/>
        <v/>
      </c>
      <c r="I274" s="88" t="str">
        <f t="shared" si="52"/>
        <v/>
      </c>
      <c r="N274" t="str">
        <f t="shared" si="54"/>
        <v>-</v>
      </c>
      <c r="O274" t="str">
        <f t="shared" si="53"/>
        <v/>
      </c>
      <c r="Q274" s="70" t="str">
        <f t="shared" si="55"/>
        <v/>
      </c>
      <c r="R274" t="str">
        <f t="shared" si="56"/>
        <v/>
      </c>
      <c r="S274" s="525" t="str">
        <f t="shared" si="57"/>
        <v/>
      </c>
      <c r="T274" s="87" t="str">
        <f t="shared" si="58"/>
        <v/>
      </c>
      <c r="U274" s="87" t="str">
        <f t="shared" si="59"/>
        <v/>
      </c>
    </row>
    <row r="275" spans="5:21" x14ac:dyDescent="0.25">
      <c r="E275" s="244" t="str">
        <f t="shared" si="48"/>
        <v>-</v>
      </c>
      <c r="F275" t="str">
        <f t="shared" si="49"/>
        <v/>
      </c>
      <c r="G275" s="300" t="str">
        <f t="shared" si="50"/>
        <v/>
      </c>
      <c r="H275" t="str">
        <f t="shared" si="51"/>
        <v/>
      </c>
      <c r="I275" s="88" t="str">
        <f t="shared" si="52"/>
        <v/>
      </c>
      <c r="N275" t="str">
        <f t="shared" si="54"/>
        <v>-</v>
      </c>
      <c r="O275" t="str">
        <f t="shared" si="53"/>
        <v/>
      </c>
      <c r="Q275" s="70" t="str">
        <f t="shared" si="55"/>
        <v/>
      </c>
      <c r="R275" t="str">
        <f t="shared" si="56"/>
        <v/>
      </c>
      <c r="S275" s="525" t="str">
        <f t="shared" si="57"/>
        <v/>
      </c>
      <c r="T275" s="87" t="str">
        <f t="shared" si="58"/>
        <v/>
      </c>
      <c r="U275" s="87" t="str">
        <f t="shared" si="59"/>
        <v/>
      </c>
    </row>
    <row r="276" spans="5:21" x14ac:dyDescent="0.25">
      <c r="E276" s="244" t="str">
        <f t="shared" si="48"/>
        <v>-</v>
      </c>
      <c r="F276" t="str">
        <f t="shared" si="49"/>
        <v/>
      </c>
      <c r="G276" s="300" t="str">
        <f t="shared" si="50"/>
        <v/>
      </c>
      <c r="H276" t="str">
        <f t="shared" si="51"/>
        <v/>
      </c>
      <c r="I276" s="88" t="str">
        <f t="shared" si="52"/>
        <v/>
      </c>
      <c r="N276" t="str">
        <f t="shared" si="54"/>
        <v>-</v>
      </c>
      <c r="O276" t="str">
        <f t="shared" si="53"/>
        <v/>
      </c>
      <c r="Q276" s="70" t="str">
        <f t="shared" si="55"/>
        <v/>
      </c>
      <c r="R276" t="str">
        <f t="shared" si="56"/>
        <v/>
      </c>
      <c r="S276" s="525" t="str">
        <f t="shared" si="57"/>
        <v/>
      </c>
      <c r="T276" s="87" t="str">
        <f t="shared" si="58"/>
        <v/>
      </c>
      <c r="U276" s="87" t="str">
        <f t="shared" si="59"/>
        <v/>
      </c>
    </row>
    <row r="277" spans="5:21" x14ac:dyDescent="0.25">
      <c r="E277" s="244" t="str">
        <f t="shared" si="48"/>
        <v>-</v>
      </c>
      <c r="F277" t="str">
        <f t="shared" si="49"/>
        <v/>
      </c>
      <c r="G277" s="300" t="str">
        <f t="shared" si="50"/>
        <v/>
      </c>
      <c r="H277" t="str">
        <f t="shared" si="51"/>
        <v/>
      </c>
      <c r="I277" s="88" t="str">
        <f t="shared" si="52"/>
        <v/>
      </c>
      <c r="N277" t="str">
        <f t="shared" si="54"/>
        <v>-</v>
      </c>
      <c r="O277" t="str">
        <f t="shared" si="53"/>
        <v/>
      </c>
      <c r="Q277" s="70" t="str">
        <f t="shared" si="55"/>
        <v/>
      </c>
      <c r="R277" t="str">
        <f t="shared" si="56"/>
        <v/>
      </c>
      <c r="S277" s="525" t="str">
        <f t="shared" si="57"/>
        <v/>
      </c>
      <c r="T277" s="87" t="str">
        <f t="shared" si="58"/>
        <v/>
      </c>
      <c r="U277" s="87" t="str">
        <f t="shared" si="59"/>
        <v/>
      </c>
    </row>
    <row r="278" spans="5:21" x14ac:dyDescent="0.25">
      <c r="E278" s="244" t="str">
        <f t="shared" si="48"/>
        <v>-</v>
      </c>
      <c r="F278" t="str">
        <f t="shared" si="49"/>
        <v/>
      </c>
      <c r="G278" s="300" t="str">
        <f t="shared" si="50"/>
        <v/>
      </c>
      <c r="H278" t="str">
        <f t="shared" si="51"/>
        <v/>
      </c>
      <c r="I278" s="88" t="str">
        <f t="shared" si="52"/>
        <v/>
      </c>
      <c r="N278" t="str">
        <f t="shared" si="54"/>
        <v>-</v>
      </c>
      <c r="O278" t="str">
        <f t="shared" si="53"/>
        <v/>
      </c>
      <c r="Q278" s="70" t="str">
        <f t="shared" si="55"/>
        <v/>
      </c>
      <c r="R278" t="str">
        <f t="shared" si="56"/>
        <v/>
      </c>
      <c r="S278" s="525" t="str">
        <f t="shared" si="57"/>
        <v/>
      </c>
      <c r="T278" s="87" t="str">
        <f t="shared" si="58"/>
        <v/>
      </c>
      <c r="U278" s="87" t="str">
        <f t="shared" si="59"/>
        <v/>
      </c>
    </row>
    <row r="279" spans="5:21" x14ac:dyDescent="0.25">
      <c r="E279" s="244" t="str">
        <f t="shared" si="48"/>
        <v>-</v>
      </c>
      <c r="F279" t="str">
        <f t="shared" si="49"/>
        <v/>
      </c>
      <c r="G279" s="300" t="str">
        <f t="shared" si="50"/>
        <v/>
      </c>
      <c r="H279" t="str">
        <f t="shared" si="51"/>
        <v/>
      </c>
      <c r="I279" s="88" t="str">
        <f t="shared" si="52"/>
        <v/>
      </c>
      <c r="N279" t="str">
        <f t="shared" si="54"/>
        <v>-</v>
      </c>
      <c r="O279" t="str">
        <f t="shared" si="53"/>
        <v/>
      </c>
      <c r="Q279" s="70" t="str">
        <f t="shared" si="55"/>
        <v/>
      </c>
      <c r="R279" t="str">
        <f t="shared" si="56"/>
        <v/>
      </c>
      <c r="S279" s="525" t="str">
        <f t="shared" si="57"/>
        <v/>
      </c>
      <c r="T279" s="87" t="str">
        <f t="shared" si="58"/>
        <v/>
      </c>
      <c r="U279" s="87" t="str">
        <f t="shared" si="59"/>
        <v/>
      </c>
    </row>
    <row r="280" spans="5:21" x14ac:dyDescent="0.25">
      <c r="E280" s="244" t="str">
        <f t="shared" si="48"/>
        <v>-</v>
      </c>
      <c r="F280" t="str">
        <f t="shared" si="49"/>
        <v/>
      </c>
      <c r="G280" s="300" t="str">
        <f t="shared" si="50"/>
        <v/>
      </c>
      <c r="H280" t="str">
        <f t="shared" si="51"/>
        <v/>
      </c>
      <c r="I280" s="88" t="str">
        <f t="shared" si="52"/>
        <v/>
      </c>
      <c r="N280" t="str">
        <f t="shared" si="54"/>
        <v>-</v>
      </c>
      <c r="O280" t="str">
        <f t="shared" si="53"/>
        <v/>
      </c>
      <c r="Q280" s="70" t="str">
        <f t="shared" si="55"/>
        <v/>
      </c>
      <c r="R280" t="str">
        <f t="shared" si="56"/>
        <v/>
      </c>
      <c r="S280" s="525" t="str">
        <f t="shared" si="57"/>
        <v/>
      </c>
      <c r="T280" s="87" t="str">
        <f t="shared" si="58"/>
        <v/>
      </c>
      <c r="U280" s="87" t="str">
        <f t="shared" si="59"/>
        <v/>
      </c>
    </row>
    <row r="281" spans="5:21" x14ac:dyDescent="0.25">
      <c r="E281" s="244" t="str">
        <f t="shared" si="48"/>
        <v>-</v>
      </c>
      <c r="F281" t="str">
        <f t="shared" si="49"/>
        <v/>
      </c>
      <c r="G281" s="300" t="str">
        <f t="shared" si="50"/>
        <v/>
      </c>
      <c r="H281" t="str">
        <f t="shared" si="51"/>
        <v/>
      </c>
      <c r="I281" s="88" t="str">
        <f t="shared" si="52"/>
        <v/>
      </c>
      <c r="N281" t="str">
        <f t="shared" si="54"/>
        <v>-</v>
      </c>
      <c r="O281" t="str">
        <f t="shared" si="53"/>
        <v/>
      </c>
      <c r="Q281" s="70" t="str">
        <f t="shared" si="55"/>
        <v/>
      </c>
      <c r="R281" t="str">
        <f t="shared" si="56"/>
        <v/>
      </c>
      <c r="S281" s="525" t="str">
        <f t="shared" si="57"/>
        <v/>
      </c>
      <c r="T281" s="87" t="str">
        <f t="shared" si="58"/>
        <v/>
      </c>
      <c r="U281" s="87" t="str">
        <f t="shared" si="59"/>
        <v/>
      </c>
    </row>
    <row r="282" spans="5:21" x14ac:dyDescent="0.25">
      <c r="E282" s="244" t="str">
        <f t="shared" si="48"/>
        <v>-</v>
      </c>
      <c r="F282" t="str">
        <f t="shared" si="49"/>
        <v/>
      </c>
      <c r="G282" s="300" t="str">
        <f t="shared" si="50"/>
        <v/>
      </c>
      <c r="H282" t="str">
        <f t="shared" si="51"/>
        <v/>
      </c>
      <c r="I282" s="88" t="str">
        <f t="shared" si="52"/>
        <v/>
      </c>
      <c r="N282" t="str">
        <f t="shared" si="54"/>
        <v>-</v>
      </c>
      <c r="O282" t="str">
        <f t="shared" si="53"/>
        <v/>
      </c>
      <c r="Q282" s="70" t="str">
        <f t="shared" si="55"/>
        <v/>
      </c>
      <c r="R282" t="str">
        <f t="shared" si="56"/>
        <v/>
      </c>
      <c r="S282" s="525" t="str">
        <f t="shared" si="57"/>
        <v/>
      </c>
      <c r="T282" s="87" t="str">
        <f t="shared" si="58"/>
        <v/>
      </c>
      <c r="U282" s="87" t="str">
        <f t="shared" si="59"/>
        <v/>
      </c>
    </row>
    <row r="283" spans="5:21" x14ac:dyDescent="0.25">
      <c r="E283" s="244" t="str">
        <f t="shared" si="48"/>
        <v>-</v>
      </c>
      <c r="F283" t="str">
        <f t="shared" si="49"/>
        <v/>
      </c>
      <c r="G283" s="300" t="str">
        <f t="shared" si="50"/>
        <v/>
      </c>
      <c r="H283" t="str">
        <f t="shared" si="51"/>
        <v/>
      </c>
      <c r="I283" s="88" t="str">
        <f t="shared" si="52"/>
        <v/>
      </c>
      <c r="N283" t="str">
        <f t="shared" si="54"/>
        <v>-</v>
      </c>
      <c r="O283" t="str">
        <f t="shared" si="53"/>
        <v/>
      </c>
      <c r="Q283" s="70" t="str">
        <f t="shared" si="55"/>
        <v/>
      </c>
      <c r="R283" t="str">
        <f t="shared" si="56"/>
        <v/>
      </c>
      <c r="S283" s="525" t="str">
        <f t="shared" si="57"/>
        <v/>
      </c>
      <c r="T283" s="87" t="str">
        <f t="shared" si="58"/>
        <v/>
      </c>
      <c r="U283" s="87" t="str">
        <f t="shared" si="59"/>
        <v/>
      </c>
    </row>
    <row r="284" spans="5:21" x14ac:dyDescent="0.25">
      <c r="E284" s="244" t="str">
        <f t="shared" si="48"/>
        <v>-</v>
      </c>
      <c r="F284" t="str">
        <f t="shared" si="49"/>
        <v/>
      </c>
      <c r="G284" s="300" t="str">
        <f t="shared" si="50"/>
        <v/>
      </c>
      <c r="H284" t="str">
        <f t="shared" si="51"/>
        <v/>
      </c>
      <c r="I284" s="88" t="str">
        <f t="shared" si="52"/>
        <v/>
      </c>
      <c r="N284" t="str">
        <f t="shared" si="54"/>
        <v>-</v>
      </c>
      <c r="O284" t="str">
        <f t="shared" si="53"/>
        <v/>
      </c>
      <c r="Q284" s="70" t="str">
        <f t="shared" si="55"/>
        <v/>
      </c>
      <c r="R284" t="str">
        <f t="shared" si="56"/>
        <v/>
      </c>
      <c r="S284" s="525" t="str">
        <f t="shared" si="57"/>
        <v/>
      </c>
      <c r="T284" s="87" t="str">
        <f t="shared" si="58"/>
        <v/>
      </c>
      <c r="U284" s="87" t="str">
        <f t="shared" si="59"/>
        <v/>
      </c>
    </row>
    <row r="285" spans="5:21" x14ac:dyDescent="0.25">
      <c r="E285" s="244" t="str">
        <f t="shared" si="48"/>
        <v>-</v>
      </c>
      <c r="F285" t="str">
        <f t="shared" si="49"/>
        <v/>
      </c>
      <c r="G285" s="300" t="str">
        <f t="shared" si="50"/>
        <v/>
      </c>
      <c r="H285" t="str">
        <f t="shared" si="51"/>
        <v/>
      </c>
      <c r="I285" s="88" t="str">
        <f t="shared" si="52"/>
        <v/>
      </c>
      <c r="N285" t="str">
        <f t="shared" si="54"/>
        <v>-</v>
      </c>
      <c r="O285" t="str">
        <f t="shared" si="53"/>
        <v/>
      </c>
      <c r="Q285" s="70" t="str">
        <f t="shared" si="55"/>
        <v/>
      </c>
      <c r="R285" t="str">
        <f t="shared" si="56"/>
        <v/>
      </c>
      <c r="S285" s="525" t="str">
        <f t="shared" si="57"/>
        <v/>
      </c>
      <c r="T285" s="87" t="str">
        <f t="shared" si="58"/>
        <v/>
      </c>
      <c r="U285" s="87" t="str">
        <f t="shared" si="59"/>
        <v/>
      </c>
    </row>
    <row r="286" spans="5:21" x14ac:dyDescent="0.25">
      <c r="E286" s="244" t="str">
        <f t="shared" si="48"/>
        <v>-</v>
      </c>
      <c r="F286" t="str">
        <f t="shared" si="49"/>
        <v/>
      </c>
      <c r="G286" s="300" t="str">
        <f t="shared" si="50"/>
        <v/>
      </c>
      <c r="H286" t="str">
        <f t="shared" si="51"/>
        <v/>
      </c>
      <c r="I286" s="88" t="str">
        <f t="shared" si="52"/>
        <v/>
      </c>
      <c r="N286" t="str">
        <f t="shared" si="54"/>
        <v>-</v>
      </c>
      <c r="O286" t="str">
        <f t="shared" si="53"/>
        <v/>
      </c>
      <c r="Q286" s="70" t="str">
        <f t="shared" si="55"/>
        <v/>
      </c>
      <c r="R286" t="str">
        <f t="shared" si="56"/>
        <v/>
      </c>
      <c r="S286" s="525" t="str">
        <f t="shared" si="57"/>
        <v/>
      </c>
      <c r="T286" s="87" t="str">
        <f t="shared" si="58"/>
        <v/>
      </c>
      <c r="U286" s="87" t="str">
        <f t="shared" si="59"/>
        <v/>
      </c>
    </row>
    <row r="287" spans="5:21" x14ac:dyDescent="0.25">
      <c r="E287" s="244" t="str">
        <f t="shared" si="48"/>
        <v>-</v>
      </c>
      <c r="F287" t="str">
        <f t="shared" si="49"/>
        <v/>
      </c>
      <c r="G287" s="300" t="str">
        <f t="shared" si="50"/>
        <v/>
      </c>
      <c r="H287" t="str">
        <f t="shared" si="51"/>
        <v/>
      </c>
      <c r="I287" s="88" t="str">
        <f t="shared" si="52"/>
        <v/>
      </c>
      <c r="N287" t="str">
        <f t="shared" si="54"/>
        <v>-</v>
      </c>
      <c r="O287" t="str">
        <f t="shared" si="53"/>
        <v/>
      </c>
      <c r="Q287" s="70" t="str">
        <f t="shared" si="55"/>
        <v/>
      </c>
      <c r="R287" t="str">
        <f t="shared" si="56"/>
        <v/>
      </c>
      <c r="S287" s="525" t="str">
        <f t="shared" si="57"/>
        <v/>
      </c>
      <c r="T287" s="87" t="str">
        <f t="shared" si="58"/>
        <v/>
      </c>
      <c r="U287" s="87" t="str">
        <f t="shared" si="59"/>
        <v/>
      </c>
    </row>
    <row r="288" spans="5:21" x14ac:dyDescent="0.25">
      <c r="E288" s="244" t="str">
        <f t="shared" si="48"/>
        <v>-</v>
      </c>
      <c r="F288" t="str">
        <f t="shared" si="49"/>
        <v/>
      </c>
      <c r="G288" s="300" t="str">
        <f t="shared" si="50"/>
        <v/>
      </c>
      <c r="H288" t="str">
        <f t="shared" si="51"/>
        <v/>
      </c>
      <c r="I288" s="88" t="str">
        <f t="shared" si="52"/>
        <v/>
      </c>
      <c r="N288" t="str">
        <f t="shared" si="54"/>
        <v>-</v>
      </c>
      <c r="O288" t="str">
        <f t="shared" si="53"/>
        <v/>
      </c>
      <c r="Q288" s="70" t="str">
        <f t="shared" si="55"/>
        <v/>
      </c>
      <c r="R288" t="str">
        <f t="shared" si="56"/>
        <v/>
      </c>
      <c r="S288" s="525" t="str">
        <f t="shared" si="57"/>
        <v/>
      </c>
      <c r="T288" s="87" t="str">
        <f t="shared" si="58"/>
        <v/>
      </c>
      <c r="U288" s="87" t="str">
        <f t="shared" si="59"/>
        <v/>
      </c>
    </row>
    <row r="289" spans="5:21" x14ac:dyDescent="0.25">
      <c r="E289" s="244" t="str">
        <f t="shared" si="48"/>
        <v>-</v>
      </c>
      <c r="F289" t="str">
        <f t="shared" si="49"/>
        <v/>
      </c>
      <c r="G289" s="300" t="str">
        <f t="shared" si="50"/>
        <v/>
      </c>
      <c r="H289" t="str">
        <f t="shared" si="51"/>
        <v/>
      </c>
      <c r="I289" s="88" t="str">
        <f t="shared" si="52"/>
        <v/>
      </c>
      <c r="N289" t="str">
        <f t="shared" si="54"/>
        <v>-</v>
      </c>
      <c r="O289" t="str">
        <f t="shared" si="53"/>
        <v/>
      </c>
      <c r="Q289" s="70" t="str">
        <f t="shared" si="55"/>
        <v/>
      </c>
      <c r="R289" t="str">
        <f t="shared" si="56"/>
        <v/>
      </c>
      <c r="S289" s="525" t="str">
        <f t="shared" si="57"/>
        <v/>
      </c>
      <c r="T289" s="87" t="str">
        <f t="shared" si="58"/>
        <v/>
      </c>
      <c r="U289" s="87" t="str">
        <f t="shared" si="59"/>
        <v/>
      </c>
    </row>
    <row r="290" spans="5:21" x14ac:dyDescent="0.25">
      <c r="E290" s="244" t="str">
        <f t="shared" si="48"/>
        <v>-</v>
      </c>
      <c r="F290" t="str">
        <f t="shared" si="49"/>
        <v/>
      </c>
      <c r="G290" s="300" t="str">
        <f t="shared" si="50"/>
        <v/>
      </c>
      <c r="H290" t="str">
        <f t="shared" si="51"/>
        <v/>
      </c>
      <c r="I290" s="88" t="str">
        <f t="shared" si="52"/>
        <v/>
      </c>
      <c r="N290" t="str">
        <f t="shared" si="54"/>
        <v>-</v>
      </c>
      <c r="O290" t="str">
        <f t="shared" si="53"/>
        <v/>
      </c>
      <c r="Q290" s="70" t="str">
        <f t="shared" si="55"/>
        <v/>
      </c>
      <c r="R290" t="str">
        <f t="shared" si="56"/>
        <v/>
      </c>
      <c r="S290" s="525" t="str">
        <f t="shared" si="57"/>
        <v/>
      </c>
      <c r="T290" s="87" t="str">
        <f t="shared" si="58"/>
        <v/>
      </c>
      <c r="U290" s="87" t="str">
        <f t="shared" si="59"/>
        <v/>
      </c>
    </row>
    <row r="291" spans="5:21" x14ac:dyDescent="0.25">
      <c r="E291" s="244" t="str">
        <f t="shared" si="48"/>
        <v>-</v>
      </c>
      <c r="F291" t="str">
        <f t="shared" si="49"/>
        <v/>
      </c>
      <c r="G291" s="300" t="str">
        <f t="shared" si="50"/>
        <v/>
      </c>
      <c r="H291" t="str">
        <f t="shared" si="51"/>
        <v/>
      </c>
      <c r="I291" s="88" t="str">
        <f t="shared" si="52"/>
        <v/>
      </c>
      <c r="N291" t="str">
        <f t="shared" si="54"/>
        <v>-</v>
      </c>
      <c r="O291" t="str">
        <f t="shared" si="53"/>
        <v/>
      </c>
      <c r="Q291" s="70" t="str">
        <f t="shared" si="55"/>
        <v/>
      </c>
      <c r="R291" t="str">
        <f t="shared" si="56"/>
        <v/>
      </c>
      <c r="S291" s="525" t="str">
        <f t="shared" si="57"/>
        <v/>
      </c>
      <c r="T291" s="87" t="str">
        <f t="shared" si="58"/>
        <v/>
      </c>
      <c r="U291" s="87" t="str">
        <f t="shared" si="59"/>
        <v/>
      </c>
    </row>
    <row r="292" spans="5:21" x14ac:dyDescent="0.25">
      <c r="E292" s="244" t="str">
        <f t="shared" si="48"/>
        <v>-</v>
      </c>
      <c r="F292" t="str">
        <f t="shared" si="49"/>
        <v/>
      </c>
      <c r="G292" s="300" t="str">
        <f t="shared" si="50"/>
        <v/>
      </c>
      <c r="H292" t="str">
        <f t="shared" si="51"/>
        <v/>
      </c>
      <c r="I292" s="88" t="str">
        <f t="shared" si="52"/>
        <v/>
      </c>
      <c r="N292" t="str">
        <f t="shared" si="54"/>
        <v>-</v>
      </c>
      <c r="O292" t="str">
        <f t="shared" si="53"/>
        <v/>
      </c>
      <c r="Q292" s="70" t="str">
        <f t="shared" si="55"/>
        <v/>
      </c>
      <c r="R292" t="str">
        <f t="shared" si="56"/>
        <v/>
      </c>
      <c r="S292" s="525" t="str">
        <f t="shared" si="57"/>
        <v/>
      </c>
      <c r="T292" s="87" t="str">
        <f t="shared" si="58"/>
        <v/>
      </c>
      <c r="U292" s="87" t="str">
        <f t="shared" si="59"/>
        <v/>
      </c>
    </row>
    <row r="293" spans="5:21" x14ac:dyDescent="0.25">
      <c r="E293" s="244" t="str">
        <f t="shared" si="48"/>
        <v>-</v>
      </c>
      <c r="F293" t="str">
        <f t="shared" si="49"/>
        <v/>
      </c>
      <c r="G293" s="300" t="str">
        <f t="shared" si="50"/>
        <v/>
      </c>
      <c r="H293" t="str">
        <f t="shared" si="51"/>
        <v/>
      </c>
      <c r="I293" s="88" t="str">
        <f t="shared" si="52"/>
        <v/>
      </c>
      <c r="N293" t="str">
        <f t="shared" si="54"/>
        <v>-</v>
      </c>
      <c r="O293" t="str">
        <f t="shared" si="53"/>
        <v/>
      </c>
      <c r="Q293" s="70" t="str">
        <f t="shared" si="55"/>
        <v/>
      </c>
      <c r="R293" t="str">
        <f t="shared" si="56"/>
        <v/>
      </c>
      <c r="S293" s="525" t="str">
        <f t="shared" si="57"/>
        <v/>
      </c>
      <c r="T293" s="87" t="str">
        <f t="shared" si="58"/>
        <v/>
      </c>
      <c r="U293" s="87" t="str">
        <f t="shared" si="59"/>
        <v/>
      </c>
    </row>
    <row r="294" spans="5:21" x14ac:dyDescent="0.25">
      <c r="E294" s="244" t="str">
        <f t="shared" si="48"/>
        <v>-</v>
      </c>
      <c r="F294" t="str">
        <f t="shared" si="49"/>
        <v/>
      </c>
      <c r="G294" s="300" t="str">
        <f t="shared" si="50"/>
        <v/>
      </c>
      <c r="H294" t="str">
        <f t="shared" si="51"/>
        <v/>
      </c>
      <c r="I294" s="88" t="str">
        <f t="shared" si="52"/>
        <v/>
      </c>
      <c r="N294" t="str">
        <f t="shared" si="54"/>
        <v>-</v>
      </c>
      <c r="O294" t="str">
        <f t="shared" si="53"/>
        <v/>
      </c>
      <c r="Q294" s="70" t="str">
        <f t="shared" si="55"/>
        <v/>
      </c>
      <c r="R294" t="str">
        <f t="shared" si="56"/>
        <v/>
      </c>
      <c r="S294" s="525" t="str">
        <f t="shared" si="57"/>
        <v/>
      </c>
      <c r="T294" s="87" t="str">
        <f t="shared" si="58"/>
        <v/>
      </c>
      <c r="U294" s="87" t="str">
        <f t="shared" si="59"/>
        <v/>
      </c>
    </row>
    <row r="295" spans="5:21" x14ac:dyDescent="0.25">
      <c r="E295" s="244" t="str">
        <f t="shared" si="48"/>
        <v>-</v>
      </c>
      <c r="F295" t="str">
        <f t="shared" si="49"/>
        <v/>
      </c>
      <c r="G295" s="300" t="str">
        <f t="shared" si="50"/>
        <v/>
      </c>
      <c r="H295" t="str">
        <f t="shared" si="51"/>
        <v/>
      </c>
      <c r="I295" s="88" t="str">
        <f t="shared" si="52"/>
        <v/>
      </c>
      <c r="N295" t="str">
        <f t="shared" si="54"/>
        <v>-</v>
      </c>
      <c r="O295" t="str">
        <f t="shared" si="53"/>
        <v/>
      </c>
      <c r="Q295" s="70" t="str">
        <f t="shared" si="55"/>
        <v/>
      </c>
      <c r="R295" t="str">
        <f t="shared" si="56"/>
        <v/>
      </c>
      <c r="S295" s="525" t="str">
        <f t="shared" si="57"/>
        <v/>
      </c>
      <c r="T295" s="87" t="str">
        <f t="shared" si="58"/>
        <v/>
      </c>
      <c r="U295" s="87" t="str">
        <f t="shared" si="59"/>
        <v/>
      </c>
    </row>
    <row r="296" spans="5:21" x14ac:dyDescent="0.25">
      <c r="E296" s="244" t="str">
        <f t="shared" si="48"/>
        <v>-</v>
      </c>
      <c r="F296" t="str">
        <f t="shared" si="49"/>
        <v/>
      </c>
      <c r="G296" s="300" t="str">
        <f t="shared" si="50"/>
        <v/>
      </c>
      <c r="H296" t="str">
        <f t="shared" si="51"/>
        <v/>
      </c>
      <c r="I296" s="88" t="str">
        <f t="shared" si="52"/>
        <v/>
      </c>
      <c r="N296" t="str">
        <f t="shared" si="54"/>
        <v>-</v>
      </c>
      <c r="O296" t="str">
        <f t="shared" si="53"/>
        <v/>
      </c>
      <c r="Q296" s="70" t="str">
        <f t="shared" si="55"/>
        <v/>
      </c>
      <c r="R296" t="str">
        <f t="shared" si="56"/>
        <v/>
      </c>
      <c r="S296" s="525" t="str">
        <f t="shared" si="57"/>
        <v/>
      </c>
      <c r="T296" s="87" t="str">
        <f t="shared" si="58"/>
        <v/>
      </c>
      <c r="U296" s="87" t="str">
        <f t="shared" si="59"/>
        <v/>
      </c>
    </row>
    <row r="297" spans="5:21" x14ac:dyDescent="0.25">
      <c r="E297" s="244" t="str">
        <f t="shared" si="48"/>
        <v>-</v>
      </c>
      <c r="F297" t="str">
        <f t="shared" si="49"/>
        <v/>
      </c>
      <c r="G297" s="300" t="str">
        <f t="shared" si="50"/>
        <v/>
      </c>
      <c r="H297" t="str">
        <f t="shared" si="51"/>
        <v/>
      </c>
      <c r="I297" s="88" t="str">
        <f t="shared" si="52"/>
        <v/>
      </c>
      <c r="N297" t="str">
        <f t="shared" si="54"/>
        <v>-</v>
      </c>
      <c r="O297" t="str">
        <f t="shared" si="53"/>
        <v/>
      </c>
      <c r="Q297" s="70" t="str">
        <f t="shared" si="55"/>
        <v/>
      </c>
      <c r="R297" t="str">
        <f t="shared" si="56"/>
        <v/>
      </c>
      <c r="S297" s="525" t="str">
        <f t="shared" si="57"/>
        <v/>
      </c>
      <c r="T297" s="87" t="str">
        <f t="shared" si="58"/>
        <v/>
      </c>
      <c r="U297" s="87" t="str">
        <f t="shared" si="59"/>
        <v/>
      </c>
    </row>
    <row r="298" spans="5:21" x14ac:dyDescent="0.25">
      <c r="E298" s="244" t="str">
        <f t="shared" si="48"/>
        <v>-</v>
      </c>
      <c r="F298" t="str">
        <f t="shared" si="49"/>
        <v/>
      </c>
      <c r="G298" s="300" t="str">
        <f t="shared" si="50"/>
        <v/>
      </c>
      <c r="H298" t="str">
        <f t="shared" si="51"/>
        <v/>
      </c>
      <c r="I298" s="88" t="str">
        <f t="shared" si="52"/>
        <v/>
      </c>
      <c r="N298" t="str">
        <f t="shared" si="54"/>
        <v>-</v>
      </c>
      <c r="O298" t="str">
        <f t="shared" si="53"/>
        <v/>
      </c>
      <c r="Q298" s="70" t="str">
        <f t="shared" si="55"/>
        <v/>
      </c>
      <c r="R298" t="str">
        <f t="shared" si="56"/>
        <v/>
      </c>
      <c r="S298" s="525" t="str">
        <f t="shared" si="57"/>
        <v/>
      </c>
      <c r="T298" s="87" t="str">
        <f t="shared" si="58"/>
        <v/>
      </c>
      <c r="U298" s="87" t="str">
        <f t="shared" si="59"/>
        <v/>
      </c>
    </row>
    <row r="299" spans="5:21" x14ac:dyDescent="0.25">
      <c r="E299" s="244" t="str">
        <f t="shared" si="48"/>
        <v>-</v>
      </c>
      <c r="F299" t="str">
        <f t="shared" si="49"/>
        <v/>
      </c>
      <c r="G299" s="300" t="str">
        <f t="shared" si="50"/>
        <v/>
      </c>
      <c r="H299" t="str">
        <f t="shared" si="51"/>
        <v/>
      </c>
      <c r="I299" s="88" t="str">
        <f t="shared" si="52"/>
        <v/>
      </c>
      <c r="N299" t="str">
        <f t="shared" si="54"/>
        <v>-</v>
      </c>
      <c r="O299" t="str">
        <f t="shared" si="53"/>
        <v/>
      </c>
      <c r="Q299" s="70" t="str">
        <f t="shared" si="55"/>
        <v/>
      </c>
      <c r="R299" t="str">
        <f t="shared" si="56"/>
        <v/>
      </c>
      <c r="S299" s="525" t="str">
        <f t="shared" si="57"/>
        <v/>
      </c>
      <c r="T299" s="87" t="str">
        <f t="shared" si="58"/>
        <v/>
      </c>
      <c r="U299" s="87" t="str">
        <f t="shared" si="59"/>
        <v/>
      </c>
    </row>
    <row r="300" spans="5:21" x14ac:dyDescent="0.25">
      <c r="E300" s="244" t="str">
        <f t="shared" si="48"/>
        <v>-</v>
      </c>
      <c r="F300" t="str">
        <f t="shared" si="49"/>
        <v/>
      </c>
      <c r="G300" s="300" t="str">
        <f t="shared" si="50"/>
        <v/>
      </c>
      <c r="H300" t="str">
        <f t="shared" si="51"/>
        <v/>
      </c>
      <c r="I300" s="88" t="str">
        <f t="shared" si="52"/>
        <v/>
      </c>
      <c r="N300" t="str">
        <f t="shared" si="54"/>
        <v>-</v>
      </c>
      <c r="O300" t="str">
        <f t="shared" si="53"/>
        <v/>
      </c>
      <c r="Q300" s="70" t="str">
        <f t="shared" si="55"/>
        <v/>
      </c>
      <c r="R300" t="str">
        <f t="shared" si="56"/>
        <v/>
      </c>
      <c r="S300" s="525" t="str">
        <f t="shared" si="57"/>
        <v/>
      </c>
      <c r="T300" s="87" t="str">
        <f t="shared" si="58"/>
        <v/>
      </c>
      <c r="U300" s="87" t="str">
        <f t="shared" si="59"/>
        <v/>
      </c>
    </row>
    <row r="301" spans="5:21" x14ac:dyDescent="0.25">
      <c r="E301" s="244" t="str">
        <f t="shared" si="48"/>
        <v>-</v>
      </c>
      <c r="F301" t="str">
        <f t="shared" si="49"/>
        <v/>
      </c>
      <c r="G301" s="300" t="str">
        <f t="shared" si="50"/>
        <v/>
      </c>
      <c r="H301" t="str">
        <f t="shared" si="51"/>
        <v/>
      </c>
      <c r="I301" s="88" t="str">
        <f t="shared" si="52"/>
        <v/>
      </c>
      <c r="N301" t="str">
        <f t="shared" si="54"/>
        <v>-</v>
      </c>
      <c r="O301" t="str">
        <f t="shared" si="53"/>
        <v/>
      </c>
      <c r="Q301" s="70" t="str">
        <f t="shared" si="55"/>
        <v/>
      </c>
      <c r="R301" t="str">
        <f t="shared" si="56"/>
        <v/>
      </c>
      <c r="S301" s="525" t="str">
        <f t="shared" si="57"/>
        <v/>
      </c>
      <c r="T301" s="87" t="str">
        <f t="shared" si="58"/>
        <v/>
      </c>
      <c r="U301" s="87" t="str">
        <f t="shared" si="59"/>
        <v/>
      </c>
    </row>
    <row r="302" spans="5:21" x14ac:dyDescent="0.25">
      <c r="E302" s="244" t="str">
        <f t="shared" si="48"/>
        <v>-</v>
      </c>
      <c r="F302" t="str">
        <f t="shared" si="49"/>
        <v/>
      </c>
      <c r="G302" s="300" t="str">
        <f t="shared" si="50"/>
        <v/>
      </c>
      <c r="H302" t="str">
        <f t="shared" si="51"/>
        <v/>
      </c>
      <c r="I302" s="88" t="str">
        <f t="shared" si="52"/>
        <v/>
      </c>
      <c r="N302" t="str">
        <f t="shared" si="54"/>
        <v>-</v>
      </c>
      <c r="O302" t="str">
        <f t="shared" si="53"/>
        <v/>
      </c>
      <c r="Q302" s="70" t="str">
        <f t="shared" si="55"/>
        <v/>
      </c>
      <c r="R302" t="str">
        <f t="shared" si="56"/>
        <v/>
      </c>
      <c r="S302" s="525" t="str">
        <f t="shared" si="57"/>
        <v/>
      </c>
      <c r="T302" s="87" t="str">
        <f t="shared" si="58"/>
        <v/>
      </c>
      <c r="U302" s="87" t="str">
        <f t="shared" si="59"/>
        <v/>
      </c>
    </row>
    <row r="303" spans="5:21" x14ac:dyDescent="0.25">
      <c r="E303" s="244" t="str">
        <f t="shared" si="48"/>
        <v>-</v>
      </c>
      <c r="F303" t="str">
        <f t="shared" si="49"/>
        <v/>
      </c>
      <c r="G303" s="300" t="str">
        <f t="shared" si="50"/>
        <v/>
      </c>
      <c r="H303" t="str">
        <f t="shared" si="51"/>
        <v/>
      </c>
      <c r="I303" s="88" t="str">
        <f t="shared" si="52"/>
        <v/>
      </c>
      <c r="N303" t="str">
        <f t="shared" si="54"/>
        <v>-</v>
      </c>
      <c r="O303" t="str">
        <f t="shared" si="53"/>
        <v/>
      </c>
      <c r="Q303" s="70" t="str">
        <f t="shared" si="55"/>
        <v/>
      </c>
      <c r="R303" t="str">
        <f t="shared" si="56"/>
        <v/>
      </c>
      <c r="S303" s="525" t="str">
        <f t="shared" si="57"/>
        <v/>
      </c>
      <c r="T303" s="87" t="str">
        <f t="shared" si="58"/>
        <v/>
      </c>
      <c r="U303" s="87" t="str">
        <f t="shared" si="59"/>
        <v/>
      </c>
    </row>
    <row r="304" spans="5:21" x14ac:dyDescent="0.25">
      <c r="E304" s="244" t="str">
        <f t="shared" si="48"/>
        <v>-</v>
      </c>
      <c r="F304" t="str">
        <f t="shared" si="49"/>
        <v/>
      </c>
      <c r="G304" s="300" t="str">
        <f t="shared" si="50"/>
        <v/>
      </c>
      <c r="H304" t="str">
        <f t="shared" si="51"/>
        <v/>
      </c>
      <c r="I304" s="88" t="str">
        <f t="shared" si="52"/>
        <v/>
      </c>
      <c r="N304" t="str">
        <f t="shared" si="54"/>
        <v>-</v>
      </c>
      <c r="O304" t="str">
        <f t="shared" si="53"/>
        <v/>
      </c>
      <c r="Q304" s="70" t="str">
        <f t="shared" si="55"/>
        <v/>
      </c>
      <c r="R304" t="str">
        <f t="shared" si="56"/>
        <v/>
      </c>
      <c r="S304" s="525" t="str">
        <f t="shared" si="57"/>
        <v/>
      </c>
      <c r="T304" s="87" t="str">
        <f t="shared" si="58"/>
        <v/>
      </c>
      <c r="U304" s="87" t="str">
        <f t="shared" si="59"/>
        <v/>
      </c>
    </row>
    <row r="305" spans="5:21" x14ac:dyDescent="0.25">
      <c r="E305" s="244" t="str">
        <f t="shared" si="48"/>
        <v>-</v>
      </c>
      <c r="F305" t="str">
        <f t="shared" si="49"/>
        <v/>
      </c>
      <c r="G305" s="300" t="str">
        <f t="shared" si="50"/>
        <v/>
      </c>
      <c r="H305" t="str">
        <f t="shared" si="51"/>
        <v/>
      </c>
      <c r="I305" s="88" t="str">
        <f t="shared" si="52"/>
        <v/>
      </c>
      <c r="N305" t="str">
        <f t="shared" si="54"/>
        <v>-</v>
      </c>
      <c r="O305" t="str">
        <f t="shared" si="53"/>
        <v/>
      </c>
      <c r="Q305" s="70" t="str">
        <f t="shared" si="55"/>
        <v/>
      </c>
      <c r="R305" t="str">
        <f t="shared" si="56"/>
        <v/>
      </c>
      <c r="S305" s="525" t="str">
        <f t="shared" si="57"/>
        <v/>
      </c>
      <c r="T305" s="87" t="str">
        <f t="shared" si="58"/>
        <v/>
      </c>
      <c r="U305" s="87" t="str">
        <f t="shared" si="59"/>
        <v/>
      </c>
    </row>
    <row r="306" spans="5:21" x14ac:dyDescent="0.25">
      <c r="E306" s="244" t="str">
        <f t="shared" si="48"/>
        <v>-</v>
      </c>
      <c r="F306" t="str">
        <f t="shared" si="49"/>
        <v/>
      </c>
      <c r="G306" s="300" t="str">
        <f t="shared" si="50"/>
        <v/>
      </c>
      <c r="H306" t="str">
        <f t="shared" si="51"/>
        <v/>
      </c>
      <c r="I306" s="88" t="str">
        <f t="shared" si="52"/>
        <v/>
      </c>
      <c r="N306" t="str">
        <f t="shared" si="54"/>
        <v>-</v>
      </c>
      <c r="O306" t="str">
        <f t="shared" si="53"/>
        <v/>
      </c>
      <c r="Q306" s="70" t="str">
        <f t="shared" si="55"/>
        <v/>
      </c>
      <c r="R306" t="str">
        <f t="shared" si="56"/>
        <v/>
      </c>
      <c r="S306" s="525" t="str">
        <f t="shared" si="57"/>
        <v/>
      </c>
      <c r="T306" s="87" t="str">
        <f t="shared" si="58"/>
        <v/>
      </c>
      <c r="U306" s="87" t="str">
        <f t="shared" si="59"/>
        <v/>
      </c>
    </row>
    <row r="307" spans="5:21" x14ac:dyDescent="0.25">
      <c r="E307" s="244" t="str">
        <f t="shared" si="48"/>
        <v>-</v>
      </c>
      <c r="F307" t="str">
        <f t="shared" si="49"/>
        <v/>
      </c>
      <c r="G307" s="300" t="str">
        <f t="shared" si="50"/>
        <v/>
      </c>
      <c r="H307" t="str">
        <f t="shared" si="51"/>
        <v/>
      </c>
      <c r="I307" s="88" t="str">
        <f t="shared" si="52"/>
        <v/>
      </c>
      <c r="N307" t="str">
        <f t="shared" si="54"/>
        <v>-</v>
      </c>
      <c r="O307" t="str">
        <f t="shared" si="53"/>
        <v/>
      </c>
      <c r="Q307" s="70" t="str">
        <f t="shared" si="55"/>
        <v/>
      </c>
      <c r="R307" t="str">
        <f t="shared" si="56"/>
        <v/>
      </c>
      <c r="S307" s="525" t="str">
        <f t="shared" si="57"/>
        <v/>
      </c>
      <c r="T307" s="87" t="str">
        <f t="shared" si="58"/>
        <v/>
      </c>
      <c r="U307" s="87" t="str">
        <f t="shared" si="59"/>
        <v/>
      </c>
    </row>
    <row r="308" spans="5:21" x14ac:dyDescent="0.25">
      <c r="E308" s="244" t="str">
        <f t="shared" si="48"/>
        <v>-</v>
      </c>
      <c r="F308" t="str">
        <f t="shared" si="49"/>
        <v/>
      </c>
      <c r="G308" s="300" t="str">
        <f t="shared" si="50"/>
        <v/>
      </c>
      <c r="H308" t="str">
        <f t="shared" si="51"/>
        <v/>
      </c>
      <c r="I308" s="88" t="str">
        <f t="shared" si="52"/>
        <v/>
      </c>
      <c r="N308" t="str">
        <f t="shared" si="54"/>
        <v>-</v>
      </c>
      <c r="O308" t="str">
        <f t="shared" si="53"/>
        <v/>
      </c>
      <c r="Q308" s="70" t="str">
        <f t="shared" si="55"/>
        <v/>
      </c>
      <c r="R308" t="str">
        <f t="shared" si="56"/>
        <v/>
      </c>
      <c r="S308" s="525" t="str">
        <f t="shared" si="57"/>
        <v/>
      </c>
      <c r="T308" s="87" t="str">
        <f t="shared" si="58"/>
        <v/>
      </c>
      <c r="U308" s="87" t="str">
        <f t="shared" si="59"/>
        <v/>
      </c>
    </row>
    <row r="309" spans="5:21" x14ac:dyDescent="0.25">
      <c r="E309" s="244" t="str">
        <f t="shared" si="48"/>
        <v>-</v>
      </c>
      <c r="F309" t="str">
        <f t="shared" si="49"/>
        <v/>
      </c>
      <c r="G309" s="300" t="str">
        <f t="shared" si="50"/>
        <v/>
      </c>
      <c r="H309" t="str">
        <f t="shared" si="51"/>
        <v/>
      </c>
      <c r="I309" s="88" t="str">
        <f t="shared" si="52"/>
        <v/>
      </c>
      <c r="N309" t="str">
        <f t="shared" si="54"/>
        <v>-</v>
      </c>
      <c r="O309" t="str">
        <f t="shared" si="53"/>
        <v/>
      </c>
      <c r="Q309" s="70" t="str">
        <f t="shared" si="55"/>
        <v/>
      </c>
      <c r="R309" t="str">
        <f t="shared" si="56"/>
        <v/>
      </c>
      <c r="S309" s="525" t="str">
        <f t="shared" si="57"/>
        <v/>
      </c>
      <c r="T309" s="87" t="str">
        <f t="shared" si="58"/>
        <v/>
      </c>
      <c r="U309" s="87" t="str">
        <f t="shared" si="59"/>
        <v/>
      </c>
    </row>
    <row r="310" spans="5:21" x14ac:dyDescent="0.25">
      <c r="E310" s="244" t="str">
        <f t="shared" si="48"/>
        <v>-</v>
      </c>
      <c r="F310" t="str">
        <f t="shared" si="49"/>
        <v/>
      </c>
      <c r="G310" s="300" t="str">
        <f t="shared" si="50"/>
        <v/>
      </c>
      <c r="H310" t="str">
        <f t="shared" si="51"/>
        <v/>
      </c>
      <c r="I310" s="88" t="str">
        <f t="shared" si="52"/>
        <v/>
      </c>
      <c r="N310" t="str">
        <f t="shared" si="54"/>
        <v>-</v>
      </c>
      <c r="O310" t="str">
        <f t="shared" si="53"/>
        <v/>
      </c>
      <c r="Q310" s="70" t="str">
        <f t="shared" si="55"/>
        <v/>
      </c>
      <c r="R310" t="str">
        <f t="shared" si="56"/>
        <v/>
      </c>
      <c r="S310" s="525" t="str">
        <f t="shared" si="57"/>
        <v/>
      </c>
      <c r="T310" s="87" t="str">
        <f t="shared" si="58"/>
        <v/>
      </c>
      <c r="U310" s="87" t="str">
        <f t="shared" si="59"/>
        <v/>
      </c>
    </row>
    <row r="311" spans="5:21" x14ac:dyDescent="0.25">
      <c r="E311" s="244" t="str">
        <f t="shared" si="48"/>
        <v>-</v>
      </c>
      <c r="F311" t="str">
        <f t="shared" si="49"/>
        <v/>
      </c>
      <c r="G311" s="300" t="str">
        <f t="shared" si="50"/>
        <v/>
      </c>
      <c r="H311" t="str">
        <f t="shared" si="51"/>
        <v/>
      </c>
      <c r="I311" s="88" t="str">
        <f t="shared" si="52"/>
        <v/>
      </c>
      <c r="N311" t="str">
        <f t="shared" si="54"/>
        <v>-</v>
      </c>
      <c r="O311" t="str">
        <f t="shared" si="53"/>
        <v/>
      </c>
      <c r="Q311" s="70" t="str">
        <f t="shared" si="55"/>
        <v/>
      </c>
      <c r="R311" t="str">
        <f t="shared" si="56"/>
        <v/>
      </c>
      <c r="S311" s="525" t="str">
        <f t="shared" si="57"/>
        <v/>
      </c>
      <c r="T311" s="87" t="str">
        <f t="shared" si="58"/>
        <v/>
      </c>
      <c r="U311" s="87" t="str">
        <f t="shared" si="59"/>
        <v/>
      </c>
    </row>
    <row r="312" spans="5:21" x14ac:dyDescent="0.25">
      <c r="E312" s="244" t="str">
        <f t="shared" si="48"/>
        <v>-</v>
      </c>
      <c r="F312" t="str">
        <f t="shared" si="49"/>
        <v/>
      </c>
      <c r="G312" s="300" t="str">
        <f t="shared" si="50"/>
        <v/>
      </c>
      <c r="H312" t="str">
        <f t="shared" si="51"/>
        <v/>
      </c>
      <c r="I312" s="88" t="str">
        <f t="shared" si="52"/>
        <v/>
      </c>
      <c r="N312" t="str">
        <f t="shared" si="54"/>
        <v>-</v>
      </c>
      <c r="O312" t="str">
        <f t="shared" si="53"/>
        <v/>
      </c>
      <c r="Q312" s="70" t="str">
        <f t="shared" si="55"/>
        <v/>
      </c>
      <c r="R312" t="str">
        <f t="shared" si="56"/>
        <v/>
      </c>
      <c r="S312" s="525" t="str">
        <f t="shared" si="57"/>
        <v/>
      </c>
      <c r="T312" s="87" t="str">
        <f t="shared" si="58"/>
        <v/>
      </c>
      <c r="U312" s="87" t="str">
        <f t="shared" si="59"/>
        <v/>
      </c>
    </row>
    <row r="313" spans="5:21" x14ac:dyDescent="0.25">
      <c r="E313" s="244" t="str">
        <f t="shared" si="48"/>
        <v>-</v>
      </c>
      <c r="F313" t="str">
        <f t="shared" si="49"/>
        <v/>
      </c>
      <c r="G313" s="300" t="str">
        <f t="shared" si="50"/>
        <v/>
      </c>
      <c r="H313" t="str">
        <f t="shared" si="51"/>
        <v/>
      </c>
      <c r="I313" s="88" t="str">
        <f t="shared" si="52"/>
        <v/>
      </c>
      <c r="N313" t="str">
        <f t="shared" si="54"/>
        <v>-</v>
      </c>
      <c r="O313" t="str">
        <f t="shared" si="53"/>
        <v/>
      </c>
      <c r="Q313" s="70" t="str">
        <f t="shared" si="55"/>
        <v/>
      </c>
      <c r="R313" t="str">
        <f t="shared" si="56"/>
        <v/>
      </c>
      <c r="S313" s="525" t="str">
        <f t="shared" si="57"/>
        <v/>
      </c>
      <c r="T313" s="87" t="str">
        <f t="shared" si="58"/>
        <v/>
      </c>
      <c r="U313" s="87" t="str">
        <f t="shared" si="59"/>
        <v/>
      </c>
    </row>
    <row r="314" spans="5:21" x14ac:dyDescent="0.25">
      <c r="E314" s="244" t="str">
        <f t="shared" si="48"/>
        <v>-</v>
      </c>
      <c r="F314" t="str">
        <f t="shared" si="49"/>
        <v/>
      </c>
      <c r="G314" s="300" t="str">
        <f t="shared" si="50"/>
        <v/>
      </c>
      <c r="H314" t="str">
        <f t="shared" si="51"/>
        <v/>
      </c>
      <c r="I314" s="88" t="str">
        <f t="shared" si="52"/>
        <v/>
      </c>
      <c r="N314" t="str">
        <f t="shared" si="54"/>
        <v>-</v>
      </c>
      <c r="O314" t="str">
        <f t="shared" si="53"/>
        <v/>
      </c>
      <c r="Q314" s="70" t="str">
        <f t="shared" si="55"/>
        <v/>
      </c>
      <c r="R314" t="str">
        <f t="shared" si="56"/>
        <v/>
      </c>
      <c r="S314" s="525" t="str">
        <f t="shared" si="57"/>
        <v/>
      </c>
      <c r="T314" s="87" t="str">
        <f t="shared" si="58"/>
        <v/>
      </c>
      <c r="U314" s="87" t="str">
        <f t="shared" si="59"/>
        <v/>
      </c>
    </row>
    <row r="315" spans="5:21" x14ac:dyDescent="0.25">
      <c r="E315" s="244" t="str">
        <f t="shared" si="48"/>
        <v>-</v>
      </c>
      <c r="F315" t="str">
        <f t="shared" si="49"/>
        <v/>
      </c>
      <c r="G315" s="300" t="str">
        <f t="shared" si="50"/>
        <v/>
      </c>
      <c r="H315" t="str">
        <f t="shared" si="51"/>
        <v/>
      </c>
      <c r="I315" s="88" t="str">
        <f t="shared" si="52"/>
        <v/>
      </c>
      <c r="N315" t="str">
        <f t="shared" si="54"/>
        <v>-</v>
      </c>
      <c r="O315" t="str">
        <f t="shared" si="53"/>
        <v/>
      </c>
      <c r="Q315" s="70" t="str">
        <f t="shared" si="55"/>
        <v/>
      </c>
      <c r="R315" t="str">
        <f t="shared" si="56"/>
        <v/>
      </c>
      <c r="S315" s="525" t="str">
        <f t="shared" si="57"/>
        <v/>
      </c>
      <c r="T315" s="87" t="str">
        <f t="shared" si="58"/>
        <v/>
      </c>
      <c r="U315" s="87" t="str">
        <f t="shared" si="59"/>
        <v/>
      </c>
    </row>
    <row r="316" spans="5:21" x14ac:dyDescent="0.25">
      <c r="E316" s="244" t="str">
        <f t="shared" si="48"/>
        <v>-</v>
      </c>
      <c r="F316" t="str">
        <f t="shared" si="49"/>
        <v/>
      </c>
      <c r="G316" s="300" t="str">
        <f t="shared" si="50"/>
        <v/>
      </c>
      <c r="H316" t="str">
        <f t="shared" si="51"/>
        <v/>
      </c>
      <c r="I316" s="88" t="str">
        <f t="shared" si="52"/>
        <v/>
      </c>
      <c r="N316" t="str">
        <f t="shared" si="54"/>
        <v>-</v>
      </c>
      <c r="O316" t="str">
        <f t="shared" si="53"/>
        <v/>
      </c>
      <c r="Q316" s="70" t="str">
        <f t="shared" si="55"/>
        <v/>
      </c>
      <c r="R316" t="str">
        <f t="shared" si="56"/>
        <v/>
      </c>
      <c r="S316" s="525" t="str">
        <f t="shared" si="57"/>
        <v/>
      </c>
      <c r="T316" s="87" t="str">
        <f t="shared" si="58"/>
        <v/>
      </c>
      <c r="U316" s="87" t="str">
        <f t="shared" si="59"/>
        <v/>
      </c>
    </row>
    <row r="317" spans="5:21" x14ac:dyDescent="0.25">
      <c r="E317" s="244" t="str">
        <f t="shared" si="48"/>
        <v>-</v>
      </c>
      <c r="F317" t="str">
        <f t="shared" si="49"/>
        <v/>
      </c>
      <c r="G317" s="300" t="str">
        <f t="shared" si="50"/>
        <v/>
      </c>
      <c r="H317" t="str">
        <f t="shared" si="51"/>
        <v/>
      </c>
      <c r="I317" s="88" t="str">
        <f t="shared" si="52"/>
        <v/>
      </c>
      <c r="N317" t="str">
        <f t="shared" si="54"/>
        <v>-</v>
      </c>
      <c r="O317" t="str">
        <f t="shared" si="53"/>
        <v/>
      </c>
      <c r="Q317" s="70" t="str">
        <f t="shared" si="55"/>
        <v/>
      </c>
      <c r="R317" t="str">
        <f t="shared" si="56"/>
        <v/>
      </c>
      <c r="S317" s="525" t="str">
        <f t="shared" si="57"/>
        <v/>
      </c>
      <c r="T317" s="87" t="str">
        <f t="shared" si="58"/>
        <v/>
      </c>
      <c r="U317" s="87" t="str">
        <f t="shared" si="59"/>
        <v/>
      </c>
    </row>
    <row r="318" spans="5:21" x14ac:dyDescent="0.25">
      <c r="E318" s="244" t="str">
        <f t="shared" si="48"/>
        <v>-</v>
      </c>
      <c r="F318" t="str">
        <f t="shared" si="49"/>
        <v/>
      </c>
      <c r="G318" s="300" t="str">
        <f t="shared" si="50"/>
        <v/>
      </c>
      <c r="H318" t="str">
        <f t="shared" si="51"/>
        <v/>
      </c>
      <c r="I318" s="88" t="str">
        <f t="shared" si="52"/>
        <v/>
      </c>
      <c r="N318" t="str">
        <f t="shared" si="54"/>
        <v>-</v>
      </c>
      <c r="O318" t="str">
        <f t="shared" si="53"/>
        <v/>
      </c>
      <c r="Q318" s="70" t="str">
        <f t="shared" si="55"/>
        <v/>
      </c>
      <c r="R318" t="str">
        <f t="shared" si="56"/>
        <v/>
      </c>
      <c r="S318" s="525" t="str">
        <f t="shared" si="57"/>
        <v/>
      </c>
      <c r="T318" s="87" t="str">
        <f t="shared" si="58"/>
        <v/>
      </c>
      <c r="U318" s="87" t="str">
        <f t="shared" si="59"/>
        <v/>
      </c>
    </row>
    <row r="319" spans="5:21" x14ac:dyDescent="0.25">
      <c r="E319" s="244" t="str">
        <f t="shared" si="48"/>
        <v>-</v>
      </c>
      <c r="F319" t="str">
        <f t="shared" si="49"/>
        <v/>
      </c>
      <c r="G319" s="300" t="str">
        <f t="shared" si="50"/>
        <v/>
      </c>
      <c r="H319" t="str">
        <f t="shared" si="51"/>
        <v/>
      </c>
      <c r="I319" s="88" t="str">
        <f t="shared" si="52"/>
        <v/>
      </c>
      <c r="N319" t="str">
        <f t="shared" si="54"/>
        <v>-</v>
      </c>
      <c r="O319" t="str">
        <f t="shared" si="53"/>
        <v/>
      </c>
      <c r="Q319" s="70" t="str">
        <f t="shared" si="55"/>
        <v/>
      </c>
      <c r="R319" t="str">
        <f t="shared" si="56"/>
        <v/>
      </c>
      <c r="S319" s="525" t="str">
        <f t="shared" si="57"/>
        <v/>
      </c>
      <c r="T319" s="87" t="str">
        <f t="shared" si="58"/>
        <v/>
      </c>
      <c r="U319" s="87" t="str">
        <f t="shared" si="59"/>
        <v/>
      </c>
    </row>
    <row r="320" spans="5:21" x14ac:dyDescent="0.25">
      <c r="E320" s="244" t="str">
        <f t="shared" si="48"/>
        <v>-</v>
      </c>
      <c r="F320" t="str">
        <f t="shared" si="49"/>
        <v/>
      </c>
      <c r="G320" s="300" t="str">
        <f t="shared" si="50"/>
        <v/>
      </c>
      <c r="H320" t="str">
        <f t="shared" si="51"/>
        <v/>
      </c>
      <c r="I320" s="88" t="str">
        <f t="shared" si="52"/>
        <v/>
      </c>
      <c r="N320" t="str">
        <f t="shared" si="54"/>
        <v>-</v>
      </c>
      <c r="O320" t="str">
        <f t="shared" si="53"/>
        <v/>
      </c>
      <c r="Q320" s="70" t="str">
        <f t="shared" si="55"/>
        <v/>
      </c>
      <c r="R320" t="str">
        <f t="shared" si="56"/>
        <v/>
      </c>
      <c r="S320" s="525" t="str">
        <f t="shared" si="57"/>
        <v/>
      </c>
      <c r="T320" s="87" t="str">
        <f t="shared" si="58"/>
        <v/>
      </c>
      <c r="U320" s="87" t="str">
        <f t="shared" si="59"/>
        <v/>
      </c>
    </row>
    <row r="321" spans="5:21" x14ac:dyDescent="0.25">
      <c r="E321" s="244" t="str">
        <f t="shared" si="48"/>
        <v>-</v>
      </c>
      <c r="F321" t="str">
        <f t="shared" si="49"/>
        <v/>
      </c>
      <c r="G321" s="300" t="str">
        <f t="shared" si="50"/>
        <v/>
      </c>
      <c r="H321" t="str">
        <f t="shared" si="51"/>
        <v/>
      </c>
      <c r="I321" s="88" t="str">
        <f t="shared" si="52"/>
        <v/>
      </c>
      <c r="N321" t="str">
        <f t="shared" si="54"/>
        <v>-</v>
      </c>
      <c r="O321" t="str">
        <f t="shared" si="53"/>
        <v/>
      </c>
      <c r="Q321" s="70" t="str">
        <f t="shared" si="55"/>
        <v/>
      </c>
      <c r="R321" t="str">
        <f t="shared" si="56"/>
        <v/>
      </c>
      <c r="S321" s="525" t="str">
        <f t="shared" si="57"/>
        <v/>
      </c>
      <c r="T321" s="87" t="str">
        <f t="shared" si="58"/>
        <v/>
      </c>
      <c r="U321" s="87" t="str">
        <f t="shared" si="59"/>
        <v/>
      </c>
    </row>
    <row r="322" spans="5:21" x14ac:dyDescent="0.25">
      <c r="E322" s="244" t="str">
        <f t="shared" si="48"/>
        <v>-</v>
      </c>
      <c r="F322" t="str">
        <f t="shared" si="49"/>
        <v/>
      </c>
      <c r="G322" s="300" t="str">
        <f t="shared" si="50"/>
        <v/>
      </c>
      <c r="H322" t="str">
        <f t="shared" si="51"/>
        <v/>
      </c>
      <c r="I322" s="88" t="str">
        <f t="shared" si="52"/>
        <v/>
      </c>
      <c r="N322" t="str">
        <f t="shared" si="54"/>
        <v>-</v>
      </c>
      <c r="O322" t="str">
        <f t="shared" si="53"/>
        <v/>
      </c>
      <c r="Q322" s="70" t="str">
        <f t="shared" si="55"/>
        <v/>
      </c>
      <c r="R322" t="str">
        <f t="shared" si="56"/>
        <v/>
      </c>
      <c r="S322" s="525" t="str">
        <f t="shared" si="57"/>
        <v/>
      </c>
      <c r="T322" s="87" t="str">
        <f t="shared" si="58"/>
        <v/>
      </c>
      <c r="U322" s="87" t="str">
        <f t="shared" si="59"/>
        <v/>
      </c>
    </row>
    <row r="323" spans="5:21" x14ac:dyDescent="0.25">
      <c r="E323" s="244" t="str">
        <f t="shared" si="48"/>
        <v>-</v>
      </c>
      <c r="F323" t="str">
        <f t="shared" si="49"/>
        <v/>
      </c>
      <c r="G323" s="300" t="str">
        <f t="shared" si="50"/>
        <v/>
      </c>
      <c r="H323" t="str">
        <f t="shared" si="51"/>
        <v/>
      </c>
      <c r="I323" s="88" t="str">
        <f t="shared" si="52"/>
        <v/>
      </c>
      <c r="N323" t="str">
        <f t="shared" si="54"/>
        <v>-</v>
      </c>
      <c r="O323" t="str">
        <f t="shared" si="53"/>
        <v/>
      </c>
      <c r="Q323" s="70" t="str">
        <f t="shared" si="55"/>
        <v/>
      </c>
      <c r="R323" t="str">
        <f t="shared" si="56"/>
        <v/>
      </c>
      <c r="S323" s="525" t="str">
        <f t="shared" si="57"/>
        <v/>
      </c>
      <c r="T323" s="87" t="str">
        <f t="shared" si="58"/>
        <v/>
      </c>
      <c r="U323" s="87" t="str">
        <f t="shared" si="59"/>
        <v/>
      </c>
    </row>
    <row r="324" spans="5:21" x14ac:dyDescent="0.25">
      <c r="E324" s="244" t="str">
        <f t="shared" ref="E324:E387" si="60">G324&amp;"-"&amp;H324</f>
        <v>-</v>
      </c>
      <c r="F324" t="str">
        <f t="shared" si="49"/>
        <v/>
      </c>
      <c r="G324" s="300" t="str">
        <f t="shared" si="50"/>
        <v/>
      </c>
      <c r="H324" t="str">
        <f t="shared" si="51"/>
        <v/>
      </c>
      <c r="I324" s="88" t="str">
        <f t="shared" si="52"/>
        <v/>
      </c>
      <c r="N324" t="str">
        <f t="shared" si="54"/>
        <v>-</v>
      </c>
      <c r="O324" t="str">
        <f t="shared" si="53"/>
        <v/>
      </c>
      <c r="Q324" s="70" t="str">
        <f t="shared" si="55"/>
        <v/>
      </c>
      <c r="R324" t="str">
        <f t="shared" si="56"/>
        <v/>
      </c>
      <c r="S324" s="525" t="str">
        <f t="shared" si="57"/>
        <v/>
      </c>
      <c r="T324" s="87" t="str">
        <f t="shared" si="58"/>
        <v/>
      </c>
      <c r="U324" s="87" t="str">
        <f t="shared" si="59"/>
        <v/>
      </c>
    </row>
    <row r="325" spans="5:21" x14ac:dyDescent="0.25">
      <c r="E325" s="244" t="str">
        <f t="shared" si="60"/>
        <v>-</v>
      </c>
      <c r="F325" t="str">
        <f t="shared" ref="F325:F388" si="61">IF(A323="Grand Total","",IF(LEN(A323)=4,A323,IF(F324="","",F324)))</f>
        <v/>
      </c>
      <c r="G325" s="300" t="str">
        <f t="shared" ref="G325:G388" si="62">IF(F325=A325,"",F325)</f>
        <v/>
      </c>
      <c r="H325" t="str">
        <f t="shared" si="51"/>
        <v/>
      </c>
      <c r="I325" s="88" t="str">
        <f t="shared" si="52"/>
        <v/>
      </c>
      <c r="N325" t="str">
        <f t="shared" si="54"/>
        <v>-</v>
      </c>
      <c r="O325" t="str">
        <f t="shared" si="53"/>
        <v/>
      </c>
      <c r="Q325" s="70" t="str">
        <f t="shared" si="55"/>
        <v/>
      </c>
      <c r="R325" t="str">
        <f t="shared" si="56"/>
        <v/>
      </c>
      <c r="S325" s="525" t="str">
        <f t="shared" si="57"/>
        <v/>
      </c>
      <c r="T325" s="87" t="str">
        <f t="shared" si="58"/>
        <v/>
      </c>
      <c r="U325" s="87" t="str">
        <f t="shared" si="59"/>
        <v/>
      </c>
    </row>
    <row r="326" spans="5:21" x14ac:dyDescent="0.25">
      <c r="E326" s="244" t="str">
        <f t="shared" si="60"/>
        <v>-</v>
      </c>
      <c r="F326" t="str">
        <f t="shared" si="61"/>
        <v/>
      </c>
      <c r="G326" s="300" t="str">
        <f t="shared" si="62"/>
        <v/>
      </c>
      <c r="H326" t="str">
        <f t="shared" si="51"/>
        <v/>
      </c>
      <c r="I326" s="88" t="str">
        <f t="shared" si="52"/>
        <v/>
      </c>
      <c r="N326" t="str">
        <f t="shared" si="54"/>
        <v>-</v>
      </c>
      <c r="O326" t="str">
        <f t="shared" si="53"/>
        <v/>
      </c>
      <c r="Q326" s="70" t="str">
        <f t="shared" si="55"/>
        <v/>
      </c>
      <c r="R326" t="str">
        <f t="shared" si="56"/>
        <v/>
      </c>
      <c r="S326" s="525" t="str">
        <f t="shared" si="57"/>
        <v/>
      </c>
      <c r="T326" s="87" t="str">
        <f t="shared" si="58"/>
        <v/>
      </c>
      <c r="U326" s="87" t="str">
        <f t="shared" si="59"/>
        <v/>
      </c>
    </row>
    <row r="327" spans="5:21" x14ac:dyDescent="0.25">
      <c r="E327" s="244" t="str">
        <f t="shared" si="60"/>
        <v>-</v>
      </c>
      <c r="F327" t="str">
        <f t="shared" si="61"/>
        <v/>
      </c>
      <c r="G327" s="300" t="str">
        <f t="shared" si="62"/>
        <v/>
      </c>
      <c r="H327" t="str">
        <f t="shared" si="51"/>
        <v/>
      </c>
      <c r="I327" s="88" t="str">
        <f t="shared" si="52"/>
        <v/>
      </c>
      <c r="N327" t="str">
        <f t="shared" si="54"/>
        <v>-</v>
      </c>
      <c r="O327" t="str">
        <f t="shared" si="53"/>
        <v/>
      </c>
      <c r="Q327" s="70" t="str">
        <f t="shared" si="55"/>
        <v/>
      </c>
      <c r="R327" t="str">
        <f t="shared" si="56"/>
        <v/>
      </c>
      <c r="S327" s="525" t="str">
        <f t="shared" si="57"/>
        <v/>
      </c>
      <c r="T327" s="87" t="str">
        <f t="shared" si="58"/>
        <v/>
      </c>
      <c r="U327" s="87" t="str">
        <f t="shared" si="59"/>
        <v/>
      </c>
    </row>
    <row r="328" spans="5:21" x14ac:dyDescent="0.25">
      <c r="E328" s="244" t="str">
        <f t="shared" si="60"/>
        <v>-</v>
      </c>
      <c r="F328" t="str">
        <f t="shared" si="61"/>
        <v/>
      </c>
      <c r="G328" s="300" t="str">
        <f t="shared" si="62"/>
        <v/>
      </c>
      <c r="H328" t="str">
        <f t="shared" ref="H328:H391" si="63">IF(F328="","",IF(F328=G328,A328,""))</f>
        <v/>
      </c>
      <c r="I328" s="88" t="str">
        <f t="shared" ref="I328:I391" si="64">IF(H328="","",B328)</f>
        <v/>
      </c>
      <c r="N328" t="str">
        <f t="shared" si="54"/>
        <v>-</v>
      </c>
      <c r="O328" t="str">
        <f t="shared" si="53"/>
        <v/>
      </c>
      <c r="Q328" s="70" t="str">
        <f t="shared" si="55"/>
        <v/>
      </c>
      <c r="R328" t="str">
        <f t="shared" si="56"/>
        <v/>
      </c>
      <c r="S328" s="525" t="str">
        <f t="shared" si="57"/>
        <v/>
      </c>
      <c r="T328" s="87" t="str">
        <f t="shared" si="58"/>
        <v/>
      </c>
      <c r="U328" s="87" t="str">
        <f t="shared" si="59"/>
        <v/>
      </c>
    </row>
    <row r="329" spans="5:21" x14ac:dyDescent="0.25">
      <c r="E329" s="244" t="str">
        <f t="shared" si="60"/>
        <v>-</v>
      </c>
      <c r="F329" t="str">
        <f t="shared" si="61"/>
        <v/>
      </c>
      <c r="G329" s="300" t="str">
        <f t="shared" si="62"/>
        <v/>
      </c>
      <c r="H329" t="str">
        <f t="shared" si="63"/>
        <v/>
      </c>
      <c r="I329" s="88" t="str">
        <f t="shared" si="64"/>
        <v/>
      </c>
      <c r="N329" t="str">
        <f t="shared" si="54"/>
        <v>-</v>
      </c>
      <c r="O329" t="str">
        <f t="shared" si="53"/>
        <v/>
      </c>
      <c r="Q329" s="70" t="str">
        <f t="shared" si="55"/>
        <v/>
      </c>
      <c r="R329" t="str">
        <f t="shared" si="56"/>
        <v/>
      </c>
      <c r="S329" s="525" t="str">
        <f t="shared" si="57"/>
        <v/>
      </c>
      <c r="T329" s="87" t="str">
        <f t="shared" si="58"/>
        <v/>
      </c>
      <c r="U329" s="87" t="str">
        <f t="shared" si="59"/>
        <v/>
      </c>
    </row>
    <row r="330" spans="5:21" x14ac:dyDescent="0.25">
      <c r="E330" s="244" t="str">
        <f t="shared" si="60"/>
        <v>-</v>
      </c>
      <c r="F330" t="str">
        <f t="shared" si="61"/>
        <v/>
      </c>
      <c r="G330" s="300" t="str">
        <f t="shared" si="62"/>
        <v/>
      </c>
      <c r="H330" t="str">
        <f t="shared" si="63"/>
        <v/>
      </c>
      <c r="I330" s="88" t="str">
        <f t="shared" si="64"/>
        <v/>
      </c>
      <c r="N330" t="str">
        <f t="shared" si="54"/>
        <v>-</v>
      </c>
      <c r="O330" t="str">
        <f t="shared" si="53"/>
        <v/>
      </c>
      <c r="Q330" s="70" t="str">
        <f t="shared" si="55"/>
        <v/>
      </c>
      <c r="R330" t="str">
        <f t="shared" si="56"/>
        <v/>
      </c>
      <c r="S330" s="525" t="str">
        <f t="shared" si="57"/>
        <v/>
      </c>
      <c r="T330" s="87" t="str">
        <f t="shared" si="58"/>
        <v/>
      </c>
      <c r="U330" s="87" t="str">
        <f t="shared" si="59"/>
        <v/>
      </c>
    </row>
    <row r="331" spans="5:21" x14ac:dyDescent="0.25">
      <c r="E331" s="244" t="str">
        <f t="shared" si="60"/>
        <v>-</v>
      </c>
      <c r="F331" t="str">
        <f t="shared" si="61"/>
        <v/>
      </c>
      <c r="G331" s="300" t="str">
        <f t="shared" si="62"/>
        <v/>
      </c>
      <c r="H331" t="str">
        <f t="shared" si="63"/>
        <v/>
      </c>
      <c r="I331" s="88" t="str">
        <f t="shared" si="64"/>
        <v/>
      </c>
      <c r="N331" t="str">
        <f t="shared" si="54"/>
        <v>-</v>
      </c>
      <c r="O331" t="str">
        <f t="shared" si="53"/>
        <v/>
      </c>
      <c r="Q331" s="70" t="str">
        <f t="shared" si="55"/>
        <v/>
      </c>
      <c r="R331" t="str">
        <f t="shared" si="56"/>
        <v/>
      </c>
      <c r="S331" s="525" t="str">
        <f t="shared" si="57"/>
        <v/>
      </c>
      <c r="T331" s="87" t="str">
        <f t="shared" si="58"/>
        <v/>
      </c>
      <c r="U331" s="87" t="str">
        <f t="shared" si="59"/>
        <v/>
      </c>
    </row>
    <row r="332" spans="5:21" x14ac:dyDescent="0.25">
      <c r="E332" s="244" t="str">
        <f t="shared" si="60"/>
        <v>-</v>
      </c>
      <c r="F332" t="str">
        <f t="shared" si="61"/>
        <v/>
      </c>
      <c r="G332" s="300" t="str">
        <f t="shared" si="62"/>
        <v/>
      </c>
      <c r="H332" t="str">
        <f t="shared" si="63"/>
        <v/>
      </c>
      <c r="I332" s="88" t="str">
        <f t="shared" si="64"/>
        <v/>
      </c>
      <c r="N332" t="str">
        <f t="shared" si="54"/>
        <v>-</v>
      </c>
      <c r="O332" t="str">
        <f t="shared" si="53"/>
        <v/>
      </c>
      <c r="Q332" s="70" t="str">
        <f t="shared" si="55"/>
        <v/>
      </c>
      <c r="R332" t="str">
        <f t="shared" si="56"/>
        <v/>
      </c>
      <c r="S332" s="525" t="str">
        <f t="shared" si="57"/>
        <v/>
      </c>
      <c r="T332" s="87" t="str">
        <f t="shared" si="58"/>
        <v/>
      </c>
      <c r="U332" s="87" t="str">
        <f t="shared" si="59"/>
        <v/>
      </c>
    </row>
    <row r="333" spans="5:21" x14ac:dyDescent="0.25">
      <c r="E333" s="244" t="str">
        <f t="shared" si="60"/>
        <v>-</v>
      </c>
      <c r="F333" t="str">
        <f t="shared" si="61"/>
        <v/>
      </c>
      <c r="G333" s="300" t="str">
        <f t="shared" si="62"/>
        <v/>
      </c>
      <c r="H333" t="str">
        <f t="shared" si="63"/>
        <v/>
      </c>
      <c r="I333" s="88" t="str">
        <f t="shared" si="64"/>
        <v/>
      </c>
      <c r="N333" t="str">
        <f t="shared" si="54"/>
        <v>-</v>
      </c>
      <c r="O333" t="str">
        <f t="shared" si="53"/>
        <v/>
      </c>
      <c r="Q333" s="70" t="str">
        <f t="shared" si="55"/>
        <v/>
      </c>
      <c r="R333" t="str">
        <f t="shared" si="56"/>
        <v/>
      </c>
      <c r="S333" s="525" t="str">
        <f t="shared" si="57"/>
        <v/>
      </c>
      <c r="T333" s="87" t="str">
        <f t="shared" si="58"/>
        <v/>
      </c>
      <c r="U333" s="87" t="str">
        <f t="shared" si="59"/>
        <v/>
      </c>
    </row>
    <row r="334" spans="5:21" x14ac:dyDescent="0.25">
      <c r="E334" s="244" t="str">
        <f t="shared" si="60"/>
        <v>-</v>
      </c>
      <c r="F334" t="str">
        <f t="shared" si="61"/>
        <v/>
      </c>
      <c r="G334" s="300" t="str">
        <f t="shared" si="62"/>
        <v/>
      </c>
      <c r="H334" t="str">
        <f t="shared" si="63"/>
        <v/>
      </c>
      <c r="I334" s="88" t="str">
        <f t="shared" si="64"/>
        <v/>
      </c>
      <c r="N334" t="str">
        <f t="shared" si="54"/>
        <v>-</v>
      </c>
      <c r="O334" t="str">
        <f t="shared" ref="O334:O397" si="65">IF(K334="Grand Total","",IF(LEN(K334)=4,K334,IF(O333="","",O333)))</f>
        <v/>
      </c>
      <c r="Q334" s="70" t="str">
        <f t="shared" si="55"/>
        <v/>
      </c>
      <c r="R334" t="str">
        <f t="shared" si="56"/>
        <v/>
      </c>
      <c r="S334" s="525" t="str">
        <f t="shared" si="57"/>
        <v/>
      </c>
      <c r="T334" s="87" t="str">
        <f t="shared" si="58"/>
        <v/>
      </c>
      <c r="U334" s="87" t="str">
        <f t="shared" si="59"/>
        <v/>
      </c>
    </row>
    <row r="335" spans="5:21" x14ac:dyDescent="0.25">
      <c r="E335" s="244" t="str">
        <f t="shared" si="60"/>
        <v>-</v>
      </c>
      <c r="F335" t="str">
        <f t="shared" si="61"/>
        <v/>
      </c>
      <c r="G335" s="300" t="str">
        <f t="shared" si="62"/>
        <v/>
      </c>
      <c r="H335" t="str">
        <f t="shared" si="63"/>
        <v/>
      </c>
      <c r="I335" s="88" t="str">
        <f t="shared" si="64"/>
        <v/>
      </c>
      <c r="N335" t="str">
        <f t="shared" ref="N335:N398" si="66">Q335&amp;"-"&amp;R335</f>
        <v>-</v>
      </c>
      <c r="O335" t="str">
        <f t="shared" si="65"/>
        <v/>
      </c>
      <c r="Q335" s="70" t="str">
        <f t="shared" ref="Q335:Q398" si="67">IF(O335=K335,"",O335)</f>
        <v/>
      </c>
      <c r="R335" t="str">
        <f t="shared" ref="R335:R398" si="68">IF(O335="","",IF(O335=Q335,K335,""))</f>
        <v/>
      </c>
      <c r="S335" s="525" t="str">
        <f t="shared" ref="S335:S398" si="69">IF(R335="","",L335)</f>
        <v/>
      </c>
      <c r="T335" s="87" t="str">
        <f t="shared" ref="T335:T398" si="70">VLOOKUP(N335,$E$4:$I$566,5,FALSE)</f>
        <v/>
      </c>
      <c r="U335" s="87" t="str">
        <f t="shared" ref="U335:U398" si="71">IFERROR(T335/S335,"")</f>
        <v/>
      </c>
    </row>
    <row r="336" spans="5:21" x14ac:dyDescent="0.25">
      <c r="E336" s="244" t="str">
        <f t="shared" si="60"/>
        <v>-</v>
      </c>
      <c r="F336" t="str">
        <f t="shared" si="61"/>
        <v/>
      </c>
      <c r="G336" s="300" t="str">
        <f t="shared" si="62"/>
        <v/>
      </c>
      <c r="H336" t="str">
        <f t="shared" si="63"/>
        <v/>
      </c>
      <c r="I336" s="88" t="str">
        <f t="shared" si="64"/>
        <v/>
      </c>
      <c r="N336" t="str">
        <f t="shared" si="66"/>
        <v>-</v>
      </c>
      <c r="O336" t="str">
        <f t="shared" si="65"/>
        <v/>
      </c>
      <c r="Q336" s="70" t="str">
        <f t="shared" si="67"/>
        <v/>
      </c>
      <c r="R336" t="str">
        <f t="shared" si="68"/>
        <v/>
      </c>
      <c r="S336" s="525" t="str">
        <f t="shared" si="69"/>
        <v/>
      </c>
      <c r="T336" s="87" t="str">
        <f t="shared" si="70"/>
        <v/>
      </c>
      <c r="U336" s="87" t="str">
        <f t="shared" si="71"/>
        <v/>
      </c>
    </row>
    <row r="337" spans="5:21" x14ac:dyDescent="0.25">
      <c r="E337" s="244" t="str">
        <f t="shared" si="60"/>
        <v>-</v>
      </c>
      <c r="F337" t="str">
        <f t="shared" si="61"/>
        <v/>
      </c>
      <c r="G337" s="300" t="str">
        <f t="shared" si="62"/>
        <v/>
      </c>
      <c r="H337" t="str">
        <f t="shared" si="63"/>
        <v/>
      </c>
      <c r="I337" s="88" t="str">
        <f t="shared" si="64"/>
        <v/>
      </c>
      <c r="N337" t="str">
        <f t="shared" si="66"/>
        <v>-</v>
      </c>
      <c r="O337" t="str">
        <f t="shared" si="65"/>
        <v/>
      </c>
      <c r="Q337" s="70" t="str">
        <f t="shared" si="67"/>
        <v/>
      </c>
      <c r="R337" t="str">
        <f t="shared" si="68"/>
        <v/>
      </c>
      <c r="S337" s="525" t="str">
        <f t="shared" si="69"/>
        <v/>
      </c>
      <c r="T337" s="87" t="str">
        <f t="shared" si="70"/>
        <v/>
      </c>
      <c r="U337" s="87" t="str">
        <f t="shared" si="71"/>
        <v/>
      </c>
    </row>
    <row r="338" spans="5:21" x14ac:dyDescent="0.25">
      <c r="E338" s="244" t="str">
        <f t="shared" si="60"/>
        <v>-</v>
      </c>
      <c r="F338" t="str">
        <f t="shared" si="61"/>
        <v/>
      </c>
      <c r="G338" s="300" t="str">
        <f t="shared" si="62"/>
        <v/>
      </c>
      <c r="H338" t="str">
        <f t="shared" si="63"/>
        <v/>
      </c>
      <c r="I338" s="88" t="str">
        <f t="shared" si="64"/>
        <v/>
      </c>
      <c r="N338" t="str">
        <f t="shared" si="66"/>
        <v>-</v>
      </c>
      <c r="O338" t="str">
        <f t="shared" si="65"/>
        <v/>
      </c>
      <c r="Q338" s="70" t="str">
        <f t="shared" si="67"/>
        <v/>
      </c>
      <c r="R338" t="str">
        <f t="shared" si="68"/>
        <v/>
      </c>
      <c r="S338" s="525" t="str">
        <f t="shared" si="69"/>
        <v/>
      </c>
      <c r="T338" s="87" t="str">
        <f t="shared" si="70"/>
        <v/>
      </c>
      <c r="U338" s="87" t="str">
        <f t="shared" si="71"/>
        <v/>
      </c>
    </row>
    <row r="339" spans="5:21" x14ac:dyDescent="0.25">
      <c r="E339" s="244" t="str">
        <f t="shared" si="60"/>
        <v>-</v>
      </c>
      <c r="F339" t="str">
        <f t="shared" si="61"/>
        <v/>
      </c>
      <c r="G339" s="300" t="str">
        <f t="shared" si="62"/>
        <v/>
      </c>
      <c r="H339" t="str">
        <f t="shared" si="63"/>
        <v/>
      </c>
      <c r="I339" s="88" t="str">
        <f t="shared" si="64"/>
        <v/>
      </c>
      <c r="N339" t="str">
        <f t="shared" si="66"/>
        <v>-</v>
      </c>
      <c r="O339" t="str">
        <f t="shared" si="65"/>
        <v/>
      </c>
      <c r="Q339" s="70" t="str">
        <f t="shared" si="67"/>
        <v/>
      </c>
      <c r="R339" t="str">
        <f t="shared" si="68"/>
        <v/>
      </c>
      <c r="S339" s="525" t="str">
        <f t="shared" si="69"/>
        <v/>
      </c>
      <c r="T339" s="87" t="str">
        <f t="shared" si="70"/>
        <v/>
      </c>
      <c r="U339" s="87" t="str">
        <f t="shared" si="71"/>
        <v/>
      </c>
    </row>
    <row r="340" spans="5:21" x14ac:dyDescent="0.25">
      <c r="E340" s="244" t="str">
        <f t="shared" si="60"/>
        <v>-</v>
      </c>
      <c r="F340" t="str">
        <f t="shared" si="61"/>
        <v/>
      </c>
      <c r="G340" s="300" t="str">
        <f t="shared" si="62"/>
        <v/>
      </c>
      <c r="H340" t="str">
        <f t="shared" si="63"/>
        <v/>
      </c>
      <c r="I340" s="88" t="str">
        <f t="shared" si="64"/>
        <v/>
      </c>
      <c r="N340" t="str">
        <f t="shared" si="66"/>
        <v>-</v>
      </c>
      <c r="O340" t="str">
        <f t="shared" si="65"/>
        <v/>
      </c>
      <c r="Q340" s="70" t="str">
        <f t="shared" si="67"/>
        <v/>
      </c>
      <c r="R340" t="str">
        <f t="shared" si="68"/>
        <v/>
      </c>
      <c r="S340" s="525" t="str">
        <f t="shared" si="69"/>
        <v/>
      </c>
      <c r="T340" s="87" t="str">
        <f t="shared" si="70"/>
        <v/>
      </c>
      <c r="U340" s="87" t="str">
        <f t="shared" si="71"/>
        <v/>
      </c>
    </row>
    <row r="341" spans="5:21" x14ac:dyDescent="0.25">
      <c r="E341" s="244" t="str">
        <f t="shared" si="60"/>
        <v>-</v>
      </c>
      <c r="F341" t="str">
        <f t="shared" si="61"/>
        <v/>
      </c>
      <c r="G341" s="300" t="str">
        <f t="shared" si="62"/>
        <v/>
      </c>
      <c r="H341" t="str">
        <f t="shared" si="63"/>
        <v/>
      </c>
      <c r="I341" s="88" t="str">
        <f t="shared" si="64"/>
        <v/>
      </c>
      <c r="N341" t="str">
        <f t="shared" si="66"/>
        <v>-</v>
      </c>
      <c r="O341" t="str">
        <f t="shared" si="65"/>
        <v/>
      </c>
      <c r="Q341" s="70" t="str">
        <f t="shared" si="67"/>
        <v/>
      </c>
      <c r="R341" t="str">
        <f t="shared" si="68"/>
        <v/>
      </c>
      <c r="S341" s="525" t="str">
        <f t="shared" si="69"/>
        <v/>
      </c>
      <c r="T341" s="87" t="str">
        <f t="shared" si="70"/>
        <v/>
      </c>
      <c r="U341" s="87" t="str">
        <f t="shared" si="71"/>
        <v/>
      </c>
    </row>
    <row r="342" spans="5:21" x14ac:dyDescent="0.25">
      <c r="E342" s="244" t="str">
        <f t="shared" si="60"/>
        <v>-</v>
      </c>
      <c r="F342" t="str">
        <f t="shared" si="61"/>
        <v/>
      </c>
      <c r="G342" s="300" t="str">
        <f t="shared" si="62"/>
        <v/>
      </c>
      <c r="H342" t="str">
        <f t="shared" si="63"/>
        <v/>
      </c>
      <c r="I342" s="88" t="str">
        <f t="shared" si="64"/>
        <v/>
      </c>
      <c r="N342" t="str">
        <f t="shared" si="66"/>
        <v>-</v>
      </c>
      <c r="O342" t="str">
        <f t="shared" si="65"/>
        <v/>
      </c>
      <c r="Q342" s="70" t="str">
        <f t="shared" si="67"/>
        <v/>
      </c>
      <c r="R342" t="str">
        <f t="shared" si="68"/>
        <v/>
      </c>
      <c r="S342" s="525" t="str">
        <f t="shared" si="69"/>
        <v/>
      </c>
      <c r="T342" s="87" t="str">
        <f t="shared" si="70"/>
        <v/>
      </c>
      <c r="U342" s="87" t="str">
        <f t="shared" si="71"/>
        <v/>
      </c>
    </row>
    <row r="343" spans="5:21" x14ac:dyDescent="0.25">
      <c r="E343" s="244" t="str">
        <f t="shared" si="60"/>
        <v>-</v>
      </c>
      <c r="F343" t="str">
        <f t="shared" si="61"/>
        <v/>
      </c>
      <c r="G343" s="300" t="str">
        <f t="shared" si="62"/>
        <v/>
      </c>
      <c r="H343" t="str">
        <f t="shared" si="63"/>
        <v/>
      </c>
      <c r="I343" s="88" t="str">
        <f t="shared" si="64"/>
        <v/>
      </c>
      <c r="N343" t="str">
        <f t="shared" si="66"/>
        <v>-</v>
      </c>
      <c r="O343" t="str">
        <f t="shared" si="65"/>
        <v/>
      </c>
      <c r="Q343" s="70" t="str">
        <f t="shared" si="67"/>
        <v/>
      </c>
      <c r="R343" t="str">
        <f t="shared" si="68"/>
        <v/>
      </c>
      <c r="S343" s="525" t="str">
        <f t="shared" si="69"/>
        <v/>
      </c>
      <c r="T343" s="87" t="str">
        <f t="shared" si="70"/>
        <v/>
      </c>
      <c r="U343" s="87" t="str">
        <f t="shared" si="71"/>
        <v/>
      </c>
    </row>
    <row r="344" spans="5:21" x14ac:dyDescent="0.25">
      <c r="E344" s="244" t="str">
        <f t="shared" si="60"/>
        <v>-</v>
      </c>
      <c r="F344" t="str">
        <f t="shared" si="61"/>
        <v/>
      </c>
      <c r="G344" s="300" t="str">
        <f t="shared" si="62"/>
        <v/>
      </c>
      <c r="H344" t="str">
        <f t="shared" si="63"/>
        <v/>
      </c>
      <c r="I344" s="88" t="str">
        <f t="shared" si="64"/>
        <v/>
      </c>
      <c r="N344" t="str">
        <f t="shared" si="66"/>
        <v>-</v>
      </c>
      <c r="O344" t="str">
        <f t="shared" si="65"/>
        <v/>
      </c>
      <c r="Q344" s="70" t="str">
        <f t="shared" si="67"/>
        <v/>
      </c>
      <c r="R344" t="str">
        <f t="shared" si="68"/>
        <v/>
      </c>
      <c r="S344" s="525" t="str">
        <f t="shared" si="69"/>
        <v/>
      </c>
      <c r="T344" s="87" t="str">
        <f t="shared" si="70"/>
        <v/>
      </c>
      <c r="U344" s="87" t="str">
        <f t="shared" si="71"/>
        <v/>
      </c>
    </row>
    <row r="345" spans="5:21" x14ac:dyDescent="0.25">
      <c r="E345" s="244" t="str">
        <f t="shared" si="60"/>
        <v>-</v>
      </c>
      <c r="F345" t="str">
        <f t="shared" si="61"/>
        <v/>
      </c>
      <c r="G345" s="300" t="str">
        <f t="shared" si="62"/>
        <v/>
      </c>
      <c r="H345" t="str">
        <f t="shared" si="63"/>
        <v/>
      </c>
      <c r="I345" s="88" t="str">
        <f t="shared" si="64"/>
        <v/>
      </c>
      <c r="N345" t="str">
        <f t="shared" si="66"/>
        <v>-</v>
      </c>
      <c r="O345" t="str">
        <f t="shared" si="65"/>
        <v/>
      </c>
      <c r="Q345" s="70" t="str">
        <f t="shared" si="67"/>
        <v/>
      </c>
      <c r="R345" t="str">
        <f t="shared" si="68"/>
        <v/>
      </c>
      <c r="S345" s="525" t="str">
        <f t="shared" si="69"/>
        <v/>
      </c>
      <c r="T345" s="87" t="str">
        <f t="shared" si="70"/>
        <v/>
      </c>
      <c r="U345" s="87" t="str">
        <f t="shared" si="71"/>
        <v/>
      </c>
    </row>
    <row r="346" spans="5:21" x14ac:dyDescent="0.25">
      <c r="E346" s="244" t="str">
        <f t="shared" si="60"/>
        <v>-</v>
      </c>
      <c r="F346" t="str">
        <f t="shared" si="61"/>
        <v/>
      </c>
      <c r="G346" s="300" t="str">
        <f t="shared" si="62"/>
        <v/>
      </c>
      <c r="H346" t="str">
        <f t="shared" si="63"/>
        <v/>
      </c>
      <c r="I346" s="88" t="str">
        <f t="shared" si="64"/>
        <v/>
      </c>
      <c r="N346" t="str">
        <f t="shared" si="66"/>
        <v>-</v>
      </c>
      <c r="O346" t="str">
        <f t="shared" si="65"/>
        <v/>
      </c>
      <c r="Q346" s="70" t="str">
        <f t="shared" si="67"/>
        <v/>
      </c>
      <c r="R346" t="str">
        <f t="shared" si="68"/>
        <v/>
      </c>
      <c r="S346" s="525" t="str">
        <f t="shared" si="69"/>
        <v/>
      </c>
      <c r="T346" s="87" t="str">
        <f t="shared" si="70"/>
        <v/>
      </c>
      <c r="U346" s="87" t="str">
        <f t="shared" si="71"/>
        <v/>
      </c>
    </row>
    <row r="347" spans="5:21" x14ac:dyDescent="0.25">
      <c r="E347" s="244" t="str">
        <f t="shared" si="60"/>
        <v>-</v>
      </c>
      <c r="F347" t="str">
        <f t="shared" si="61"/>
        <v/>
      </c>
      <c r="G347" s="300" t="str">
        <f t="shared" si="62"/>
        <v/>
      </c>
      <c r="H347" t="str">
        <f t="shared" si="63"/>
        <v/>
      </c>
      <c r="I347" s="88" t="str">
        <f t="shared" si="64"/>
        <v/>
      </c>
      <c r="N347" t="str">
        <f t="shared" si="66"/>
        <v>-</v>
      </c>
      <c r="O347" t="str">
        <f t="shared" si="65"/>
        <v/>
      </c>
      <c r="Q347" s="70" t="str">
        <f t="shared" si="67"/>
        <v/>
      </c>
      <c r="R347" t="str">
        <f t="shared" si="68"/>
        <v/>
      </c>
      <c r="S347" s="525" t="str">
        <f t="shared" si="69"/>
        <v/>
      </c>
      <c r="T347" s="87" t="str">
        <f t="shared" si="70"/>
        <v/>
      </c>
      <c r="U347" s="87" t="str">
        <f t="shared" si="71"/>
        <v/>
      </c>
    </row>
    <row r="348" spans="5:21" x14ac:dyDescent="0.25">
      <c r="E348" s="244" t="str">
        <f t="shared" si="60"/>
        <v>-</v>
      </c>
      <c r="F348" t="str">
        <f t="shared" si="61"/>
        <v/>
      </c>
      <c r="G348" s="300" t="str">
        <f t="shared" si="62"/>
        <v/>
      </c>
      <c r="H348" t="str">
        <f t="shared" si="63"/>
        <v/>
      </c>
      <c r="I348" s="88" t="str">
        <f t="shared" si="64"/>
        <v/>
      </c>
      <c r="N348" t="str">
        <f t="shared" si="66"/>
        <v>-</v>
      </c>
      <c r="O348" t="str">
        <f t="shared" si="65"/>
        <v/>
      </c>
      <c r="Q348" s="70" t="str">
        <f t="shared" si="67"/>
        <v/>
      </c>
      <c r="R348" t="str">
        <f t="shared" si="68"/>
        <v/>
      </c>
      <c r="S348" s="525" t="str">
        <f t="shared" si="69"/>
        <v/>
      </c>
      <c r="T348" s="87" t="str">
        <f t="shared" si="70"/>
        <v/>
      </c>
      <c r="U348" s="87" t="str">
        <f t="shared" si="71"/>
        <v/>
      </c>
    </row>
    <row r="349" spans="5:21" x14ac:dyDescent="0.25">
      <c r="E349" s="244" t="str">
        <f t="shared" si="60"/>
        <v>-</v>
      </c>
      <c r="F349" t="str">
        <f t="shared" si="61"/>
        <v/>
      </c>
      <c r="G349" s="300" t="str">
        <f t="shared" si="62"/>
        <v/>
      </c>
      <c r="H349" t="str">
        <f t="shared" si="63"/>
        <v/>
      </c>
      <c r="I349" s="88" t="str">
        <f t="shared" si="64"/>
        <v/>
      </c>
      <c r="N349" t="str">
        <f t="shared" si="66"/>
        <v>-</v>
      </c>
      <c r="O349" t="str">
        <f t="shared" si="65"/>
        <v/>
      </c>
      <c r="Q349" s="70" t="str">
        <f t="shared" si="67"/>
        <v/>
      </c>
      <c r="R349" t="str">
        <f t="shared" si="68"/>
        <v/>
      </c>
      <c r="S349" s="525" t="str">
        <f t="shared" si="69"/>
        <v/>
      </c>
      <c r="T349" s="87" t="str">
        <f t="shared" si="70"/>
        <v/>
      </c>
      <c r="U349" s="87" t="str">
        <f t="shared" si="71"/>
        <v/>
      </c>
    </row>
    <row r="350" spans="5:21" x14ac:dyDescent="0.25">
      <c r="E350" s="244" t="str">
        <f t="shared" si="60"/>
        <v>-</v>
      </c>
      <c r="F350" t="str">
        <f t="shared" si="61"/>
        <v/>
      </c>
      <c r="G350" s="300" t="str">
        <f t="shared" si="62"/>
        <v/>
      </c>
      <c r="H350" t="str">
        <f t="shared" si="63"/>
        <v/>
      </c>
      <c r="I350" s="88" t="str">
        <f t="shared" si="64"/>
        <v/>
      </c>
      <c r="N350" t="str">
        <f t="shared" si="66"/>
        <v>-</v>
      </c>
      <c r="O350" t="str">
        <f t="shared" si="65"/>
        <v/>
      </c>
      <c r="Q350" s="70" t="str">
        <f t="shared" si="67"/>
        <v/>
      </c>
      <c r="R350" t="str">
        <f t="shared" si="68"/>
        <v/>
      </c>
      <c r="S350" s="525" t="str">
        <f t="shared" si="69"/>
        <v/>
      </c>
      <c r="T350" s="87" t="str">
        <f t="shared" si="70"/>
        <v/>
      </c>
      <c r="U350" s="87" t="str">
        <f t="shared" si="71"/>
        <v/>
      </c>
    </row>
    <row r="351" spans="5:21" x14ac:dyDescent="0.25">
      <c r="E351" s="244" t="str">
        <f t="shared" si="60"/>
        <v>-</v>
      </c>
      <c r="F351" t="str">
        <f t="shared" si="61"/>
        <v/>
      </c>
      <c r="G351" s="300" t="str">
        <f t="shared" si="62"/>
        <v/>
      </c>
      <c r="H351" t="str">
        <f t="shared" si="63"/>
        <v/>
      </c>
      <c r="I351" s="88" t="str">
        <f t="shared" si="64"/>
        <v/>
      </c>
      <c r="N351" t="str">
        <f t="shared" si="66"/>
        <v>-</v>
      </c>
      <c r="O351" t="str">
        <f t="shared" si="65"/>
        <v/>
      </c>
      <c r="Q351" s="70" t="str">
        <f t="shared" si="67"/>
        <v/>
      </c>
      <c r="R351" t="str">
        <f t="shared" si="68"/>
        <v/>
      </c>
      <c r="S351" s="525" t="str">
        <f t="shared" si="69"/>
        <v/>
      </c>
      <c r="T351" s="87" t="str">
        <f t="shared" si="70"/>
        <v/>
      </c>
      <c r="U351" s="87" t="str">
        <f t="shared" si="71"/>
        <v/>
      </c>
    </row>
    <row r="352" spans="5:21" x14ac:dyDescent="0.25">
      <c r="E352" s="244" t="str">
        <f t="shared" si="60"/>
        <v>-</v>
      </c>
      <c r="F352" t="str">
        <f t="shared" si="61"/>
        <v/>
      </c>
      <c r="G352" s="300" t="str">
        <f t="shared" si="62"/>
        <v/>
      </c>
      <c r="H352" t="str">
        <f t="shared" si="63"/>
        <v/>
      </c>
      <c r="I352" s="88" t="str">
        <f t="shared" si="64"/>
        <v/>
      </c>
      <c r="N352" t="str">
        <f t="shared" si="66"/>
        <v>-</v>
      </c>
      <c r="O352" t="str">
        <f t="shared" si="65"/>
        <v/>
      </c>
      <c r="Q352" s="70" t="str">
        <f t="shared" si="67"/>
        <v/>
      </c>
      <c r="R352" t="str">
        <f t="shared" si="68"/>
        <v/>
      </c>
      <c r="S352" s="525" t="str">
        <f t="shared" si="69"/>
        <v/>
      </c>
      <c r="T352" s="87" t="str">
        <f t="shared" si="70"/>
        <v/>
      </c>
      <c r="U352" s="87" t="str">
        <f t="shared" si="71"/>
        <v/>
      </c>
    </row>
    <row r="353" spans="5:21" x14ac:dyDescent="0.25">
      <c r="E353" s="244" t="str">
        <f t="shared" si="60"/>
        <v>-</v>
      </c>
      <c r="F353" t="str">
        <f t="shared" si="61"/>
        <v/>
      </c>
      <c r="G353" s="300" t="str">
        <f t="shared" si="62"/>
        <v/>
      </c>
      <c r="H353" t="str">
        <f t="shared" si="63"/>
        <v/>
      </c>
      <c r="I353" s="88" t="str">
        <f t="shared" si="64"/>
        <v/>
      </c>
      <c r="N353" t="str">
        <f t="shared" si="66"/>
        <v>-</v>
      </c>
      <c r="O353" t="str">
        <f t="shared" si="65"/>
        <v/>
      </c>
      <c r="Q353" s="70" t="str">
        <f t="shared" si="67"/>
        <v/>
      </c>
      <c r="R353" t="str">
        <f t="shared" si="68"/>
        <v/>
      </c>
      <c r="S353" s="525" t="str">
        <f t="shared" si="69"/>
        <v/>
      </c>
      <c r="T353" s="87" t="str">
        <f t="shared" si="70"/>
        <v/>
      </c>
      <c r="U353" s="87" t="str">
        <f t="shared" si="71"/>
        <v/>
      </c>
    </row>
    <row r="354" spans="5:21" x14ac:dyDescent="0.25">
      <c r="E354" s="244" t="str">
        <f t="shared" si="60"/>
        <v>-</v>
      </c>
      <c r="F354" t="str">
        <f t="shared" si="61"/>
        <v/>
      </c>
      <c r="G354" s="300" t="str">
        <f t="shared" si="62"/>
        <v/>
      </c>
      <c r="H354" t="str">
        <f t="shared" si="63"/>
        <v/>
      </c>
      <c r="I354" s="88" t="str">
        <f t="shared" si="64"/>
        <v/>
      </c>
      <c r="N354" t="str">
        <f t="shared" si="66"/>
        <v>-</v>
      </c>
      <c r="O354" t="str">
        <f t="shared" si="65"/>
        <v/>
      </c>
      <c r="Q354" s="70" t="str">
        <f t="shared" si="67"/>
        <v/>
      </c>
      <c r="R354" t="str">
        <f t="shared" si="68"/>
        <v/>
      </c>
      <c r="S354" s="525" t="str">
        <f t="shared" si="69"/>
        <v/>
      </c>
      <c r="T354" s="87" t="str">
        <f t="shared" si="70"/>
        <v/>
      </c>
      <c r="U354" s="87" t="str">
        <f t="shared" si="71"/>
        <v/>
      </c>
    </row>
    <row r="355" spans="5:21" x14ac:dyDescent="0.25">
      <c r="E355" s="244" t="str">
        <f t="shared" si="60"/>
        <v>-</v>
      </c>
      <c r="F355" t="str">
        <f t="shared" si="61"/>
        <v/>
      </c>
      <c r="G355" s="300" t="str">
        <f t="shared" si="62"/>
        <v/>
      </c>
      <c r="H355" t="str">
        <f t="shared" si="63"/>
        <v/>
      </c>
      <c r="I355" s="88" t="str">
        <f t="shared" si="64"/>
        <v/>
      </c>
      <c r="N355" t="str">
        <f t="shared" si="66"/>
        <v>-</v>
      </c>
      <c r="O355" t="str">
        <f t="shared" si="65"/>
        <v/>
      </c>
      <c r="Q355" s="70" t="str">
        <f t="shared" si="67"/>
        <v/>
      </c>
      <c r="R355" t="str">
        <f t="shared" si="68"/>
        <v/>
      </c>
      <c r="S355" s="525" t="str">
        <f t="shared" si="69"/>
        <v/>
      </c>
      <c r="T355" s="87" t="str">
        <f t="shared" si="70"/>
        <v/>
      </c>
      <c r="U355" s="87" t="str">
        <f t="shared" si="71"/>
        <v/>
      </c>
    </row>
    <row r="356" spans="5:21" x14ac:dyDescent="0.25">
      <c r="E356" s="244" t="str">
        <f t="shared" si="60"/>
        <v>-</v>
      </c>
      <c r="F356" t="str">
        <f t="shared" si="61"/>
        <v/>
      </c>
      <c r="G356" s="300" t="str">
        <f t="shared" si="62"/>
        <v/>
      </c>
      <c r="H356" t="str">
        <f t="shared" si="63"/>
        <v/>
      </c>
      <c r="I356" s="88" t="str">
        <f t="shared" si="64"/>
        <v/>
      </c>
      <c r="N356" t="str">
        <f t="shared" si="66"/>
        <v>-</v>
      </c>
      <c r="O356" t="str">
        <f t="shared" si="65"/>
        <v/>
      </c>
      <c r="Q356" s="70" t="str">
        <f t="shared" si="67"/>
        <v/>
      </c>
      <c r="R356" t="str">
        <f t="shared" si="68"/>
        <v/>
      </c>
      <c r="S356" s="525" t="str">
        <f t="shared" si="69"/>
        <v/>
      </c>
      <c r="T356" s="87" t="str">
        <f t="shared" si="70"/>
        <v/>
      </c>
      <c r="U356" s="87" t="str">
        <f t="shared" si="71"/>
        <v/>
      </c>
    </row>
    <row r="357" spans="5:21" x14ac:dyDescent="0.25">
      <c r="E357" s="244" t="str">
        <f t="shared" si="60"/>
        <v>-</v>
      </c>
      <c r="F357" t="str">
        <f t="shared" si="61"/>
        <v/>
      </c>
      <c r="G357" s="300" t="str">
        <f t="shared" si="62"/>
        <v/>
      </c>
      <c r="H357" t="str">
        <f t="shared" si="63"/>
        <v/>
      </c>
      <c r="I357" s="88" t="str">
        <f t="shared" si="64"/>
        <v/>
      </c>
      <c r="N357" t="str">
        <f t="shared" si="66"/>
        <v>-</v>
      </c>
      <c r="O357" t="str">
        <f t="shared" si="65"/>
        <v/>
      </c>
      <c r="Q357" s="70" t="str">
        <f t="shared" si="67"/>
        <v/>
      </c>
      <c r="R357" t="str">
        <f t="shared" si="68"/>
        <v/>
      </c>
      <c r="S357" s="525" t="str">
        <f t="shared" si="69"/>
        <v/>
      </c>
      <c r="T357" s="87" t="str">
        <f t="shared" si="70"/>
        <v/>
      </c>
      <c r="U357" s="87" t="str">
        <f t="shared" si="71"/>
        <v/>
      </c>
    </row>
    <row r="358" spans="5:21" x14ac:dyDescent="0.25">
      <c r="E358" s="244" t="str">
        <f t="shared" si="60"/>
        <v>-</v>
      </c>
      <c r="F358" t="str">
        <f t="shared" si="61"/>
        <v/>
      </c>
      <c r="G358" s="300" t="str">
        <f t="shared" si="62"/>
        <v/>
      </c>
      <c r="H358" t="str">
        <f t="shared" si="63"/>
        <v/>
      </c>
      <c r="I358" s="88" t="str">
        <f t="shared" si="64"/>
        <v/>
      </c>
      <c r="N358" t="str">
        <f t="shared" si="66"/>
        <v>-</v>
      </c>
      <c r="O358" t="str">
        <f t="shared" si="65"/>
        <v/>
      </c>
      <c r="Q358" s="70" t="str">
        <f t="shared" si="67"/>
        <v/>
      </c>
      <c r="R358" t="str">
        <f t="shared" si="68"/>
        <v/>
      </c>
      <c r="S358" s="525" t="str">
        <f t="shared" si="69"/>
        <v/>
      </c>
      <c r="T358" s="87" t="str">
        <f t="shared" si="70"/>
        <v/>
      </c>
      <c r="U358" s="87" t="str">
        <f t="shared" si="71"/>
        <v/>
      </c>
    </row>
    <row r="359" spans="5:21" x14ac:dyDescent="0.25">
      <c r="E359" s="244" t="str">
        <f t="shared" si="60"/>
        <v>-</v>
      </c>
      <c r="F359" t="str">
        <f t="shared" si="61"/>
        <v/>
      </c>
      <c r="G359" s="300" t="str">
        <f t="shared" si="62"/>
        <v/>
      </c>
      <c r="H359" t="str">
        <f t="shared" si="63"/>
        <v/>
      </c>
      <c r="I359" s="88" t="str">
        <f t="shared" si="64"/>
        <v/>
      </c>
      <c r="N359" t="str">
        <f t="shared" si="66"/>
        <v>-</v>
      </c>
      <c r="O359" t="str">
        <f t="shared" si="65"/>
        <v/>
      </c>
      <c r="Q359" s="70" t="str">
        <f t="shared" si="67"/>
        <v/>
      </c>
      <c r="R359" t="str">
        <f t="shared" si="68"/>
        <v/>
      </c>
      <c r="S359" s="525" t="str">
        <f t="shared" si="69"/>
        <v/>
      </c>
      <c r="T359" s="87" t="str">
        <f t="shared" si="70"/>
        <v/>
      </c>
      <c r="U359" s="87" t="str">
        <f t="shared" si="71"/>
        <v/>
      </c>
    </row>
    <row r="360" spans="5:21" x14ac:dyDescent="0.25">
      <c r="E360" s="244" t="str">
        <f t="shared" si="60"/>
        <v>-</v>
      </c>
      <c r="F360" t="str">
        <f t="shared" si="61"/>
        <v/>
      </c>
      <c r="G360" s="300" t="str">
        <f t="shared" si="62"/>
        <v/>
      </c>
      <c r="H360" t="str">
        <f t="shared" si="63"/>
        <v/>
      </c>
      <c r="I360" s="88" t="str">
        <f t="shared" si="64"/>
        <v/>
      </c>
      <c r="N360" t="str">
        <f t="shared" si="66"/>
        <v>-</v>
      </c>
      <c r="O360" t="str">
        <f t="shared" si="65"/>
        <v/>
      </c>
      <c r="Q360" s="70" t="str">
        <f t="shared" si="67"/>
        <v/>
      </c>
      <c r="R360" t="str">
        <f t="shared" si="68"/>
        <v/>
      </c>
      <c r="S360" s="525" t="str">
        <f t="shared" si="69"/>
        <v/>
      </c>
      <c r="T360" s="87" t="str">
        <f t="shared" si="70"/>
        <v/>
      </c>
      <c r="U360" s="87" t="str">
        <f t="shared" si="71"/>
        <v/>
      </c>
    </row>
    <row r="361" spans="5:21" x14ac:dyDescent="0.25">
      <c r="E361" s="244" t="str">
        <f t="shared" si="60"/>
        <v>-</v>
      </c>
      <c r="F361" t="str">
        <f t="shared" si="61"/>
        <v/>
      </c>
      <c r="G361" s="300" t="str">
        <f t="shared" si="62"/>
        <v/>
      </c>
      <c r="H361" t="str">
        <f t="shared" si="63"/>
        <v/>
      </c>
      <c r="I361" s="88" t="str">
        <f t="shared" si="64"/>
        <v/>
      </c>
      <c r="N361" t="str">
        <f t="shared" si="66"/>
        <v>-</v>
      </c>
      <c r="O361" t="str">
        <f t="shared" si="65"/>
        <v/>
      </c>
      <c r="Q361" s="70" t="str">
        <f t="shared" si="67"/>
        <v/>
      </c>
      <c r="R361" t="str">
        <f t="shared" si="68"/>
        <v/>
      </c>
      <c r="S361" s="525" t="str">
        <f t="shared" si="69"/>
        <v/>
      </c>
      <c r="T361" s="87" t="str">
        <f t="shared" si="70"/>
        <v/>
      </c>
      <c r="U361" s="87" t="str">
        <f t="shared" si="71"/>
        <v/>
      </c>
    </row>
    <row r="362" spans="5:21" x14ac:dyDescent="0.25">
      <c r="E362" s="244" t="str">
        <f t="shared" si="60"/>
        <v>-</v>
      </c>
      <c r="F362" t="str">
        <f t="shared" si="61"/>
        <v/>
      </c>
      <c r="G362" s="300" t="str">
        <f t="shared" si="62"/>
        <v/>
      </c>
      <c r="H362" t="str">
        <f t="shared" si="63"/>
        <v/>
      </c>
      <c r="I362" s="88" t="str">
        <f t="shared" si="64"/>
        <v/>
      </c>
      <c r="N362" t="str">
        <f t="shared" si="66"/>
        <v>-</v>
      </c>
      <c r="O362" t="str">
        <f t="shared" si="65"/>
        <v/>
      </c>
      <c r="Q362" s="70" t="str">
        <f t="shared" si="67"/>
        <v/>
      </c>
      <c r="R362" t="str">
        <f t="shared" si="68"/>
        <v/>
      </c>
      <c r="S362" s="525" t="str">
        <f t="shared" si="69"/>
        <v/>
      </c>
      <c r="T362" s="87" t="str">
        <f t="shared" si="70"/>
        <v/>
      </c>
      <c r="U362" s="87" t="str">
        <f t="shared" si="71"/>
        <v/>
      </c>
    </row>
    <row r="363" spans="5:21" x14ac:dyDescent="0.25">
      <c r="E363" s="244" t="str">
        <f t="shared" si="60"/>
        <v>-</v>
      </c>
      <c r="F363" t="str">
        <f t="shared" si="61"/>
        <v/>
      </c>
      <c r="G363" s="300" t="str">
        <f t="shared" si="62"/>
        <v/>
      </c>
      <c r="H363" t="str">
        <f t="shared" si="63"/>
        <v/>
      </c>
      <c r="I363" s="88" t="str">
        <f t="shared" si="64"/>
        <v/>
      </c>
      <c r="N363" t="str">
        <f t="shared" si="66"/>
        <v>-</v>
      </c>
      <c r="O363" t="str">
        <f t="shared" si="65"/>
        <v/>
      </c>
      <c r="Q363" s="70" t="str">
        <f t="shared" si="67"/>
        <v/>
      </c>
      <c r="R363" t="str">
        <f t="shared" si="68"/>
        <v/>
      </c>
      <c r="S363" s="525" t="str">
        <f t="shared" si="69"/>
        <v/>
      </c>
      <c r="T363" s="87" t="str">
        <f t="shared" si="70"/>
        <v/>
      </c>
      <c r="U363" s="87" t="str">
        <f t="shared" si="71"/>
        <v/>
      </c>
    </row>
    <row r="364" spans="5:21" x14ac:dyDescent="0.25">
      <c r="E364" s="244" t="str">
        <f t="shared" si="60"/>
        <v>-</v>
      </c>
      <c r="F364" t="str">
        <f t="shared" si="61"/>
        <v/>
      </c>
      <c r="G364" s="300" t="str">
        <f t="shared" si="62"/>
        <v/>
      </c>
      <c r="H364" t="str">
        <f t="shared" si="63"/>
        <v/>
      </c>
      <c r="I364" s="88" t="str">
        <f t="shared" si="64"/>
        <v/>
      </c>
      <c r="N364" t="str">
        <f t="shared" si="66"/>
        <v>-</v>
      </c>
      <c r="O364" t="str">
        <f t="shared" si="65"/>
        <v/>
      </c>
      <c r="Q364" s="70" t="str">
        <f t="shared" si="67"/>
        <v/>
      </c>
      <c r="R364" t="str">
        <f t="shared" si="68"/>
        <v/>
      </c>
      <c r="S364" s="525" t="str">
        <f t="shared" si="69"/>
        <v/>
      </c>
      <c r="T364" s="87" t="str">
        <f t="shared" si="70"/>
        <v/>
      </c>
      <c r="U364" s="87" t="str">
        <f t="shared" si="71"/>
        <v/>
      </c>
    </row>
    <row r="365" spans="5:21" x14ac:dyDescent="0.25">
      <c r="E365" s="244" t="str">
        <f t="shared" si="60"/>
        <v>-</v>
      </c>
      <c r="F365" t="str">
        <f t="shared" si="61"/>
        <v/>
      </c>
      <c r="G365" s="300" t="str">
        <f t="shared" si="62"/>
        <v/>
      </c>
      <c r="H365" t="str">
        <f t="shared" si="63"/>
        <v/>
      </c>
      <c r="I365" s="88" t="str">
        <f t="shared" si="64"/>
        <v/>
      </c>
      <c r="N365" t="str">
        <f t="shared" si="66"/>
        <v>-</v>
      </c>
      <c r="O365" t="str">
        <f t="shared" si="65"/>
        <v/>
      </c>
      <c r="Q365" s="70" t="str">
        <f t="shared" si="67"/>
        <v/>
      </c>
      <c r="R365" t="str">
        <f t="shared" si="68"/>
        <v/>
      </c>
      <c r="S365" s="525" t="str">
        <f t="shared" si="69"/>
        <v/>
      </c>
      <c r="T365" s="87" t="str">
        <f t="shared" si="70"/>
        <v/>
      </c>
      <c r="U365" s="87" t="str">
        <f t="shared" si="71"/>
        <v/>
      </c>
    </row>
    <row r="366" spans="5:21" x14ac:dyDescent="0.25">
      <c r="E366" s="244" t="str">
        <f t="shared" si="60"/>
        <v>-</v>
      </c>
      <c r="F366" t="str">
        <f t="shared" si="61"/>
        <v/>
      </c>
      <c r="G366" s="300" t="str">
        <f t="shared" si="62"/>
        <v/>
      </c>
      <c r="H366" t="str">
        <f t="shared" si="63"/>
        <v/>
      </c>
      <c r="I366" s="88" t="str">
        <f t="shared" si="64"/>
        <v/>
      </c>
      <c r="N366" t="str">
        <f t="shared" si="66"/>
        <v>-</v>
      </c>
      <c r="O366" t="str">
        <f t="shared" si="65"/>
        <v/>
      </c>
      <c r="Q366" s="70" t="str">
        <f t="shared" si="67"/>
        <v/>
      </c>
      <c r="R366" t="str">
        <f t="shared" si="68"/>
        <v/>
      </c>
      <c r="S366" s="525" t="str">
        <f t="shared" si="69"/>
        <v/>
      </c>
      <c r="T366" s="87" t="str">
        <f t="shared" si="70"/>
        <v/>
      </c>
      <c r="U366" s="87" t="str">
        <f t="shared" si="71"/>
        <v/>
      </c>
    </row>
    <row r="367" spans="5:21" x14ac:dyDescent="0.25">
      <c r="E367" s="244" t="str">
        <f t="shared" si="60"/>
        <v>-</v>
      </c>
      <c r="F367" t="str">
        <f t="shared" si="61"/>
        <v/>
      </c>
      <c r="G367" s="300" t="str">
        <f t="shared" si="62"/>
        <v/>
      </c>
      <c r="H367" t="str">
        <f t="shared" si="63"/>
        <v/>
      </c>
      <c r="I367" s="88" t="str">
        <f t="shared" si="64"/>
        <v/>
      </c>
      <c r="N367" t="str">
        <f t="shared" si="66"/>
        <v>-</v>
      </c>
      <c r="O367" t="str">
        <f t="shared" si="65"/>
        <v/>
      </c>
      <c r="Q367" s="70" t="str">
        <f t="shared" si="67"/>
        <v/>
      </c>
      <c r="R367" t="str">
        <f t="shared" si="68"/>
        <v/>
      </c>
      <c r="S367" s="525" t="str">
        <f t="shared" si="69"/>
        <v/>
      </c>
      <c r="T367" s="87" t="str">
        <f t="shared" si="70"/>
        <v/>
      </c>
      <c r="U367" s="87" t="str">
        <f t="shared" si="71"/>
        <v/>
      </c>
    </row>
    <row r="368" spans="5:21" x14ac:dyDescent="0.25">
      <c r="E368" s="244" t="str">
        <f t="shared" si="60"/>
        <v>-</v>
      </c>
      <c r="F368" t="str">
        <f t="shared" si="61"/>
        <v/>
      </c>
      <c r="G368" s="300" t="str">
        <f t="shared" si="62"/>
        <v/>
      </c>
      <c r="H368" t="str">
        <f t="shared" si="63"/>
        <v/>
      </c>
      <c r="I368" s="88" t="str">
        <f t="shared" si="64"/>
        <v/>
      </c>
      <c r="N368" t="str">
        <f t="shared" si="66"/>
        <v>-</v>
      </c>
      <c r="O368" t="str">
        <f t="shared" si="65"/>
        <v/>
      </c>
      <c r="Q368" s="70" t="str">
        <f t="shared" si="67"/>
        <v/>
      </c>
      <c r="R368" t="str">
        <f t="shared" si="68"/>
        <v/>
      </c>
      <c r="S368" s="525" t="str">
        <f t="shared" si="69"/>
        <v/>
      </c>
      <c r="T368" s="87" t="str">
        <f t="shared" si="70"/>
        <v/>
      </c>
      <c r="U368" s="87" t="str">
        <f t="shared" si="71"/>
        <v/>
      </c>
    </row>
    <row r="369" spans="5:21" x14ac:dyDescent="0.25">
      <c r="E369" s="244" t="str">
        <f t="shared" si="60"/>
        <v>-</v>
      </c>
      <c r="F369" t="str">
        <f t="shared" si="61"/>
        <v/>
      </c>
      <c r="G369" s="300" t="str">
        <f t="shared" si="62"/>
        <v/>
      </c>
      <c r="H369" t="str">
        <f t="shared" si="63"/>
        <v/>
      </c>
      <c r="I369" s="88" t="str">
        <f t="shared" si="64"/>
        <v/>
      </c>
      <c r="N369" t="str">
        <f t="shared" si="66"/>
        <v>-</v>
      </c>
      <c r="O369" t="str">
        <f t="shared" si="65"/>
        <v/>
      </c>
      <c r="Q369" s="70" t="str">
        <f t="shared" si="67"/>
        <v/>
      </c>
      <c r="R369" t="str">
        <f t="shared" si="68"/>
        <v/>
      </c>
      <c r="S369" s="525" t="str">
        <f t="shared" si="69"/>
        <v/>
      </c>
      <c r="T369" s="87" t="str">
        <f t="shared" si="70"/>
        <v/>
      </c>
      <c r="U369" s="87" t="str">
        <f t="shared" si="71"/>
        <v/>
      </c>
    </row>
    <row r="370" spans="5:21" x14ac:dyDescent="0.25">
      <c r="E370" s="244" t="str">
        <f t="shared" si="60"/>
        <v>-</v>
      </c>
      <c r="F370" t="str">
        <f t="shared" si="61"/>
        <v/>
      </c>
      <c r="G370" s="300" t="str">
        <f t="shared" si="62"/>
        <v/>
      </c>
      <c r="H370" t="str">
        <f t="shared" si="63"/>
        <v/>
      </c>
      <c r="I370" s="88" t="str">
        <f t="shared" si="64"/>
        <v/>
      </c>
      <c r="N370" t="str">
        <f t="shared" si="66"/>
        <v>-</v>
      </c>
      <c r="O370" t="str">
        <f t="shared" si="65"/>
        <v/>
      </c>
      <c r="Q370" s="70" t="str">
        <f t="shared" si="67"/>
        <v/>
      </c>
      <c r="R370" t="str">
        <f t="shared" si="68"/>
        <v/>
      </c>
      <c r="S370" s="525" t="str">
        <f t="shared" si="69"/>
        <v/>
      </c>
      <c r="T370" s="87" t="str">
        <f t="shared" si="70"/>
        <v/>
      </c>
      <c r="U370" s="87" t="str">
        <f t="shared" si="71"/>
        <v/>
      </c>
    </row>
    <row r="371" spans="5:21" x14ac:dyDescent="0.25">
      <c r="E371" s="244" t="str">
        <f t="shared" si="60"/>
        <v>-</v>
      </c>
      <c r="F371" t="str">
        <f t="shared" si="61"/>
        <v/>
      </c>
      <c r="G371" s="300" t="str">
        <f t="shared" si="62"/>
        <v/>
      </c>
      <c r="H371" t="str">
        <f t="shared" si="63"/>
        <v/>
      </c>
      <c r="I371" s="88" t="str">
        <f t="shared" si="64"/>
        <v/>
      </c>
      <c r="N371" t="str">
        <f t="shared" si="66"/>
        <v>-</v>
      </c>
      <c r="O371" t="str">
        <f t="shared" si="65"/>
        <v/>
      </c>
      <c r="Q371" s="70" t="str">
        <f t="shared" si="67"/>
        <v/>
      </c>
      <c r="R371" t="str">
        <f t="shared" si="68"/>
        <v/>
      </c>
      <c r="S371" s="525" t="str">
        <f t="shared" si="69"/>
        <v/>
      </c>
      <c r="T371" s="87" t="str">
        <f t="shared" si="70"/>
        <v/>
      </c>
      <c r="U371" s="87" t="str">
        <f t="shared" si="71"/>
        <v/>
      </c>
    </row>
    <row r="372" spans="5:21" x14ac:dyDescent="0.25">
      <c r="E372" s="244" t="str">
        <f t="shared" si="60"/>
        <v>-</v>
      </c>
      <c r="F372" t="str">
        <f t="shared" si="61"/>
        <v/>
      </c>
      <c r="G372" s="300" t="str">
        <f t="shared" si="62"/>
        <v/>
      </c>
      <c r="H372" t="str">
        <f t="shared" si="63"/>
        <v/>
      </c>
      <c r="I372" s="88" t="str">
        <f t="shared" si="64"/>
        <v/>
      </c>
      <c r="N372" t="str">
        <f t="shared" si="66"/>
        <v>-</v>
      </c>
      <c r="O372" t="str">
        <f t="shared" si="65"/>
        <v/>
      </c>
      <c r="Q372" s="70" t="str">
        <f t="shared" si="67"/>
        <v/>
      </c>
      <c r="R372" t="str">
        <f t="shared" si="68"/>
        <v/>
      </c>
      <c r="S372" s="525" t="str">
        <f t="shared" si="69"/>
        <v/>
      </c>
      <c r="T372" s="87" t="str">
        <f t="shared" si="70"/>
        <v/>
      </c>
      <c r="U372" s="87" t="str">
        <f t="shared" si="71"/>
        <v/>
      </c>
    </row>
    <row r="373" spans="5:21" x14ac:dyDescent="0.25">
      <c r="E373" s="244" t="str">
        <f t="shared" si="60"/>
        <v>-</v>
      </c>
      <c r="F373" t="str">
        <f t="shared" si="61"/>
        <v/>
      </c>
      <c r="G373" s="300" t="str">
        <f t="shared" si="62"/>
        <v/>
      </c>
      <c r="H373" t="str">
        <f t="shared" si="63"/>
        <v/>
      </c>
      <c r="I373" s="88" t="str">
        <f t="shared" si="64"/>
        <v/>
      </c>
      <c r="N373" t="str">
        <f t="shared" si="66"/>
        <v>-</v>
      </c>
      <c r="O373" t="str">
        <f t="shared" si="65"/>
        <v/>
      </c>
      <c r="Q373" s="70" t="str">
        <f t="shared" si="67"/>
        <v/>
      </c>
      <c r="R373" t="str">
        <f t="shared" si="68"/>
        <v/>
      </c>
      <c r="S373" s="525" t="str">
        <f t="shared" si="69"/>
        <v/>
      </c>
      <c r="T373" s="87" t="str">
        <f t="shared" si="70"/>
        <v/>
      </c>
      <c r="U373" s="87" t="str">
        <f t="shared" si="71"/>
        <v/>
      </c>
    </row>
    <row r="374" spans="5:21" x14ac:dyDescent="0.25">
      <c r="E374" s="244" t="str">
        <f t="shared" si="60"/>
        <v>-</v>
      </c>
      <c r="F374" t="str">
        <f t="shared" si="61"/>
        <v/>
      </c>
      <c r="G374" s="300" t="str">
        <f t="shared" si="62"/>
        <v/>
      </c>
      <c r="H374" t="str">
        <f t="shared" si="63"/>
        <v/>
      </c>
      <c r="I374" s="88" t="str">
        <f t="shared" si="64"/>
        <v/>
      </c>
      <c r="N374" t="str">
        <f t="shared" si="66"/>
        <v>-</v>
      </c>
      <c r="O374" t="str">
        <f t="shared" si="65"/>
        <v/>
      </c>
      <c r="Q374" s="70" t="str">
        <f t="shared" si="67"/>
        <v/>
      </c>
      <c r="R374" t="str">
        <f t="shared" si="68"/>
        <v/>
      </c>
      <c r="S374" s="525" t="str">
        <f t="shared" si="69"/>
        <v/>
      </c>
      <c r="T374" s="87" t="str">
        <f t="shared" si="70"/>
        <v/>
      </c>
      <c r="U374" s="87" t="str">
        <f t="shared" si="71"/>
        <v/>
      </c>
    </row>
    <row r="375" spans="5:21" x14ac:dyDescent="0.25">
      <c r="E375" s="244" t="str">
        <f t="shared" si="60"/>
        <v>-</v>
      </c>
      <c r="F375" t="str">
        <f t="shared" si="61"/>
        <v/>
      </c>
      <c r="G375" s="300" t="str">
        <f t="shared" si="62"/>
        <v/>
      </c>
      <c r="H375" t="str">
        <f t="shared" si="63"/>
        <v/>
      </c>
      <c r="I375" s="88" t="str">
        <f t="shared" si="64"/>
        <v/>
      </c>
      <c r="N375" t="str">
        <f t="shared" si="66"/>
        <v>-</v>
      </c>
      <c r="O375" t="str">
        <f t="shared" si="65"/>
        <v/>
      </c>
      <c r="Q375" s="70" t="str">
        <f t="shared" si="67"/>
        <v/>
      </c>
      <c r="R375" t="str">
        <f t="shared" si="68"/>
        <v/>
      </c>
      <c r="S375" s="525" t="str">
        <f t="shared" si="69"/>
        <v/>
      </c>
      <c r="T375" s="87" t="str">
        <f t="shared" si="70"/>
        <v/>
      </c>
      <c r="U375" s="87" t="str">
        <f t="shared" si="71"/>
        <v/>
      </c>
    </row>
    <row r="376" spans="5:21" x14ac:dyDescent="0.25">
      <c r="E376" s="244" t="str">
        <f t="shared" si="60"/>
        <v>-</v>
      </c>
      <c r="F376" t="str">
        <f t="shared" si="61"/>
        <v/>
      </c>
      <c r="G376" s="300" t="str">
        <f t="shared" si="62"/>
        <v/>
      </c>
      <c r="H376" t="str">
        <f t="shared" si="63"/>
        <v/>
      </c>
      <c r="I376" s="88" t="str">
        <f t="shared" si="64"/>
        <v/>
      </c>
      <c r="N376" t="str">
        <f t="shared" si="66"/>
        <v>-</v>
      </c>
      <c r="O376" t="str">
        <f t="shared" si="65"/>
        <v/>
      </c>
      <c r="Q376" s="70" t="str">
        <f t="shared" si="67"/>
        <v/>
      </c>
      <c r="R376" t="str">
        <f t="shared" si="68"/>
        <v/>
      </c>
      <c r="S376" s="525" t="str">
        <f t="shared" si="69"/>
        <v/>
      </c>
      <c r="T376" s="87" t="str">
        <f t="shared" si="70"/>
        <v/>
      </c>
      <c r="U376" s="87" t="str">
        <f t="shared" si="71"/>
        <v/>
      </c>
    </row>
    <row r="377" spans="5:21" x14ac:dyDescent="0.25">
      <c r="E377" s="244" t="str">
        <f t="shared" si="60"/>
        <v>-</v>
      </c>
      <c r="F377" t="str">
        <f t="shared" si="61"/>
        <v/>
      </c>
      <c r="G377" s="300" t="str">
        <f t="shared" si="62"/>
        <v/>
      </c>
      <c r="H377" t="str">
        <f t="shared" si="63"/>
        <v/>
      </c>
      <c r="I377" s="88" t="str">
        <f t="shared" si="64"/>
        <v/>
      </c>
      <c r="N377" t="str">
        <f t="shared" si="66"/>
        <v>-</v>
      </c>
      <c r="O377" t="str">
        <f t="shared" si="65"/>
        <v/>
      </c>
      <c r="Q377" s="70" t="str">
        <f t="shared" si="67"/>
        <v/>
      </c>
      <c r="R377" t="str">
        <f t="shared" si="68"/>
        <v/>
      </c>
      <c r="S377" s="525" t="str">
        <f t="shared" si="69"/>
        <v/>
      </c>
      <c r="T377" s="87" t="str">
        <f t="shared" si="70"/>
        <v/>
      </c>
      <c r="U377" s="87" t="str">
        <f t="shared" si="71"/>
        <v/>
      </c>
    </row>
    <row r="378" spans="5:21" x14ac:dyDescent="0.25">
      <c r="E378" s="244" t="str">
        <f t="shared" si="60"/>
        <v>-</v>
      </c>
      <c r="F378" t="str">
        <f t="shared" si="61"/>
        <v/>
      </c>
      <c r="G378" s="300" t="str">
        <f t="shared" si="62"/>
        <v/>
      </c>
      <c r="H378" t="str">
        <f t="shared" si="63"/>
        <v/>
      </c>
      <c r="I378" s="88" t="str">
        <f t="shared" si="64"/>
        <v/>
      </c>
      <c r="N378" t="str">
        <f t="shared" si="66"/>
        <v>-</v>
      </c>
      <c r="O378" t="str">
        <f t="shared" si="65"/>
        <v/>
      </c>
      <c r="Q378" s="70" t="str">
        <f t="shared" si="67"/>
        <v/>
      </c>
      <c r="R378" t="str">
        <f t="shared" si="68"/>
        <v/>
      </c>
      <c r="S378" s="525" t="str">
        <f t="shared" si="69"/>
        <v/>
      </c>
      <c r="T378" s="87" t="str">
        <f t="shared" si="70"/>
        <v/>
      </c>
      <c r="U378" s="87" t="str">
        <f t="shared" si="71"/>
        <v/>
      </c>
    </row>
    <row r="379" spans="5:21" x14ac:dyDescent="0.25">
      <c r="E379" s="244" t="str">
        <f t="shared" si="60"/>
        <v>-</v>
      </c>
      <c r="F379" t="str">
        <f t="shared" si="61"/>
        <v/>
      </c>
      <c r="G379" s="300" t="str">
        <f t="shared" si="62"/>
        <v/>
      </c>
      <c r="H379" t="str">
        <f t="shared" si="63"/>
        <v/>
      </c>
      <c r="I379" s="88" t="str">
        <f t="shared" si="64"/>
        <v/>
      </c>
      <c r="N379" t="str">
        <f t="shared" si="66"/>
        <v>-</v>
      </c>
      <c r="O379" t="str">
        <f t="shared" si="65"/>
        <v/>
      </c>
      <c r="Q379" s="70" t="str">
        <f t="shared" si="67"/>
        <v/>
      </c>
      <c r="R379" t="str">
        <f t="shared" si="68"/>
        <v/>
      </c>
      <c r="S379" s="525" t="str">
        <f t="shared" si="69"/>
        <v/>
      </c>
      <c r="T379" s="87" t="str">
        <f t="shared" si="70"/>
        <v/>
      </c>
      <c r="U379" s="87" t="str">
        <f t="shared" si="71"/>
        <v/>
      </c>
    </row>
    <row r="380" spans="5:21" x14ac:dyDescent="0.25">
      <c r="E380" s="244" t="str">
        <f t="shared" si="60"/>
        <v>-</v>
      </c>
      <c r="F380" t="str">
        <f t="shared" si="61"/>
        <v/>
      </c>
      <c r="G380" s="300" t="str">
        <f t="shared" si="62"/>
        <v/>
      </c>
      <c r="H380" t="str">
        <f t="shared" si="63"/>
        <v/>
      </c>
      <c r="I380" s="88" t="str">
        <f t="shared" si="64"/>
        <v/>
      </c>
      <c r="N380" t="str">
        <f t="shared" si="66"/>
        <v>-</v>
      </c>
      <c r="O380" t="str">
        <f t="shared" si="65"/>
        <v/>
      </c>
      <c r="Q380" s="70" t="str">
        <f t="shared" si="67"/>
        <v/>
      </c>
      <c r="R380" t="str">
        <f t="shared" si="68"/>
        <v/>
      </c>
      <c r="S380" s="525" t="str">
        <f t="shared" si="69"/>
        <v/>
      </c>
      <c r="T380" s="87" t="str">
        <f t="shared" si="70"/>
        <v/>
      </c>
      <c r="U380" s="87" t="str">
        <f t="shared" si="71"/>
        <v/>
      </c>
    </row>
    <row r="381" spans="5:21" x14ac:dyDescent="0.25">
      <c r="E381" s="244" t="str">
        <f t="shared" si="60"/>
        <v>-</v>
      </c>
      <c r="F381" t="str">
        <f t="shared" si="61"/>
        <v/>
      </c>
      <c r="G381" s="300" t="str">
        <f t="shared" si="62"/>
        <v/>
      </c>
      <c r="H381" t="str">
        <f t="shared" si="63"/>
        <v/>
      </c>
      <c r="I381" s="88" t="str">
        <f t="shared" si="64"/>
        <v/>
      </c>
      <c r="N381" t="str">
        <f t="shared" si="66"/>
        <v>-</v>
      </c>
      <c r="O381" t="str">
        <f t="shared" si="65"/>
        <v/>
      </c>
      <c r="Q381" s="70" t="str">
        <f t="shared" si="67"/>
        <v/>
      </c>
      <c r="R381" t="str">
        <f t="shared" si="68"/>
        <v/>
      </c>
      <c r="S381" s="525" t="str">
        <f t="shared" si="69"/>
        <v/>
      </c>
      <c r="T381" s="87" t="str">
        <f t="shared" si="70"/>
        <v/>
      </c>
      <c r="U381" s="87" t="str">
        <f t="shared" si="71"/>
        <v/>
      </c>
    </row>
    <row r="382" spans="5:21" x14ac:dyDescent="0.25">
      <c r="E382" s="244" t="str">
        <f t="shared" si="60"/>
        <v>-</v>
      </c>
      <c r="F382" t="str">
        <f t="shared" si="61"/>
        <v/>
      </c>
      <c r="G382" s="300" t="str">
        <f t="shared" si="62"/>
        <v/>
      </c>
      <c r="H382" t="str">
        <f t="shared" si="63"/>
        <v/>
      </c>
      <c r="I382" s="88" t="str">
        <f t="shared" si="64"/>
        <v/>
      </c>
      <c r="N382" t="str">
        <f t="shared" si="66"/>
        <v>-</v>
      </c>
      <c r="O382" t="str">
        <f t="shared" si="65"/>
        <v/>
      </c>
      <c r="Q382" s="70" t="str">
        <f t="shared" si="67"/>
        <v/>
      </c>
      <c r="R382" t="str">
        <f t="shared" si="68"/>
        <v/>
      </c>
      <c r="S382" s="525" t="str">
        <f t="shared" si="69"/>
        <v/>
      </c>
      <c r="T382" s="87" t="str">
        <f t="shared" si="70"/>
        <v/>
      </c>
      <c r="U382" s="87" t="str">
        <f t="shared" si="71"/>
        <v/>
      </c>
    </row>
    <row r="383" spans="5:21" x14ac:dyDescent="0.25">
      <c r="E383" s="244" t="str">
        <f t="shared" si="60"/>
        <v>-</v>
      </c>
      <c r="F383" t="str">
        <f t="shared" si="61"/>
        <v/>
      </c>
      <c r="G383" s="300" t="str">
        <f t="shared" si="62"/>
        <v/>
      </c>
      <c r="H383" t="str">
        <f t="shared" si="63"/>
        <v/>
      </c>
      <c r="I383" s="88" t="str">
        <f t="shared" si="64"/>
        <v/>
      </c>
      <c r="N383" t="str">
        <f t="shared" si="66"/>
        <v>-</v>
      </c>
      <c r="O383" t="str">
        <f t="shared" si="65"/>
        <v/>
      </c>
      <c r="Q383" s="70" t="str">
        <f t="shared" si="67"/>
        <v/>
      </c>
      <c r="R383" t="str">
        <f t="shared" si="68"/>
        <v/>
      </c>
      <c r="S383" s="525" t="str">
        <f t="shared" si="69"/>
        <v/>
      </c>
      <c r="T383" s="87" t="str">
        <f t="shared" si="70"/>
        <v/>
      </c>
      <c r="U383" s="87" t="str">
        <f t="shared" si="71"/>
        <v/>
      </c>
    </row>
    <row r="384" spans="5:21" x14ac:dyDescent="0.25">
      <c r="E384" s="244" t="str">
        <f t="shared" si="60"/>
        <v>-</v>
      </c>
      <c r="F384" t="str">
        <f t="shared" si="61"/>
        <v/>
      </c>
      <c r="G384" s="300" t="str">
        <f t="shared" si="62"/>
        <v/>
      </c>
      <c r="H384" t="str">
        <f t="shared" si="63"/>
        <v/>
      </c>
      <c r="I384" s="88" t="str">
        <f t="shared" si="64"/>
        <v/>
      </c>
      <c r="N384" t="str">
        <f t="shared" si="66"/>
        <v>-</v>
      </c>
      <c r="O384" t="str">
        <f t="shared" si="65"/>
        <v/>
      </c>
      <c r="Q384" s="70" t="str">
        <f t="shared" si="67"/>
        <v/>
      </c>
      <c r="R384" t="str">
        <f t="shared" si="68"/>
        <v/>
      </c>
      <c r="S384" s="525" t="str">
        <f t="shared" si="69"/>
        <v/>
      </c>
      <c r="T384" s="87" t="str">
        <f t="shared" si="70"/>
        <v/>
      </c>
      <c r="U384" s="87" t="str">
        <f t="shared" si="71"/>
        <v/>
      </c>
    </row>
    <row r="385" spans="5:21" x14ac:dyDescent="0.25">
      <c r="E385" s="244" t="str">
        <f t="shared" si="60"/>
        <v>-</v>
      </c>
      <c r="F385" t="str">
        <f t="shared" si="61"/>
        <v/>
      </c>
      <c r="G385" s="300" t="str">
        <f t="shared" si="62"/>
        <v/>
      </c>
      <c r="H385" t="str">
        <f t="shared" si="63"/>
        <v/>
      </c>
      <c r="I385" s="88" t="str">
        <f t="shared" si="64"/>
        <v/>
      </c>
      <c r="N385" t="str">
        <f t="shared" si="66"/>
        <v>-</v>
      </c>
      <c r="O385" t="str">
        <f t="shared" si="65"/>
        <v/>
      </c>
      <c r="Q385" s="70" t="str">
        <f t="shared" si="67"/>
        <v/>
      </c>
      <c r="R385" t="str">
        <f t="shared" si="68"/>
        <v/>
      </c>
      <c r="S385" s="525" t="str">
        <f t="shared" si="69"/>
        <v/>
      </c>
      <c r="T385" s="87" t="str">
        <f t="shared" si="70"/>
        <v/>
      </c>
      <c r="U385" s="87" t="str">
        <f t="shared" si="71"/>
        <v/>
      </c>
    </row>
    <row r="386" spans="5:21" x14ac:dyDescent="0.25">
      <c r="E386" s="244" t="str">
        <f t="shared" si="60"/>
        <v>-</v>
      </c>
      <c r="F386" t="str">
        <f t="shared" si="61"/>
        <v/>
      </c>
      <c r="G386" s="300" t="str">
        <f t="shared" si="62"/>
        <v/>
      </c>
      <c r="H386" t="str">
        <f t="shared" si="63"/>
        <v/>
      </c>
      <c r="I386" s="88" t="str">
        <f t="shared" si="64"/>
        <v/>
      </c>
      <c r="N386" t="str">
        <f t="shared" si="66"/>
        <v>-</v>
      </c>
      <c r="O386" t="str">
        <f t="shared" si="65"/>
        <v/>
      </c>
      <c r="Q386" s="70" t="str">
        <f t="shared" si="67"/>
        <v/>
      </c>
      <c r="R386" t="str">
        <f t="shared" si="68"/>
        <v/>
      </c>
      <c r="S386" s="525" t="str">
        <f t="shared" si="69"/>
        <v/>
      </c>
      <c r="T386" s="87" t="str">
        <f t="shared" si="70"/>
        <v/>
      </c>
      <c r="U386" s="87" t="str">
        <f t="shared" si="71"/>
        <v/>
      </c>
    </row>
    <row r="387" spans="5:21" x14ac:dyDescent="0.25">
      <c r="E387" s="244" t="str">
        <f t="shared" si="60"/>
        <v>-</v>
      </c>
      <c r="F387" t="str">
        <f t="shared" si="61"/>
        <v/>
      </c>
      <c r="G387" s="300" t="str">
        <f t="shared" si="62"/>
        <v/>
      </c>
      <c r="H387" t="str">
        <f t="shared" si="63"/>
        <v/>
      </c>
      <c r="I387" s="88" t="str">
        <f t="shared" si="64"/>
        <v/>
      </c>
      <c r="N387" t="str">
        <f t="shared" si="66"/>
        <v>-</v>
      </c>
      <c r="O387" t="str">
        <f t="shared" si="65"/>
        <v/>
      </c>
      <c r="Q387" s="70" t="str">
        <f t="shared" si="67"/>
        <v/>
      </c>
      <c r="R387" t="str">
        <f t="shared" si="68"/>
        <v/>
      </c>
      <c r="S387" s="525" t="str">
        <f t="shared" si="69"/>
        <v/>
      </c>
      <c r="T387" s="87" t="str">
        <f t="shared" si="70"/>
        <v/>
      </c>
      <c r="U387" s="87" t="str">
        <f t="shared" si="71"/>
        <v/>
      </c>
    </row>
    <row r="388" spans="5:21" x14ac:dyDescent="0.25">
      <c r="E388" s="244" t="str">
        <f t="shared" ref="E388:E451" si="72">G388&amp;"-"&amp;H388</f>
        <v>-</v>
      </c>
      <c r="F388" t="str">
        <f t="shared" si="61"/>
        <v/>
      </c>
      <c r="G388" s="300" t="str">
        <f t="shared" si="62"/>
        <v/>
      </c>
      <c r="H388" t="str">
        <f t="shared" si="63"/>
        <v/>
      </c>
      <c r="I388" s="88" t="str">
        <f t="shared" si="64"/>
        <v/>
      </c>
      <c r="N388" t="str">
        <f t="shared" si="66"/>
        <v>-</v>
      </c>
      <c r="O388" t="str">
        <f t="shared" si="65"/>
        <v/>
      </c>
      <c r="Q388" s="70" t="str">
        <f t="shared" si="67"/>
        <v/>
      </c>
      <c r="R388" t="str">
        <f t="shared" si="68"/>
        <v/>
      </c>
      <c r="S388" s="525" t="str">
        <f t="shared" si="69"/>
        <v/>
      </c>
      <c r="T388" s="87" t="str">
        <f t="shared" si="70"/>
        <v/>
      </c>
      <c r="U388" s="87" t="str">
        <f t="shared" si="71"/>
        <v/>
      </c>
    </row>
    <row r="389" spans="5:21" x14ac:dyDescent="0.25">
      <c r="E389" s="244" t="str">
        <f t="shared" si="72"/>
        <v>-</v>
      </c>
      <c r="F389" t="str">
        <f t="shared" ref="F389:F452" si="73">IF(A387="Grand Total","",IF(LEN(A387)=4,A387,IF(F388="","",F388)))</f>
        <v/>
      </c>
      <c r="G389" s="300" t="str">
        <f t="shared" ref="G389:G452" si="74">IF(F389=A389,"",F389)</f>
        <v/>
      </c>
      <c r="H389" t="str">
        <f t="shared" si="63"/>
        <v/>
      </c>
      <c r="I389" s="88" t="str">
        <f t="shared" si="64"/>
        <v/>
      </c>
      <c r="N389" t="str">
        <f t="shared" si="66"/>
        <v>-</v>
      </c>
      <c r="O389" t="str">
        <f t="shared" si="65"/>
        <v/>
      </c>
      <c r="Q389" s="70" t="str">
        <f t="shared" si="67"/>
        <v/>
      </c>
      <c r="R389" t="str">
        <f t="shared" si="68"/>
        <v/>
      </c>
      <c r="S389" s="525" t="str">
        <f t="shared" si="69"/>
        <v/>
      </c>
      <c r="T389" s="87" t="str">
        <f t="shared" si="70"/>
        <v/>
      </c>
      <c r="U389" s="87" t="str">
        <f t="shared" si="71"/>
        <v/>
      </c>
    </row>
    <row r="390" spans="5:21" x14ac:dyDescent="0.25">
      <c r="E390" s="244" t="str">
        <f t="shared" si="72"/>
        <v>-</v>
      </c>
      <c r="F390" t="str">
        <f t="shared" si="73"/>
        <v/>
      </c>
      <c r="G390" s="300" t="str">
        <f t="shared" si="74"/>
        <v/>
      </c>
      <c r="H390" t="str">
        <f t="shared" si="63"/>
        <v/>
      </c>
      <c r="I390" s="88" t="str">
        <f t="shared" si="64"/>
        <v/>
      </c>
      <c r="N390" t="str">
        <f t="shared" si="66"/>
        <v>-</v>
      </c>
      <c r="O390" t="str">
        <f t="shared" si="65"/>
        <v/>
      </c>
      <c r="Q390" s="70" t="str">
        <f t="shared" si="67"/>
        <v/>
      </c>
      <c r="R390" t="str">
        <f t="shared" si="68"/>
        <v/>
      </c>
      <c r="S390" s="525" t="str">
        <f t="shared" si="69"/>
        <v/>
      </c>
      <c r="T390" s="87" t="str">
        <f t="shared" si="70"/>
        <v/>
      </c>
      <c r="U390" s="87" t="str">
        <f t="shared" si="71"/>
        <v/>
      </c>
    </row>
    <row r="391" spans="5:21" x14ac:dyDescent="0.25">
      <c r="E391" s="244" t="str">
        <f t="shared" si="72"/>
        <v>-</v>
      </c>
      <c r="F391" t="str">
        <f t="shared" si="73"/>
        <v/>
      </c>
      <c r="G391" s="300" t="str">
        <f t="shared" si="74"/>
        <v/>
      </c>
      <c r="H391" t="str">
        <f t="shared" si="63"/>
        <v/>
      </c>
      <c r="I391" s="88" t="str">
        <f t="shared" si="64"/>
        <v/>
      </c>
      <c r="N391" t="str">
        <f t="shared" si="66"/>
        <v>-</v>
      </c>
      <c r="O391" t="str">
        <f t="shared" si="65"/>
        <v/>
      </c>
      <c r="Q391" s="70" t="str">
        <f t="shared" si="67"/>
        <v/>
      </c>
      <c r="R391" t="str">
        <f t="shared" si="68"/>
        <v/>
      </c>
      <c r="S391" s="525" t="str">
        <f t="shared" si="69"/>
        <v/>
      </c>
      <c r="T391" s="87" t="str">
        <f t="shared" si="70"/>
        <v/>
      </c>
      <c r="U391" s="87" t="str">
        <f t="shared" si="71"/>
        <v/>
      </c>
    </row>
    <row r="392" spans="5:21" x14ac:dyDescent="0.25">
      <c r="E392" s="244" t="str">
        <f t="shared" si="72"/>
        <v>-</v>
      </c>
      <c r="F392" t="str">
        <f t="shared" si="73"/>
        <v/>
      </c>
      <c r="G392" s="300" t="str">
        <f t="shared" si="74"/>
        <v/>
      </c>
      <c r="H392" t="str">
        <f t="shared" ref="H392:H455" si="75">IF(F392="","",IF(F392=G392,A392,""))</f>
        <v/>
      </c>
      <c r="I392" s="88" t="str">
        <f t="shared" ref="I392:I455" si="76">IF(H392="","",B392)</f>
        <v/>
      </c>
      <c r="N392" t="str">
        <f t="shared" si="66"/>
        <v>-</v>
      </c>
      <c r="O392" t="str">
        <f t="shared" si="65"/>
        <v/>
      </c>
      <c r="Q392" s="70" t="str">
        <f t="shared" si="67"/>
        <v/>
      </c>
      <c r="R392" t="str">
        <f t="shared" si="68"/>
        <v/>
      </c>
      <c r="S392" s="525" t="str">
        <f t="shared" si="69"/>
        <v/>
      </c>
      <c r="T392" s="87" t="str">
        <f t="shared" si="70"/>
        <v/>
      </c>
      <c r="U392" s="87" t="str">
        <f t="shared" si="71"/>
        <v/>
      </c>
    </row>
    <row r="393" spans="5:21" x14ac:dyDescent="0.25">
      <c r="E393" s="244" t="str">
        <f t="shared" si="72"/>
        <v>-</v>
      </c>
      <c r="F393" t="str">
        <f t="shared" si="73"/>
        <v/>
      </c>
      <c r="G393" s="300" t="str">
        <f t="shared" si="74"/>
        <v/>
      </c>
      <c r="H393" t="str">
        <f t="shared" si="75"/>
        <v/>
      </c>
      <c r="I393" s="88" t="str">
        <f t="shared" si="76"/>
        <v/>
      </c>
      <c r="N393" t="str">
        <f t="shared" si="66"/>
        <v>-</v>
      </c>
      <c r="O393" t="str">
        <f t="shared" si="65"/>
        <v/>
      </c>
      <c r="Q393" s="70" t="str">
        <f t="shared" si="67"/>
        <v/>
      </c>
      <c r="R393" t="str">
        <f t="shared" si="68"/>
        <v/>
      </c>
      <c r="S393" s="525" t="str">
        <f t="shared" si="69"/>
        <v/>
      </c>
      <c r="T393" s="87" t="str">
        <f t="shared" si="70"/>
        <v/>
      </c>
      <c r="U393" s="87" t="str">
        <f t="shared" si="71"/>
        <v/>
      </c>
    </row>
    <row r="394" spans="5:21" x14ac:dyDescent="0.25">
      <c r="E394" s="244" t="str">
        <f t="shared" si="72"/>
        <v>-</v>
      </c>
      <c r="F394" t="str">
        <f t="shared" si="73"/>
        <v/>
      </c>
      <c r="G394" s="300" t="str">
        <f t="shared" si="74"/>
        <v/>
      </c>
      <c r="H394" t="str">
        <f t="shared" si="75"/>
        <v/>
      </c>
      <c r="I394" s="88" t="str">
        <f t="shared" si="76"/>
        <v/>
      </c>
      <c r="N394" t="str">
        <f t="shared" si="66"/>
        <v>-</v>
      </c>
      <c r="O394" t="str">
        <f t="shared" si="65"/>
        <v/>
      </c>
      <c r="Q394" s="70" t="str">
        <f t="shared" si="67"/>
        <v/>
      </c>
      <c r="R394" t="str">
        <f t="shared" si="68"/>
        <v/>
      </c>
      <c r="S394" s="525" t="str">
        <f t="shared" si="69"/>
        <v/>
      </c>
      <c r="T394" s="87" t="str">
        <f t="shared" si="70"/>
        <v/>
      </c>
      <c r="U394" s="87" t="str">
        <f t="shared" si="71"/>
        <v/>
      </c>
    </row>
    <row r="395" spans="5:21" x14ac:dyDescent="0.25">
      <c r="E395" s="244" t="str">
        <f t="shared" si="72"/>
        <v>-</v>
      </c>
      <c r="F395" t="str">
        <f t="shared" si="73"/>
        <v/>
      </c>
      <c r="G395" s="300" t="str">
        <f t="shared" si="74"/>
        <v/>
      </c>
      <c r="H395" t="str">
        <f t="shared" si="75"/>
        <v/>
      </c>
      <c r="I395" s="88" t="str">
        <f t="shared" si="76"/>
        <v/>
      </c>
      <c r="N395" t="str">
        <f t="shared" si="66"/>
        <v>-</v>
      </c>
      <c r="O395" t="str">
        <f t="shared" si="65"/>
        <v/>
      </c>
      <c r="Q395" s="70" t="str">
        <f t="shared" si="67"/>
        <v/>
      </c>
      <c r="R395" t="str">
        <f t="shared" si="68"/>
        <v/>
      </c>
      <c r="S395" s="525" t="str">
        <f t="shared" si="69"/>
        <v/>
      </c>
      <c r="T395" s="87" t="str">
        <f t="shared" si="70"/>
        <v/>
      </c>
      <c r="U395" s="87" t="str">
        <f t="shared" si="71"/>
        <v/>
      </c>
    </row>
    <row r="396" spans="5:21" x14ac:dyDescent="0.25">
      <c r="E396" s="244" t="str">
        <f t="shared" si="72"/>
        <v>-</v>
      </c>
      <c r="F396" t="str">
        <f t="shared" si="73"/>
        <v/>
      </c>
      <c r="G396" s="300" t="str">
        <f t="shared" si="74"/>
        <v/>
      </c>
      <c r="H396" t="str">
        <f t="shared" si="75"/>
        <v/>
      </c>
      <c r="I396" s="88" t="str">
        <f t="shared" si="76"/>
        <v/>
      </c>
      <c r="N396" t="str">
        <f t="shared" si="66"/>
        <v>-</v>
      </c>
      <c r="O396" t="str">
        <f t="shared" si="65"/>
        <v/>
      </c>
      <c r="Q396" s="70" t="str">
        <f t="shared" si="67"/>
        <v/>
      </c>
      <c r="R396" t="str">
        <f t="shared" si="68"/>
        <v/>
      </c>
      <c r="S396" s="525" t="str">
        <f t="shared" si="69"/>
        <v/>
      </c>
      <c r="T396" s="87" t="str">
        <f t="shared" si="70"/>
        <v/>
      </c>
      <c r="U396" s="87" t="str">
        <f t="shared" si="71"/>
        <v/>
      </c>
    </row>
    <row r="397" spans="5:21" x14ac:dyDescent="0.25">
      <c r="E397" s="244" t="str">
        <f t="shared" si="72"/>
        <v>-</v>
      </c>
      <c r="F397" t="str">
        <f t="shared" si="73"/>
        <v/>
      </c>
      <c r="G397" s="300" t="str">
        <f t="shared" si="74"/>
        <v/>
      </c>
      <c r="H397" t="str">
        <f t="shared" si="75"/>
        <v/>
      </c>
      <c r="I397" s="88" t="str">
        <f t="shared" si="76"/>
        <v/>
      </c>
      <c r="N397" t="str">
        <f t="shared" si="66"/>
        <v>-</v>
      </c>
      <c r="O397" t="str">
        <f t="shared" si="65"/>
        <v/>
      </c>
      <c r="Q397" s="70" t="str">
        <f t="shared" si="67"/>
        <v/>
      </c>
      <c r="R397" t="str">
        <f t="shared" si="68"/>
        <v/>
      </c>
      <c r="S397" s="525" t="str">
        <f t="shared" si="69"/>
        <v/>
      </c>
      <c r="T397" s="87" t="str">
        <f t="shared" si="70"/>
        <v/>
      </c>
      <c r="U397" s="87" t="str">
        <f t="shared" si="71"/>
        <v/>
      </c>
    </row>
    <row r="398" spans="5:21" x14ac:dyDescent="0.25">
      <c r="E398" s="244" t="str">
        <f t="shared" si="72"/>
        <v>-</v>
      </c>
      <c r="F398" t="str">
        <f t="shared" si="73"/>
        <v/>
      </c>
      <c r="G398" s="300" t="str">
        <f t="shared" si="74"/>
        <v/>
      </c>
      <c r="H398" t="str">
        <f t="shared" si="75"/>
        <v/>
      </c>
      <c r="I398" s="88" t="str">
        <f t="shared" si="76"/>
        <v/>
      </c>
      <c r="N398" t="str">
        <f t="shared" si="66"/>
        <v>-</v>
      </c>
      <c r="O398" t="str">
        <f t="shared" ref="O398:O461" si="77">IF(K398="Grand Total","",IF(LEN(K398)=4,K398,IF(O397="","",O397)))</f>
        <v/>
      </c>
      <c r="Q398" s="70" t="str">
        <f t="shared" si="67"/>
        <v/>
      </c>
      <c r="R398" t="str">
        <f t="shared" si="68"/>
        <v/>
      </c>
      <c r="S398" s="525" t="str">
        <f t="shared" si="69"/>
        <v/>
      </c>
      <c r="T398" s="87" t="str">
        <f t="shared" si="70"/>
        <v/>
      </c>
      <c r="U398" s="87" t="str">
        <f t="shared" si="71"/>
        <v/>
      </c>
    </row>
    <row r="399" spans="5:21" x14ac:dyDescent="0.25">
      <c r="E399" s="244" t="str">
        <f t="shared" si="72"/>
        <v>-</v>
      </c>
      <c r="F399" t="str">
        <f t="shared" si="73"/>
        <v/>
      </c>
      <c r="G399" s="300" t="str">
        <f t="shared" si="74"/>
        <v/>
      </c>
      <c r="H399" t="str">
        <f t="shared" si="75"/>
        <v/>
      </c>
      <c r="I399" s="88" t="str">
        <f t="shared" si="76"/>
        <v/>
      </c>
      <c r="N399" t="str">
        <f t="shared" ref="N399:N462" si="78">Q399&amp;"-"&amp;R399</f>
        <v>-</v>
      </c>
      <c r="O399" t="str">
        <f t="shared" si="77"/>
        <v/>
      </c>
      <c r="Q399" s="70" t="str">
        <f t="shared" ref="Q399:Q462" si="79">IF(O399=K399,"",O399)</f>
        <v/>
      </c>
      <c r="R399" t="str">
        <f t="shared" ref="R399:R462" si="80">IF(O399="","",IF(O399=Q399,K399,""))</f>
        <v/>
      </c>
      <c r="S399" s="525" t="str">
        <f t="shared" ref="S399:S462" si="81">IF(R399="","",L399)</f>
        <v/>
      </c>
      <c r="T399" s="87" t="str">
        <f t="shared" ref="T399:T462" si="82">VLOOKUP(N399,$E$4:$I$566,5,FALSE)</f>
        <v/>
      </c>
      <c r="U399" s="87" t="str">
        <f t="shared" ref="U399:U462" si="83">IFERROR(T399/S399,"")</f>
        <v/>
      </c>
    </row>
    <row r="400" spans="5:21" x14ac:dyDescent="0.25">
      <c r="E400" s="244" t="str">
        <f t="shared" si="72"/>
        <v>-</v>
      </c>
      <c r="F400" t="str">
        <f t="shared" si="73"/>
        <v/>
      </c>
      <c r="G400" s="300" t="str">
        <f t="shared" si="74"/>
        <v/>
      </c>
      <c r="H400" t="str">
        <f t="shared" si="75"/>
        <v/>
      </c>
      <c r="I400" s="88" t="str">
        <f t="shared" si="76"/>
        <v/>
      </c>
      <c r="N400" t="str">
        <f t="shared" si="78"/>
        <v>-</v>
      </c>
      <c r="O400" t="str">
        <f t="shared" si="77"/>
        <v/>
      </c>
      <c r="Q400" s="70" t="str">
        <f t="shared" si="79"/>
        <v/>
      </c>
      <c r="R400" t="str">
        <f t="shared" si="80"/>
        <v/>
      </c>
      <c r="S400" s="525" t="str">
        <f t="shared" si="81"/>
        <v/>
      </c>
      <c r="T400" s="87" t="str">
        <f t="shared" si="82"/>
        <v/>
      </c>
      <c r="U400" s="87" t="str">
        <f t="shared" si="83"/>
        <v/>
      </c>
    </row>
    <row r="401" spans="5:21" x14ac:dyDescent="0.25">
      <c r="E401" s="244" t="str">
        <f t="shared" si="72"/>
        <v>-</v>
      </c>
      <c r="F401" t="str">
        <f t="shared" si="73"/>
        <v/>
      </c>
      <c r="G401" s="300" t="str">
        <f t="shared" si="74"/>
        <v/>
      </c>
      <c r="H401" t="str">
        <f t="shared" si="75"/>
        <v/>
      </c>
      <c r="I401" s="88" t="str">
        <f t="shared" si="76"/>
        <v/>
      </c>
      <c r="N401" t="str">
        <f t="shared" si="78"/>
        <v>-</v>
      </c>
      <c r="O401" t="str">
        <f t="shared" si="77"/>
        <v/>
      </c>
      <c r="Q401" s="70" t="str">
        <f t="shared" si="79"/>
        <v/>
      </c>
      <c r="R401" t="str">
        <f t="shared" si="80"/>
        <v/>
      </c>
      <c r="S401" s="525" t="str">
        <f t="shared" si="81"/>
        <v/>
      </c>
      <c r="T401" s="87" t="str">
        <f t="shared" si="82"/>
        <v/>
      </c>
      <c r="U401" s="87" t="str">
        <f t="shared" si="83"/>
        <v/>
      </c>
    </row>
    <row r="402" spans="5:21" x14ac:dyDescent="0.25">
      <c r="E402" s="244" t="str">
        <f t="shared" si="72"/>
        <v>-</v>
      </c>
      <c r="F402" t="str">
        <f t="shared" si="73"/>
        <v/>
      </c>
      <c r="G402" s="300" t="str">
        <f t="shared" si="74"/>
        <v/>
      </c>
      <c r="H402" t="str">
        <f t="shared" si="75"/>
        <v/>
      </c>
      <c r="I402" s="88" t="str">
        <f t="shared" si="76"/>
        <v/>
      </c>
      <c r="N402" t="str">
        <f t="shared" si="78"/>
        <v>-</v>
      </c>
      <c r="O402" t="str">
        <f t="shared" si="77"/>
        <v/>
      </c>
      <c r="Q402" s="70" t="str">
        <f t="shared" si="79"/>
        <v/>
      </c>
      <c r="R402" t="str">
        <f t="shared" si="80"/>
        <v/>
      </c>
      <c r="S402" s="525" t="str">
        <f t="shared" si="81"/>
        <v/>
      </c>
      <c r="T402" s="87" t="str">
        <f t="shared" si="82"/>
        <v/>
      </c>
      <c r="U402" s="87" t="str">
        <f t="shared" si="83"/>
        <v/>
      </c>
    </row>
    <row r="403" spans="5:21" x14ac:dyDescent="0.25">
      <c r="E403" s="244" t="str">
        <f t="shared" si="72"/>
        <v>-</v>
      </c>
      <c r="F403" t="str">
        <f t="shared" si="73"/>
        <v/>
      </c>
      <c r="G403" s="300" t="str">
        <f t="shared" si="74"/>
        <v/>
      </c>
      <c r="H403" t="str">
        <f t="shared" si="75"/>
        <v/>
      </c>
      <c r="I403" s="88" t="str">
        <f t="shared" si="76"/>
        <v/>
      </c>
      <c r="N403" t="str">
        <f t="shared" si="78"/>
        <v>-</v>
      </c>
      <c r="O403" t="str">
        <f t="shared" si="77"/>
        <v/>
      </c>
      <c r="Q403" s="70" t="str">
        <f t="shared" si="79"/>
        <v/>
      </c>
      <c r="R403" t="str">
        <f t="shared" si="80"/>
        <v/>
      </c>
      <c r="S403" s="525" t="str">
        <f t="shared" si="81"/>
        <v/>
      </c>
      <c r="T403" s="87" t="str">
        <f t="shared" si="82"/>
        <v/>
      </c>
      <c r="U403" s="87" t="str">
        <f t="shared" si="83"/>
        <v/>
      </c>
    </row>
    <row r="404" spans="5:21" x14ac:dyDescent="0.25">
      <c r="E404" s="244" t="str">
        <f t="shared" si="72"/>
        <v>-</v>
      </c>
      <c r="F404" t="str">
        <f t="shared" si="73"/>
        <v/>
      </c>
      <c r="G404" s="300" t="str">
        <f t="shared" si="74"/>
        <v/>
      </c>
      <c r="H404" t="str">
        <f t="shared" si="75"/>
        <v/>
      </c>
      <c r="I404" s="88" t="str">
        <f t="shared" si="76"/>
        <v/>
      </c>
      <c r="N404" t="str">
        <f t="shared" si="78"/>
        <v>-</v>
      </c>
      <c r="O404" t="str">
        <f t="shared" si="77"/>
        <v/>
      </c>
      <c r="Q404" s="70" t="str">
        <f t="shared" si="79"/>
        <v/>
      </c>
      <c r="R404" t="str">
        <f t="shared" si="80"/>
        <v/>
      </c>
      <c r="S404" s="525" t="str">
        <f t="shared" si="81"/>
        <v/>
      </c>
      <c r="T404" s="87" t="str">
        <f t="shared" si="82"/>
        <v/>
      </c>
      <c r="U404" s="87" t="str">
        <f t="shared" si="83"/>
        <v/>
      </c>
    </row>
    <row r="405" spans="5:21" x14ac:dyDescent="0.25">
      <c r="E405" s="244" t="str">
        <f t="shared" si="72"/>
        <v>-</v>
      </c>
      <c r="F405" t="str">
        <f t="shared" si="73"/>
        <v/>
      </c>
      <c r="G405" s="300" t="str">
        <f t="shared" si="74"/>
        <v/>
      </c>
      <c r="H405" t="str">
        <f t="shared" si="75"/>
        <v/>
      </c>
      <c r="I405" s="88" t="str">
        <f t="shared" si="76"/>
        <v/>
      </c>
      <c r="N405" t="str">
        <f t="shared" si="78"/>
        <v>-</v>
      </c>
      <c r="O405" t="str">
        <f t="shared" si="77"/>
        <v/>
      </c>
      <c r="Q405" s="70" t="str">
        <f t="shared" si="79"/>
        <v/>
      </c>
      <c r="R405" t="str">
        <f t="shared" si="80"/>
        <v/>
      </c>
      <c r="S405" s="525" t="str">
        <f t="shared" si="81"/>
        <v/>
      </c>
      <c r="T405" s="87" t="str">
        <f t="shared" si="82"/>
        <v/>
      </c>
      <c r="U405" s="87" t="str">
        <f t="shared" si="83"/>
        <v/>
      </c>
    </row>
    <row r="406" spans="5:21" x14ac:dyDescent="0.25">
      <c r="E406" s="244" t="str">
        <f t="shared" si="72"/>
        <v>-</v>
      </c>
      <c r="F406" t="str">
        <f t="shared" si="73"/>
        <v/>
      </c>
      <c r="G406" s="300" t="str">
        <f t="shared" si="74"/>
        <v/>
      </c>
      <c r="H406" t="str">
        <f t="shared" si="75"/>
        <v/>
      </c>
      <c r="I406" s="88" t="str">
        <f t="shared" si="76"/>
        <v/>
      </c>
      <c r="N406" t="str">
        <f t="shared" si="78"/>
        <v>-</v>
      </c>
      <c r="O406" t="str">
        <f t="shared" si="77"/>
        <v/>
      </c>
      <c r="Q406" s="70" t="str">
        <f t="shared" si="79"/>
        <v/>
      </c>
      <c r="R406" t="str">
        <f t="shared" si="80"/>
        <v/>
      </c>
      <c r="S406" s="525" t="str">
        <f t="shared" si="81"/>
        <v/>
      </c>
      <c r="T406" s="87" t="str">
        <f t="shared" si="82"/>
        <v/>
      </c>
      <c r="U406" s="87" t="str">
        <f t="shared" si="83"/>
        <v/>
      </c>
    </row>
    <row r="407" spans="5:21" x14ac:dyDescent="0.25">
      <c r="E407" s="244" t="str">
        <f t="shared" si="72"/>
        <v>-</v>
      </c>
      <c r="F407" t="str">
        <f t="shared" si="73"/>
        <v/>
      </c>
      <c r="G407" s="300" t="str">
        <f t="shared" si="74"/>
        <v/>
      </c>
      <c r="H407" t="str">
        <f t="shared" si="75"/>
        <v/>
      </c>
      <c r="I407" s="88" t="str">
        <f t="shared" si="76"/>
        <v/>
      </c>
      <c r="N407" t="str">
        <f t="shared" si="78"/>
        <v>-</v>
      </c>
      <c r="O407" t="str">
        <f t="shared" si="77"/>
        <v/>
      </c>
      <c r="Q407" s="70" t="str">
        <f t="shared" si="79"/>
        <v/>
      </c>
      <c r="R407" t="str">
        <f t="shared" si="80"/>
        <v/>
      </c>
      <c r="S407" s="525" t="str">
        <f t="shared" si="81"/>
        <v/>
      </c>
      <c r="T407" s="87" t="str">
        <f t="shared" si="82"/>
        <v/>
      </c>
      <c r="U407" s="87" t="str">
        <f t="shared" si="83"/>
        <v/>
      </c>
    </row>
    <row r="408" spans="5:21" x14ac:dyDescent="0.25">
      <c r="E408" s="244" t="str">
        <f t="shared" si="72"/>
        <v>-</v>
      </c>
      <c r="F408" t="str">
        <f t="shared" si="73"/>
        <v/>
      </c>
      <c r="G408" s="300" t="str">
        <f t="shared" si="74"/>
        <v/>
      </c>
      <c r="H408" t="str">
        <f t="shared" si="75"/>
        <v/>
      </c>
      <c r="I408" s="88" t="str">
        <f t="shared" si="76"/>
        <v/>
      </c>
      <c r="N408" t="str">
        <f t="shared" si="78"/>
        <v>-</v>
      </c>
      <c r="O408" t="str">
        <f t="shared" si="77"/>
        <v/>
      </c>
      <c r="Q408" s="70" t="str">
        <f t="shared" si="79"/>
        <v/>
      </c>
      <c r="R408" t="str">
        <f t="shared" si="80"/>
        <v/>
      </c>
      <c r="S408" s="525" t="str">
        <f t="shared" si="81"/>
        <v/>
      </c>
      <c r="T408" s="87" t="str">
        <f t="shared" si="82"/>
        <v/>
      </c>
      <c r="U408" s="87" t="str">
        <f t="shared" si="83"/>
        <v/>
      </c>
    </row>
    <row r="409" spans="5:21" x14ac:dyDescent="0.25">
      <c r="E409" s="244" t="str">
        <f t="shared" si="72"/>
        <v>-</v>
      </c>
      <c r="F409" t="str">
        <f t="shared" si="73"/>
        <v/>
      </c>
      <c r="G409" s="300" t="str">
        <f t="shared" si="74"/>
        <v/>
      </c>
      <c r="H409" t="str">
        <f t="shared" si="75"/>
        <v/>
      </c>
      <c r="I409" s="88" t="str">
        <f t="shared" si="76"/>
        <v/>
      </c>
      <c r="N409" t="str">
        <f t="shared" si="78"/>
        <v>-</v>
      </c>
      <c r="O409" t="str">
        <f t="shared" si="77"/>
        <v/>
      </c>
      <c r="Q409" s="70" t="str">
        <f t="shared" si="79"/>
        <v/>
      </c>
      <c r="R409" t="str">
        <f t="shared" si="80"/>
        <v/>
      </c>
      <c r="S409" s="525" t="str">
        <f t="shared" si="81"/>
        <v/>
      </c>
      <c r="T409" s="87" t="str">
        <f t="shared" si="82"/>
        <v/>
      </c>
      <c r="U409" s="87" t="str">
        <f t="shared" si="83"/>
        <v/>
      </c>
    </row>
    <row r="410" spans="5:21" x14ac:dyDescent="0.25">
      <c r="E410" s="244" t="str">
        <f t="shared" si="72"/>
        <v>-</v>
      </c>
      <c r="F410" t="str">
        <f t="shared" si="73"/>
        <v/>
      </c>
      <c r="G410" s="300" t="str">
        <f t="shared" si="74"/>
        <v/>
      </c>
      <c r="H410" t="str">
        <f t="shared" si="75"/>
        <v/>
      </c>
      <c r="I410" s="88" t="str">
        <f t="shared" si="76"/>
        <v/>
      </c>
      <c r="N410" t="str">
        <f t="shared" si="78"/>
        <v>-</v>
      </c>
      <c r="O410" t="str">
        <f t="shared" si="77"/>
        <v/>
      </c>
      <c r="Q410" s="70" t="str">
        <f t="shared" si="79"/>
        <v/>
      </c>
      <c r="R410" t="str">
        <f t="shared" si="80"/>
        <v/>
      </c>
      <c r="S410" s="525" t="str">
        <f t="shared" si="81"/>
        <v/>
      </c>
      <c r="T410" s="87" t="str">
        <f t="shared" si="82"/>
        <v/>
      </c>
      <c r="U410" s="87" t="str">
        <f t="shared" si="83"/>
        <v/>
      </c>
    </row>
    <row r="411" spans="5:21" x14ac:dyDescent="0.25">
      <c r="E411" s="244" t="str">
        <f t="shared" si="72"/>
        <v>-</v>
      </c>
      <c r="F411" t="str">
        <f t="shared" si="73"/>
        <v/>
      </c>
      <c r="G411" s="300" t="str">
        <f t="shared" si="74"/>
        <v/>
      </c>
      <c r="H411" t="str">
        <f t="shared" si="75"/>
        <v/>
      </c>
      <c r="I411" s="88" t="str">
        <f t="shared" si="76"/>
        <v/>
      </c>
      <c r="N411" t="str">
        <f t="shared" si="78"/>
        <v>-</v>
      </c>
      <c r="O411" t="str">
        <f t="shared" si="77"/>
        <v/>
      </c>
      <c r="Q411" s="70" t="str">
        <f t="shared" si="79"/>
        <v/>
      </c>
      <c r="R411" t="str">
        <f t="shared" si="80"/>
        <v/>
      </c>
      <c r="S411" s="525" t="str">
        <f t="shared" si="81"/>
        <v/>
      </c>
      <c r="T411" s="87" t="str">
        <f t="shared" si="82"/>
        <v/>
      </c>
      <c r="U411" s="87" t="str">
        <f t="shared" si="83"/>
        <v/>
      </c>
    </row>
    <row r="412" spans="5:21" x14ac:dyDescent="0.25">
      <c r="E412" s="244" t="str">
        <f t="shared" si="72"/>
        <v>-</v>
      </c>
      <c r="F412" t="str">
        <f t="shared" si="73"/>
        <v/>
      </c>
      <c r="G412" s="300" t="str">
        <f t="shared" si="74"/>
        <v/>
      </c>
      <c r="H412" t="str">
        <f t="shared" si="75"/>
        <v/>
      </c>
      <c r="I412" s="88" t="str">
        <f t="shared" si="76"/>
        <v/>
      </c>
      <c r="N412" t="str">
        <f t="shared" si="78"/>
        <v>-</v>
      </c>
      <c r="O412" t="str">
        <f t="shared" si="77"/>
        <v/>
      </c>
      <c r="Q412" s="70" t="str">
        <f t="shared" si="79"/>
        <v/>
      </c>
      <c r="R412" t="str">
        <f t="shared" si="80"/>
        <v/>
      </c>
      <c r="S412" s="525" t="str">
        <f t="shared" si="81"/>
        <v/>
      </c>
      <c r="T412" s="87" t="str">
        <f t="shared" si="82"/>
        <v/>
      </c>
      <c r="U412" s="87" t="str">
        <f t="shared" si="83"/>
        <v/>
      </c>
    </row>
    <row r="413" spans="5:21" x14ac:dyDescent="0.25">
      <c r="E413" s="244" t="str">
        <f t="shared" si="72"/>
        <v>-</v>
      </c>
      <c r="F413" t="str">
        <f t="shared" si="73"/>
        <v/>
      </c>
      <c r="G413" s="300" t="str">
        <f t="shared" si="74"/>
        <v/>
      </c>
      <c r="H413" t="str">
        <f t="shared" si="75"/>
        <v/>
      </c>
      <c r="I413" s="88" t="str">
        <f t="shared" si="76"/>
        <v/>
      </c>
      <c r="N413" t="str">
        <f t="shared" si="78"/>
        <v>-</v>
      </c>
      <c r="O413" t="str">
        <f t="shared" si="77"/>
        <v/>
      </c>
      <c r="Q413" s="70" t="str">
        <f t="shared" si="79"/>
        <v/>
      </c>
      <c r="R413" t="str">
        <f t="shared" si="80"/>
        <v/>
      </c>
      <c r="S413" s="525" t="str">
        <f t="shared" si="81"/>
        <v/>
      </c>
      <c r="T413" s="87" t="str">
        <f t="shared" si="82"/>
        <v/>
      </c>
      <c r="U413" s="87" t="str">
        <f t="shared" si="83"/>
        <v/>
      </c>
    </row>
    <row r="414" spans="5:21" x14ac:dyDescent="0.25">
      <c r="E414" s="244" t="str">
        <f t="shared" si="72"/>
        <v>-</v>
      </c>
      <c r="F414" t="str">
        <f t="shared" si="73"/>
        <v/>
      </c>
      <c r="G414" s="300" t="str">
        <f t="shared" si="74"/>
        <v/>
      </c>
      <c r="H414" t="str">
        <f t="shared" si="75"/>
        <v/>
      </c>
      <c r="I414" s="88" t="str">
        <f t="shared" si="76"/>
        <v/>
      </c>
      <c r="N414" t="str">
        <f t="shared" si="78"/>
        <v>-</v>
      </c>
      <c r="O414" t="str">
        <f t="shared" si="77"/>
        <v/>
      </c>
      <c r="Q414" s="70" t="str">
        <f t="shared" si="79"/>
        <v/>
      </c>
      <c r="R414" t="str">
        <f t="shared" si="80"/>
        <v/>
      </c>
      <c r="S414" s="525" t="str">
        <f t="shared" si="81"/>
        <v/>
      </c>
      <c r="T414" s="87" t="str">
        <f t="shared" si="82"/>
        <v/>
      </c>
      <c r="U414" s="87" t="str">
        <f t="shared" si="83"/>
        <v/>
      </c>
    </row>
    <row r="415" spans="5:21" x14ac:dyDescent="0.25">
      <c r="E415" s="244" t="str">
        <f t="shared" si="72"/>
        <v>-</v>
      </c>
      <c r="F415" t="str">
        <f t="shared" si="73"/>
        <v/>
      </c>
      <c r="G415" s="300" t="str">
        <f t="shared" si="74"/>
        <v/>
      </c>
      <c r="H415" t="str">
        <f t="shared" si="75"/>
        <v/>
      </c>
      <c r="I415" s="88" t="str">
        <f t="shared" si="76"/>
        <v/>
      </c>
      <c r="N415" t="str">
        <f t="shared" si="78"/>
        <v>-</v>
      </c>
      <c r="O415" t="str">
        <f t="shared" si="77"/>
        <v/>
      </c>
      <c r="Q415" s="70" t="str">
        <f t="shared" si="79"/>
        <v/>
      </c>
      <c r="R415" t="str">
        <f t="shared" si="80"/>
        <v/>
      </c>
      <c r="S415" s="525" t="str">
        <f t="shared" si="81"/>
        <v/>
      </c>
      <c r="T415" s="87" t="str">
        <f t="shared" si="82"/>
        <v/>
      </c>
      <c r="U415" s="87" t="str">
        <f t="shared" si="83"/>
        <v/>
      </c>
    </row>
    <row r="416" spans="5:21" x14ac:dyDescent="0.25">
      <c r="E416" s="244" t="str">
        <f t="shared" si="72"/>
        <v>-</v>
      </c>
      <c r="F416" t="str">
        <f t="shared" si="73"/>
        <v/>
      </c>
      <c r="G416" s="300" t="str">
        <f t="shared" si="74"/>
        <v/>
      </c>
      <c r="H416" t="str">
        <f t="shared" si="75"/>
        <v/>
      </c>
      <c r="I416" s="88" t="str">
        <f t="shared" si="76"/>
        <v/>
      </c>
      <c r="N416" t="str">
        <f t="shared" si="78"/>
        <v>-</v>
      </c>
      <c r="O416" t="str">
        <f t="shared" si="77"/>
        <v/>
      </c>
      <c r="Q416" s="70" t="str">
        <f t="shared" si="79"/>
        <v/>
      </c>
      <c r="R416" t="str">
        <f t="shared" si="80"/>
        <v/>
      </c>
      <c r="S416" s="525" t="str">
        <f t="shared" si="81"/>
        <v/>
      </c>
      <c r="T416" s="87" t="str">
        <f t="shared" si="82"/>
        <v/>
      </c>
      <c r="U416" s="87" t="str">
        <f t="shared" si="83"/>
        <v/>
      </c>
    </row>
    <row r="417" spans="5:21" x14ac:dyDescent="0.25">
      <c r="E417" s="244" t="str">
        <f t="shared" si="72"/>
        <v>-</v>
      </c>
      <c r="F417" t="str">
        <f t="shared" si="73"/>
        <v/>
      </c>
      <c r="G417" s="300" t="str">
        <f t="shared" si="74"/>
        <v/>
      </c>
      <c r="H417" t="str">
        <f t="shared" si="75"/>
        <v/>
      </c>
      <c r="I417" s="88" t="str">
        <f t="shared" si="76"/>
        <v/>
      </c>
      <c r="N417" t="str">
        <f t="shared" si="78"/>
        <v>-</v>
      </c>
      <c r="O417" t="str">
        <f t="shared" si="77"/>
        <v/>
      </c>
      <c r="Q417" s="70" t="str">
        <f t="shared" si="79"/>
        <v/>
      </c>
      <c r="R417" t="str">
        <f t="shared" si="80"/>
        <v/>
      </c>
      <c r="S417" s="525" t="str">
        <f t="shared" si="81"/>
        <v/>
      </c>
      <c r="T417" s="87" t="str">
        <f t="shared" si="82"/>
        <v/>
      </c>
      <c r="U417" s="87" t="str">
        <f t="shared" si="83"/>
        <v/>
      </c>
    </row>
    <row r="418" spans="5:21" x14ac:dyDescent="0.25">
      <c r="E418" s="244" t="str">
        <f t="shared" si="72"/>
        <v>-</v>
      </c>
      <c r="F418" t="str">
        <f t="shared" si="73"/>
        <v/>
      </c>
      <c r="G418" s="300" t="str">
        <f t="shared" si="74"/>
        <v/>
      </c>
      <c r="H418" t="str">
        <f t="shared" si="75"/>
        <v/>
      </c>
      <c r="I418" s="88" t="str">
        <f t="shared" si="76"/>
        <v/>
      </c>
      <c r="N418" t="str">
        <f t="shared" si="78"/>
        <v>-</v>
      </c>
      <c r="O418" t="str">
        <f t="shared" si="77"/>
        <v/>
      </c>
      <c r="Q418" s="70" t="str">
        <f t="shared" si="79"/>
        <v/>
      </c>
      <c r="R418" t="str">
        <f t="shared" si="80"/>
        <v/>
      </c>
      <c r="S418" s="525" t="str">
        <f t="shared" si="81"/>
        <v/>
      </c>
      <c r="T418" s="87" t="str">
        <f t="shared" si="82"/>
        <v/>
      </c>
      <c r="U418" s="87" t="str">
        <f t="shared" si="83"/>
        <v/>
      </c>
    </row>
    <row r="419" spans="5:21" x14ac:dyDescent="0.25">
      <c r="E419" s="244" t="str">
        <f t="shared" si="72"/>
        <v>-</v>
      </c>
      <c r="F419" t="str">
        <f t="shared" si="73"/>
        <v/>
      </c>
      <c r="G419" s="300" t="str">
        <f t="shared" si="74"/>
        <v/>
      </c>
      <c r="H419" t="str">
        <f t="shared" si="75"/>
        <v/>
      </c>
      <c r="I419" s="88" t="str">
        <f t="shared" si="76"/>
        <v/>
      </c>
      <c r="N419" t="str">
        <f t="shared" si="78"/>
        <v>-</v>
      </c>
      <c r="O419" t="str">
        <f t="shared" si="77"/>
        <v/>
      </c>
      <c r="Q419" s="70" t="str">
        <f t="shared" si="79"/>
        <v/>
      </c>
      <c r="R419" t="str">
        <f t="shared" si="80"/>
        <v/>
      </c>
      <c r="S419" s="525" t="str">
        <f t="shared" si="81"/>
        <v/>
      </c>
      <c r="T419" s="87" t="str">
        <f t="shared" si="82"/>
        <v/>
      </c>
      <c r="U419" s="87" t="str">
        <f t="shared" si="83"/>
        <v/>
      </c>
    </row>
    <row r="420" spans="5:21" x14ac:dyDescent="0.25">
      <c r="E420" s="244" t="str">
        <f t="shared" si="72"/>
        <v>-</v>
      </c>
      <c r="F420" t="str">
        <f t="shared" si="73"/>
        <v/>
      </c>
      <c r="G420" s="300" t="str">
        <f t="shared" si="74"/>
        <v/>
      </c>
      <c r="H420" t="str">
        <f t="shared" si="75"/>
        <v/>
      </c>
      <c r="I420" s="88" t="str">
        <f t="shared" si="76"/>
        <v/>
      </c>
      <c r="N420" t="str">
        <f t="shared" si="78"/>
        <v>-</v>
      </c>
      <c r="O420" t="str">
        <f t="shared" si="77"/>
        <v/>
      </c>
      <c r="Q420" s="70" t="str">
        <f t="shared" si="79"/>
        <v/>
      </c>
      <c r="R420" t="str">
        <f t="shared" si="80"/>
        <v/>
      </c>
      <c r="S420" s="525" t="str">
        <f t="shared" si="81"/>
        <v/>
      </c>
      <c r="T420" s="87" t="str">
        <f t="shared" si="82"/>
        <v/>
      </c>
      <c r="U420" s="87" t="str">
        <f t="shared" si="83"/>
        <v/>
      </c>
    </row>
    <row r="421" spans="5:21" x14ac:dyDescent="0.25">
      <c r="E421" s="244" t="str">
        <f t="shared" si="72"/>
        <v>-</v>
      </c>
      <c r="F421" t="str">
        <f t="shared" si="73"/>
        <v/>
      </c>
      <c r="G421" s="300" t="str">
        <f t="shared" si="74"/>
        <v/>
      </c>
      <c r="H421" t="str">
        <f t="shared" si="75"/>
        <v/>
      </c>
      <c r="I421" s="88" t="str">
        <f t="shared" si="76"/>
        <v/>
      </c>
      <c r="N421" t="str">
        <f t="shared" si="78"/>
        <v>-</v>
      </c>
      <c r="O421" t="str">
        <f t="shared" si="77"/>
        <v/>
      </c>
      <c r="Q421" s="70" t="str">
        <f t="shared" si="79"/>
        <v/>
      </c>
      <c r="R421" t="str">
        <f t="shared" si="80"/>
        <v/>
      </c>
      <c r="S421" s="525" t="str">
        <f t="shared" si="81"/>
        <v/>
      </c>
      <c r="T421" s="87" t="str">
        <f t="shared" si="82"/>
        <v/>
      </c>
      <c r="U421" s="87" t="str">
        <f t="shared" si="83"/>
        <v/>
      </c>
    </row>
    <row r="422" spans="5:21" x14ac:dyDescent="0.25">
      <c r="E422" s="244" t="str">
        <f t="shared" si="72"/>
        <v>-</v>
      </c>
      <c r="F422" t="str">
        <f t="shared" si="73"/>
        <v/>
      </c>
      <c r="G422" s="300" t="str">
        <f t="shared" si="74"/>
        <v/>
      </c>
      <c r="H422" t="str">
        <f t="shared" si="75"/>
        <v/>
      </c>
      <c r="I422" s="88" t="str">
        <f t="shared" si="76"/>
        <v/>
      </c>
      <c r="N422" t="str">
        <f t="shared" si="78"/>
        <v>-</v>
      </c>
      <c r="O422" t="str">
        <f t="shared" si="77"/>
        <v/>
      </c>
      <c r="Q422" s="70" t="str">
        <f t="shared" si="79"/>
        <v/>
      </c>
      <c r="R422" t="str">
        <f t="shared" si="80"/>
        <v/>
      </c>
      <c r="S422" s="525" t="str">
        <f t="shared" si="81"/>
        <v/>
      </c>
      <c r="T422" s="87" t="str">
        <f t="shared" si="82"/>
        <v/>
      </c>
      <c r="U422" s="87" t="str">
        <f t="shared" si="83"/>
        <v/>
      </c>
    </row>
    <row r="423" spans="5:21" x14ac:dyDescent="0.25">
      <c r="E423" s="244" t="str">
        <f t="shared" si="72"/>
        <v>-</v>
      </c>
      <c r="F423" t="str">
        <f t="shared" si="73"/>
        <v/>
      </c>
      <c r="G423" s="300" t="str">
        <f t="shared" si="74"/>
        <v/>
      </c>
      <c r="H423" t="str">
        <f t="shared" si="75"/>
        <v/>
      </c>
      <c r="I423" s="88" t="str">
        <f t="shared" si="76"/>
        <v/>
      </c>
      <c r="N423" t="str">
        <f t="shared" si="78"/>
        <v>-</v>
      </c>
      <c r="O423" t="str">
        <f t="shared" si="77"/>
        <v/>
      </c>
      <c r="Q423" s="70" t="str">
        <f t="shared" si="79"/>
        <v/>
      </c>
      <c r="R423" t="str">
        <f t="shared" si="80"/>
        <v/>
      </c>
      <c r="S423" s="525" t="str">
        <f t="shared" si="81"/>
        <v/>
      </c>
      <c r="T423" s="87" t="str">
        <f t="shared" si="82"/>
        <v/>
      </c>
      <c r="U423" s="87" t="str">
        <f t="shared" si="83"/>
        <v/>
      </c>
    </row>
    <row r="424" spans="5:21" x14ac:dyDescent="0.25">
      <c r="E424" s="244" t="str">
        <f t="shared" si="72"/>
        <v>-</v>
      </c>
      <c r="F424" t="str">
        <f t="shared" si="73"/>
        <v/>
      </c>
      <c r="G424" s="300" t="str">
        <f t="shared" si="74"/>
        <v/>
      </c>
      <c r="H424" t="str">
        <f t="shared" si="75"/>
        <v/>
      </c>
      <c r="I424" s="88" t="str">
        <f t="shared" si="76"/>
        <v/>
      </c>
      <c r="N424" t="str">
        <f t="shared" si="78"/>
        <v>-</v>
      </c>
      <c r="O424" t="str">
        <f t="shared" si="77"/>
        <v/>
      </c>
      <c r="Q424" s="70" t="str">
        <f t="shared" si="79"/>
        <v/>
      </c>
      <c r="R424" t="str">
        <f t="shared" si="80"/>
        <v/>
      </c>
      <c r="S424" s="525" t="str">
        <f t="shared" si="81"/>
        <v/>
      </c>
      <c r="T424" s="87" t="str">
        <f t="shared" si="82"/>
        <v/>
      </c>
      <c r="U424" s="87" t="str">
        <f t="shared" si="83"/>
        <v/>
      </c>
    </row>
    <row r="425" spans="5:21" x14ac:dyDescent="0.25">
      <c r="E425" s="244" t="str">
        <f t="shared" si="72"/>
        <v>-</v>
      </c>
      <c r="F425" t="str">
        <f t="shared" si="73"/>
        <v/>
      </c>
      <c r="G425" s="300" t="str">
        <f t="shared" si="74"/>
        <v/>
      </c>
      <c r="H425" t="str">
        <f t="shared" si="75"/>
        <v/>
      </c>
      <c r="I425" s="88" t="str">
        <f t="shared" si="76"/>
        <v/>
      </c>
      <c r="N425" t="str">
        <f t="shared" si="78"/>
        <v>-</v>
      </c>
      <c r="O425" t="str">
        <f t="shared" si="77"/>
        <v/>
      </c>
      <c r="Q425" s="70" t="str">
        <f t="shared" si="79"/>
        <v/>
      </c>
      <c r="R425" t="str">
        <f t="shared" si="80"/>
        <v/>
      </c>
      <c r="S425" s="525" t="str">
        <f t="shared" si="81"/>
        <v/>
      </c>
      <c r="T425" s="87" t="str">
        <f t="shared" si="82"/>
        <v/>
      </c>
      <c r="U425" s="87" t="str">
        <f t="shared" si="83"/>
        <v/>
      </c>
    </row>
    <row r="426" spans="5:21" x14ac:dyDescent="0.25">
      <c r="E426" s="244" t="str">
        <f t="shared" si="72"/>
        <v>-</v>
      </c>
      <c r="F426" t="str">
        <f t="shared" si="73"/>
        <v/>
      </c>
      <c r="G426" s="300" t="str">
        <f t="shared" si="74"/>
        <v/>
      </c>
      <c r="H426" t="str">
        <f t="shared" si="75"/>
        <v/>
      </c>
      <c r="I426" s="88" t="str">
        <f t="shared" si="76"/>
        <v/>
      </c>
      <c r="N426" t="str">
        <f t="shared" si="78"/>
        <v>-</v>
      </c>
      <c r="O426" t="str">
        <f t="shared" si="77"/>
        <v/>
      </c>
      <c r="Q426" s="70" t="str">
        <f t="shared" si="79"/>
        <v/>
      </c>
      <c r="R426" t="str">
        <f t="shared" si="80"/>
        <v/>
      </c>
      <c r="S426" s="525" t="str">
        <f t="shared" si="81"/>
        <v/>
      </c>
      <c r="T426" s="87" t="str">
        <f t="shared" si="82"/>
        <v/>
      </c>
      <c r="U426" s="87" t="str">
        <f t="shared" si="83"/>
        <v/>
      </c>
    </row>
    <row r="427" spans="5:21" x14ac:dyDescent="0.25">
      <c r="E427" s="244" t="str">
        <f t="shared" si="72"/>
        <v>-</v>
      </c>
      <c r="F427" t="str">
        <f t="shared" si="73"/>
        <v/>
      </c>
      <c r="G427" s="300" t="str">
        <f t="shared" si="74"/>
        <v/>
      </c>
      <c r="H427" t="str">
        <f t="shared" si="75"/>
        <v/>
      </c>
      <c r="I427" s="88" t="str">
        <f t="shared" si="76"/>
        <v/>
      </c>
      <c r="N427" t="str">
        <f t="shared" si="78"/>
        <v>-</v>
      </c>
      <c r="O427" t="str">
        <f t="shared" si="77"/>
        <v/>
      </c>
      <c r="Q427" s="70" t="str">
        <f t="shared" si="79"/>
        <v/>
      </c>
      <c r="R427" t="str">
        <f t="shared" si="80"/>
        <v/>
      </c>
      <c r="S427" s="525" t="str">
        <f t="shared" si="81"/>
        <v/>
      </c>
      <c r="T427" s="87" t="str">
        <f t="shared" si="82"/>
        <v/>
      </c>
      <c r="U427" s="87" t="str">
        <f t="shared" si="83"/>
        <v/>
      </c>
    </row>
    <row r="428" spans="5:21" x14ac:dyDescent="0.25">
      <c r="E428" s="244" t="str">
        <f t="shared" si="72"/>
        <v>-</v>
      </c>
      <c r="F428" t="str">
        <f t="shared" si="73"/>
        <v/>
      </c>
      <c r="G428" s="300" t="str">
        <f t="shared" si="74"/>
        <v/>
      </c>
      <c r="H428" t="str">
        <f t="shared" si="75"/>
        <v/>
      </c>
      <c r="I428" s="88" t="str">
        <f t="shared" si="76"/>
        <v/>
      </c>
      <c r="N428" t="str">
        <f t="shared" si="78"/>
        <v>-</v>
      </c>
      <c r="O428" t="str">
        <f t="shared" si="77"/>
        <v/>
      </c>
      <c r="Q428" s="70" t="str">
        <f t="shared" si="79"/>
        <v/>
      </c>
      <c r="R428" t="str">
        <f t="shared" si="80"/>
        <v/>
      </c>
      <c r="S428" s="525" t="str">
        <f t="shared" si="81"/>
        <v/>
      </c>
      <c r="T428" s="87" t="str">
        <f t="shared" si="82"/>
        <v/>
      </c>
      <c r="U428" s="87" t="str">
        <f t="shared" si="83"/>
        <v/>
      </c>
    </row>
    <row r="429" spans="5:21" x14ac:dyDescent="0.25">
      <c r="E429" s="244" t="str">
        <f t="shared" si="72"/>
        <v>-</v>
      </c>
      <c r="F429" t="str">
        <f t="shared" si="73"/>
        <v/>
      </c>
      <c r="G429" s="300" t="str">
        <f t="shared" si="74"/>
        <v/>
      </c>
      <c r="H429" t="str">
        <f t="shared" si="75"/>
        <v/>
      </c>
      <c r="I429" s="88" t="str">
        <f t="shared" si="76"/>
        <v/>
      </c>
      <c r="N429" t="str">
        <f t="shared" si="78"/>
        <v>-</v>
      </c>
      <c r="O429" t="str">
        <f t="shared" si="77"/>
        <v/>
      </c>
      <c r="Q429" s="70" t="str">
        <f t="shared" si="79"/>
        <v/>
      </c>
      <c r="R429" t="str">
        <f t="shared" si="80"/>
        <v/>
      </c>
      <c r="S429" s="525" t="str">
        <f t="shared" si="81"/>
        <v/>
      </c>
      <c r="T429" s="87" t="str">
        <f t="shared" si="82"/>
        <v/>
      </c>
      <c r="U429" s="87" t="str">
        <f t="shared" si="83"/>
        <v/>
      </c>
    </row>
    <row r="430" spans="5:21" x14ac:dyDescent="0.25">
      <c r="E430" s="244" t="str">
        <f t="shared" si="72"/>
        <v>-</v>
      </c>
      <c r="F430" t="str">
        <f t="shared" si="73"/>
        <v/>
      </c>
      <c r="G430" s="300" t="str">
        <f t="shared" si="74"/>
        <v/>
      </c>
      <c r="H430" t="str">
        <f t="shared" si="75"/>
        <v/>
      </c>
      <c r="I430" s="88" t="str">
        <f t="shared" si="76"/>
        <v/>
      </c>
      <c r="N430" t="str">
        <f t="shared" si="78"/>
        <v>-</v>
      </c>
      <c r="O430" t="str">
        <f t="shared" si="77"/>
        <v/>
      </c>
      <c r="Q430" s="70" t="str">
        <f t="shared" si="79"/>
        <v/>
      </c>
      <c r="R430" t="str">
        <f t="shared" si="80"/>
        <v/>
      </c>
      <c r="S430" s="525" t="str">
        <f t="shared" si="81"/>
        <v/>
      </c>
      <c r="T430" s="87" t="str">
        <f t="shared" si="82"/>
        <v/>
      </c>
      <c r="U430" s="87" t="str">
        <f t="shared" si="83"/>
        <v/>
      </c>
    </row>
    <row r="431" spans="5:21" x14ac:dyDescent="0.25">
      <c r="E431" s="244" t="str">
        <f t="shared" si="72"/>
        <v>-</v>
      </c>
      <c r="F431" t="str">
        <f t="shared" si="73"/>
        <v/>
      </c>
      <c r="G431" s="300" t="str">
        <f t="shared" si="74"/>
        <v/>
      </c>
      <c r="H431" t="str">
        <f t="shared" si="75"/>
        <v/>
      </c>
      <c r="I431" s="88" t="str">
        <f t="shared" si="76"/>
        <v/>
      </c>
      <c r="N431" t="str">
        <f t="shared" si="78"/>
        <v>-</v>
      </c>
      <c r="O431" t="str">
        <f t="shared" si="77"/>
        <v/>
      </c>
      <c r="Q431" s="70" t="str">
        <f t="shared" si="79"/>
        <v/>
      </c>
      <c r="R431" t="str">
        <f t="shared" si="80"/>
        <v/>
      </c>
      <c r="S431" s="525" t="str">
        <f t="shared" si="81"/>
        <v/>
      </c>
      <c r="T431" s="87" t="str">
        <f t="shared" si="82"/>
        <v/>
      </c>
      <c r="U431" s="87" t="str">
        <f t="shared" si="83"/>
        <v/>
      </c>
    </row>
    <row r="432" spans="5:21" x14ac:dyDescent="0.25">
      <c r="E432" s="244" t="str">
        <f t="shared" si="72"/>
        <v>-</v>
      </c>
      <c r="F432" t="str">
        <f t="shared" si="73"/>
        <v/>
      </c>
      <c r="G432" s="300" t="str">
        <f t="shared" si="74"/>
        <v/>
      </c>
      <c r="H432" t="str">
        <f t="shared" si="75"/>
        <v/>
      </c>
      <c r="I432" s="88" t="str">
        <f t="shared" si="76"/>
        <v/>
      </c>
      <c r="N432" t="str">
        <f t="shared" si="78"/>
        <v>-</v>
      </c>
      <c r="O432" t="str">
        <f t="shared" si="77"/>
        <v/>
      </c>
      <c r="Q432" s="70" t="str">
        <f t="shared" si="79"/>
        <v/>
      </c>
      <c r="R432" t="str">
        <f t="shared" si="80"/>
        <v/>
      </c>
      <c r="S432" s="525" t="str">
        <f t="shared" si="81"/>
        <v/>
      </c>
      <c r="T432" s="87" t="str">
        <f t="shared" si="82"/>
        <v/>
      </c>
      <c r="U432" s="87" t="str">
        <f t="shared" si="83"/>
        <v/>
      </c>
    </row>
    <row r="433" spans="5:21" x14ac:dyDescent="0.25">
      <c r="E433" s="244" t="str">
        <f t="shared" si="72"/>
        <v>-</v>
      </c>
      <c r="F433" t="str">
        <f t="shared" si="73"/>
        <v/>
      </c>
      <c r="G433" s="300" t="str">
        <f t="shared" si="74"/>
        <v/>
      </c>
      <c r="H433" t="str">
        <f t="shared" si="75"/>
        <v/>
      </c>
      <c r="I433" s="88" t="str">
        <f t="shared" si="76"/>
        <v/>
      </c>
      <c r="N433" t="str">
        <f t="shared" si="78"/>
        <v>-</v>
      </c>
      <c r="O433" t="str">
        <f t="shared" si="77"/>
        <v/>
      </c>
      <c r="Q433" s="70" t="str">
        <f t="shared" si="79"/>
        <v/>
      </c>
      <c r="R433" t="str">
        <f t="shared" si="80"/>
        <v/>
      </c>
      <c r="S433" s="525" t="str">
        <f t="shared" si="81"/>
        <v/>
      </c>
      <c r="T433" s="87" t="str">
        <f t="shared" si="82"/>
        <v/>
      </c>
      <c r="U433" s="87" t="str">
        <f t="shared" si="83"/>
        <v/>
      </c>
    </row>
    <row r="434" spans="5:21" x14ac:dyDescent="0.25">
      <c r="E434" s="244" t="str">
        <f t="shared" si="72"/>
        <v>-</v>
      </c>
      <c r="F434" t="str">
        <f t="shared" si="73"/>
        <v/>
      </c>
      <c r="G434" s="300" t="str">
        <f t="shared" si="74"/>
        <v/>
      </c>
      <c r="H434" t="str">
        <f t="shared" si="75"/>
        <v/>
      </c>
      <c r="I434" s="88" t="str">
        <f t="shared" si="76"/>
        <v/>
      </c>
      <c r="N434" t="str">
        <f t="shared" si="78"/>
        <v>-</v>
      </c>
      <c r="O434" t="str">
        <f t="shared" si="77"/>
        <v/>
      </c>
      <c r="Q434" s="70" t="str">
        <f t="shared" si="79"/>
        <v/>
      </c>
      <c r="R434" t="str">
        <f t="shared" si="80"/>
        <v/>
      </c>
      <c r="S434" s="525" t="str">
        <f t="shared" si="81"/>
        <v/>
      </c>
      <c r="T434" s="87" t="str">
        <f t="shared" si="82"/>
        <v/>
      </c>
      <c r="U434" s="87" t="str">
        <f t="shared" si="83"/>
        <v/>
      </c>
    </row>
    <row r="435" spans="5:21" x14ac:dyDescent="0.25">
      <c r="E435" s="244" t="str">
        <f t="shared" si="72"/>
        <v>-</v>
      </c>
      <c r="F435" t="str">
        <f t="shared" si="73"/>
        <v/>
      </c>
      <c r="G435" s="300" t="str">
        <f t="shared" si="74"/>
        <v/>
      </c>
      <c r="H435" t="str">
        <f t="shared" si="75"/>
        <v/>
      </c>
      <c r="I435" s="88" t="str">
        <f t="shared" si="76"/>
        <v/>
      </c>
      <c r="N435" t="str">
        <f t="shared" si="78"/>
        <v>-</v>
      </c>
      <c r="O435" t="str">
        <f t="shared" si="77"/>
        <v/>
      </c>
      <c r="Q435" s="70" t="str">
        <f t="shared" si="79"/>
        <v/>
      </c>
      <c r="R435" t="str">
        <f t="shared" si="80"/>
        <v/>
      </c>
      <c r="S435" s="525" t="str">
        <f t="shared" si="81"/>
        <v/>
      </c>
      <c r="T435" s="87" t="str">
        <f t="shared" si="82"/>
        <v/>
      </c>
      <c r="U435" s="87" t="str">
        <f t="shared" si="83"/>
        <v/>
      </c>
    </row>
    <row r="436" spans="5:21" x14ac:dyDescent="0.25">
      <c r="E436" s="244" t="str">
        <f t="shared" si="72"/>
        <v>-</v>
      </c>
      <c r="F436" t="str">
        <f t="shared" si="73"/>
        <v/>
      </c>
      <c r="G436" s="300" t="str">
        <f t="shared" si="74"/>
        <v/>
      </c>
      <c r="H436" t="str">
        <f t="shared" si="75"/>
        <v/>
      </c>
      <c r="I436" s="88" t="str">
        <f t="shared" si="76"/>
        <v/>
      </c>
      <c r="N436" t="str">
        <f t="shared" si="78"/>
        <v>-</v>
      </c>
      <c r="O436" t="str">
        <f t="shared" si="77"/>
        <v/>
      </c>
      <c r="Q436" s="70" t="str">
        <f t="shared" si="79"/>
        <v/>
      </c>
      <c r="R436" t="str">
        <f t="shared" si="80"/>
        <v/>
      </c>
      <c r="S436" s="525" t="str">
        <f t="shared" si="81"/>
        <v/>
      </c>
      <c r="T436" s="87" t="str">
        <f t="shared" si="82"/>
        <v/>
      </c>
      <c r="U436" s="87" t="str">
        <f t="shared" si="83"/>
        <v/>
      </c>
    </row>
    <row r="437" spans="5:21" x14ac:dyDescent="0.25">
      <c r="E437" s="244" t="str">
        <f t="shared" si="72"/>
        <v>-</v>
      </c>
      <c r="F437" t="str">
        <f t="shared" si="73"/>
        <v/>
      </c>
      <c r="G437" s="300" t="str">
        <f t="shared" si="74"/>
        <v/>
      </c>
      <c r="H437" t="str">
        <f t="shared" si="75"/>
        <v/>
      </c>
      <c r="I437" s="88" t="str">
        <f t="shared" si="76"/>
        <v/>
      </c>
      <c r="N437" t="str">
        <f t="shared" si="78"/>
        <v>-</v>
      </c>
      <c r="O437" t="str">
        <f t="shared" si="77"/>
        <v/>
      </c>
      <c r="Q437" s="70" t="str">
        <f t="shared" si="79"/>
        <v/>
      </c>
      <c r="R437" t="str">
        <f t="shared" si="80"/>
        <v/>
      </c>
      <c r="S437" s="525" t="str">
        <f t="shared" si="81"/>
        <v/>
      </c>
      <c r="T437" s="87" t="str">
        <f t="shared" si="82"/>
        <v/>
      </c>
      <c r="U437" s="87" t="str">
        <f t="shared" si="83"/>
        <v/>
      </c>
    </row>
    <row r="438" spans="5:21" x14ac:dyDescent="0.25">
      <c r="E438" s="244" t="str">
        <f t="shared" si="72"/>
        <v>-</v>
      </c>
      <c r="F438" t="str">
        <f t="shared" si="73"/>
        <v/>
      </c>
      <c r="G438" s="300" t="str">
        <f t="shared" si="74"/>
        <v/>
      </c>
      <c r="H438" t="str">
        <f t="shared" si="75"/>
        <v/>
      </c>
      <c r="I438" s="88" t="str">
        <f t="shared" si="76"/>
        <v/>
      </c>
      <c r="N438" t="str">
        <f t="shared" si="78"/>
        <v>-</v>
      </c>
      <c r="O438" t="str">
        <f t="shared" si="77"/>
        <v/>
      </c>
      <c r="Q438" s="70" t="str">
        <f t="shared" si="79"/>
        <v/>
      </c>
      <c r="R438" t="str">
        <f t="shared" si="80"/>
        <v/>
      </c>
      <c r="S438" s="525" t="str">
        <f t="shared" si="81"/>
        <v/>
      </c>
      <c r="T438" s="87" t="str">
        <f t="shared" si="82"/>
        <v/>
      </c>
      <c r="U438" s="87" t="str">
        <f t="shared" si="83"/>
        <v/>
      </c>
    </row>
    <row r="439" spans="5:21" x14ac:dyDescent="0.25">
      <c r="E439" s="244" t="str">
        <f t="shared" si="72"/>
        <v>-</v>
      </c>
      <c r="F439" t="str">
        <f t="shared" si="73"/>
        <v/>
      </c>
      <c r="G439" s="300" t="str">
        <f t="shared" si="74"/>
        <v/>
      </c>
      <c r="H439" t="str">
        <f t="shared" si="75"/>
        <v/>
      </c>
      <c r="I439" s="88" t="str">
        <f t="shared" si="76"/>
        <v/>
      </c>
      <c r="N439" t="str">
        <f t="shared" si="78"/>
        <v>-</v>
      </c>
      <c r="O439" t="str">
        <f t="shared" si="77"/>
        <v/>
      </c>
      <c r="Q439" s="70" t="str">
        <f t="shared" si="79"/>
        <v/>
      </c>
      <c r="R439" t="str">
        <f t="shared" si="80"/>
        <v/>
      </c>
      <c r="S439" s="525" t="str">
        <f t="shared" si="81"/>
        <v/>
      </c>
      <c r="T439" s="87" t="str">
        <f t="shared" si="82"/>
        <v/>
      </c>
      <c r="U439" s="87" t="str">
        <f t="shared" si="83"/>
        <v/>
      </c>
    </row>
    <row r="440" spans="5:21" x14ac:dyDescent="0.25">
      <c r="E440" s="244" t="str">
        <f t="shared" si="72"/>
        <v>-</v>
      </c>
      <c r="F440" t="str">
        <f t="shared" si="73"/>
        <v/>
      </c>
      <c r="G440" s="300" t="str">
        <f t="shared" si="74"/>
        <v/>
      </c>
      <c r="H440" t="str">
        <f t="shared" si="75"/>
        <v/>
      </c>
      <c r="I440" s="88" t="str">
        <f t="shared" si="76"/>
        <v/>
      </c>
      <c r="N440" t="str">
        <f t="shared" si="78"/>
        <v>-</v>
      </c>
      <c r="O440" t="str">
        <f t="shared" si="77"/>
        <v/>
      </c>
      <c r="Q440" s="70" t="str">
        <f t="shared" si="79"/>
        <v/>
      </c>
      <c r="R440" t="str">
        <f t="shared" si="80"/>
        <v/>
      </c>
      <c r="S440" s="525" t="str">
        <f t="shared" si="81"/>
        <v/>
      </c>
      <c r="T440" s="87" t="str">
        <f t="shared" si="82"/>
        <v/>
      </c>
      <c r="U440" s="87" t="str">
        <f t="shared" si="83"/>
        <v/>
      </c>
    </row>
    <row r="441" spans="5:21" x14ac:dyDescent="0.25">
      <c r="E441" s="244" t="str">
        <f t="shared" si="72"/>
        <v>-</v>
      </c>
      <c r="F441" t="str">
        <f t="shared" si="73"/>
        <v/>
      </c>
      <c r="G441" s="300" t="str">
        <f t="shared" si="74"/>
        <v/>
      </c>
      <c r="H441" t="str">
        <f t="shared" si="75"/>
        <v/>
      </c>
      <c r="I441" s="88" t="str">
        <f t="shared" si="76"/>
        <v/>
      </c>
      <c r="N441" t="str">
        <f t="shared" si="78"/>
        <v>-</v>
      </c>
      <c r="O441" t="str">
        <f t="shared" si="77"/>
        <v/>
      </c>
      <c r="Q441" s="70" t="str">
        <f t="shared" si="79"/>
        <v/>
      </c>
      <c r="R441" t="str">
        <f t="shared" si="80"/>
        <v/>
      </c>
      <c r="S441" s="525" t="str">
        <f t="shared" si="81"/>
        <v/>
      </c>
      <c r="T441" s="87" t="str">
        <f t="shared" si="82"/>
        <v/>
      </c>
      <c r="U441" s="87" t="str">
        <f t="shared" si="83"/>
        <v/>
      </c>
    </row>
    <row r="442" spans="5:21" x14ac:dyDescent="0.25">
      <c r="E442" s="244" t="str">
        <f t="shared" si="72"/>
        <v>-</v>
      </c>
      <c r="F442" t="str">
        <f t="shared" si="73"/>
        <v/>
      </c>
      <c r="G442" s="300" t="str">
        <f t="shared" si="74"/>
        <v/>
      </c>
      <c r="H442" t="str">
        <f t="shared" si="75"/>
        <v/>
      </c>
      <c r="I442" s="88" t="str">
        <f t="shared" si="76"/>
        <v/>
      </c>
      <c r="N442" t="str">
        <f t="shared" si="78"/>
        <v>-</v>
      </c>
      <c r="O442" t="str">
        <f t="shared" si="77"/>
        <v/>
      </c>
      <c r="Q442" s="70" t="str">
        <f t="shared" si="79"/>
        <v/>
      </c>
      <c r="R442" t="str">
        <f t="shared" si="80"/>
        <v/>
      </c>
      <c r="S442" s="525" t="str">
        <f t="shared" si="81"/>
        <v/>
      </c>
      <c r="T442" s="87" t="str">
        <f t="shared" si="82"/>
        <v/>
      </c>
      <c r="U442" s="87" t="str">
        <f t="shared" si="83"/>
        <v/>
      </c>
    </row>
    <row r="443" spans="5:21" x14ac:dyDescent="0.25">
      <c r="E443" s="244" t="str">
        <f t="shared" si="72"/>
        <v>-</v>
      </c>
      <c r="F443" t="str">
        <f t="shared" si="73"/>
        <v/>
      </c>
      <c r="G443" s="300" t="str">
        <f t="shared" si="74"/>
        <v/>
      </c>
      <c r="H443" t="str">
        <f t="shared" si="75"/>
        <v/>
      </c>
      <c r="I443" s="88" t="str">
        <f t="shared" si="76"/>
        <v/>
      </c>
      <c r="N443" t="str">
        <f t="shared" si="78"/>
        <v>-</v>
      </c>
      <c r="O443" t="str">
        <f t="shared" si="77"/>
        <v/>
      </c>
      <c r="Q443" s="70" t="str">
        <f t="shared" si="79"/>
        <v/>
      </c>
      <c r="R443" t="str">
        <f t="shared" si="80"/>
        <v/>
      </c>
      <c r="S443" s="525" t="str">
        <f t="shared" si="81"/>
        <v/>
      </c>
      <c r="T443" s="87" t="str">
        <f t="shared" si="82"/>
        <v/>
      </c>
      <c r="U443" s="87" t="str">
        <f t="shared" si="83"/>
        <v/>
      </c>
    </row>
    <row r="444" spans="5:21" x14ac:dyDescent="0.25">
      <c r="E444" s="244" t="str">
        <f t="shared" si="72"/>
        <v>-</v>
      </c>
      <c r="F444" t="str">
        <f t="shared" si="73"/>
        <v/>
      </c>
      <c r="G444" s="300" t="str">
        <f t="shared" si="74"/>
        <v/>
      </c>
      <c r="H444" t="str">
        <f t="shared" si="75"/>
        <v/>
      </c>
      <c r="I444" s="88" t="str">
        <f t="shared" si="76"/>
        <v/>
      </c>
      <c r="N444" t="str">
        <f t="shared" si="78"/>
        <v>-</v>
      </c>
      <c r="O444" t="str">
        <f t="shared" si="77"/>
        <v/>
      </c>
      <c r="Q444" s="70" t="str">
        <f t="shared" si="79"/>
        <v/>
      </c>
      <c r="R444" t="str">
        <f t="shared" si="80"/>
        <v/>
      </c>
      <c r="S444" s="525" t="str">
        <f t="shared" si="81"/>
        <v/>
      </c>
      <c r="T444" s="87" t="str">
        <f t="shared" si="82"/>
        <v/>
      </c>
      <c r="U444" s="87" t="str">
        <f t="shared" si="83"/>
        <v/>
      </c>
    </row>
    <row r="445" spans="5:21" x14ac:dyDescent="0.25">
      <c r="E445" s="244" t="str">
        <f t="shared" si="72"/>
        <v>-</v>
      </c>
      <c r="F445" t="str">
        <f t="shared" si="73"/>
        <v/>
      </c>
      <c r="G445" s="300" t="str">
        <f t="shared" si="74"/>
        <v/>
      </c>
      <c r="H445" t="str">
        <f t="shared" si="75"/>
        <v/>
      </c>
      <c r="I445" s="88" t="str">
        <f t="shared" si="76"/>
        <v/>
      </c>
      <c r="N445" t="str">
        <f t="shared" si="78"/>
        <v>-</v>
      </c>
      <c r="O445" t="str">
        <f t="shared" si="77"/>
        <v/>
      </c>
      <c r="Q445" s="70" t="str">
        <f t="shared" si="79"/>
        <v/>
      </c>
      <c r="R445" t="str">
        <f t="shared" si="80"/>
        <v/>
      </c>
      <c r="S445" s="525" t="str">
        <f t="shared" si="81"/>
        <v/>
      </c>
      <c r="T445" s="87" t="str">
        <f t="shared" si="82"/>
        <v/>
      </c>
      <c r="U445" s="87" t="str">
        <f t="shared" si="83"/>
        <v/>
      </c>
    </row>
    <row r="446" spans="5:21" x14ac:dyDescent="0.25">
      <c r="E446" s="244" t="str">
        <f t="shared" si="72"/>
        <v>-</v>
      </c>
      <c r="F446" t="str">
        <f t="shared" si="73"/>
        <v/>
      </c>
      <c r="G446" s="300" t="str">
        <f t="shared" si="74"/>
        <v/>
      </c>
      <c r="H446" t="str">
        <f t="shared" si="75"/>
        <v/>
      </c>
      <c r="I446" s="88" t="str">
        <f t="shared" si="76"/>
        <v/>
      </c>
      <c r="N446" t="str">
        <f t="shared" si="78"/>
        <v>-</v>
      </c>
      <c r="O446" t="str">
        <f t="shared" si="77"/>
        <v/>
      </c>
      <c r="Q446" s="70" t="str">
        <f t="shared" si="79"/>
        <v/>
      </c>
      <c r="R446" t="str">
        <f t="shared" si="80"/>
        <v/>
      </c>
      <c r="S446" s="525" t="str">
        <f t="shared" si="81"/>
        <v/>
      </c>
      <c r="T446" s="87" t="str">
        <f t="shared" si="82"/>
        <v/>
      </c>
      <c r="U446" s="87" t="str">
        <f t="shared" si="83"/>
        <v/>
      </c>
    </row>
    <row r="447" spans="5:21" x14ac:dyDescent="0.25">
      <c r="E447" s="244" t="str">
        <f t="shared" si="72"/>
        <v>-</v>
      </c>
      <c r="F447" t="str">
        <f t="shared" si="73"/>
        <v/>
      </c>
      <c r="G447" s="300" t="str">
        <f t="shared" si="74"/>
        <v/>
      </c>
      <c r="H447" t="str">
        <f t="shared" si="75"/>
        <v/>
      </c>
      <c r="I447" s="88" t="str">
        <f t="shared" si="76"/>
        <v/>
      </c>
      <c r="N447" t="str">
        <f t="shared" si="78"/>
        <v>-</v>
      </c>
      <c r="O447" t="str">
        <f t="shared" si="77"/>
        <v/>
      </c>
      <c r="Q447" s="70" t="str">
        <f t="shared" si="79"/>
        <v/>
      </c>
      <c r="R447" t="str">
        <f t="shared" si="80"/>
        <v/>
      </c>
      <c r="S447" s="525" t="str">
        <f t="shared" si="81"/>
        <v/>
      </c>
      <c r="T447" s="87" t="str">
        <f t="shared" si="82"/>
        <v/>
      </c>
      <c r="U447" s="87" t="str">
        <f t="shared" si="83"/>
        <v/>
      </c>
    </row>
    <row r="448" spans="5:21" x14ac:dyDescent="0.25">
      <c r="E448" s="244" t="str">
        <f t="shared" si="72"/>
        <v>-</v>
      </c>
      <c r="F448" t="str">
        <f t="shared" si="73"/>
        <v/>
      </c>
      <c r="G448" s="300" t="str">
        <f t="shared" si="74"/>
        <v/>
      </c>
      <c r="H448" t="str">
        <f t="shared" si="75"/>
        <v/>
      </c>
      <c r="I448" s="88" t="str">
        <f t="shared" si="76"/>
        <v/>
      </c>
      <c r="N448" t="str">
        <f t="shared" si="78"/>
        <v>-</v>
      </c>
      <c r="O448" t="str">
        <f t="shared" si="77"/>
        <v/>
      </c>
      <c r="Q448" s="70" t="str">
        <f t="shared" si="79"/>
        <v/>
      </c>
      <c r="R448" t="str">
        <f t="shared" si="80"/>
        <v/>
      </c>
      <c r="S448" s="525" t="str">
        <f t="shared" si="81"/>
        <v/>
      </c>
      <c r="T448" s="87" t="str">
        <f t="shared" si="82"/>
        <v/>
      </c>
      <c r="U448" s="87" t="str">
        <f t="shared" si="83"/>
        <v/>
      </c>
    </row>
    <row r="449" spans="5:21" x14ac:dyDescent="0.25">
      <c r="E449" s="244" t="str">
        <f t="shared" si="72"/>
        <v>-</v>
      </c>
      <c r="F449" t="str">
        <f t="shared" si="73"/>
        <v/>
      </c>
      <c r="G449" s="300" t="str">
        <f t="shared" si="74"/>
        <v/>
      </c>
      <c r="H449" t="str">
        <f t="shared" si="75"/>
        <v/>
      </c>
      <c r="I449" s="88" t="str">
        <f t="shared" si="76"/>
        <v/>
      </c>
      <c r="N449" t="str">
        <f t="shared" si="78"/>
        <v>-</v>
      </c>
      <c r="O449" t="str">
        <f t="shared" si="77"/>
        <v/>
      </c>
      <c r="Q449" s="70" t="str">
        <f t="shared" si="79"/>
        <v/>
      </c>
      <c r="R449" t="str">
        <f t="shared" si="80"/>
        <v/>
      </c>
      <c r="S449" s="525" t="str">
        <f t="shared" si="81"/>
        <v/>
      </c>
      <c r="T449" s="87" t="str">
        <f t="shared" si="82"/>
        <v/>
      </c>
      <c r="U449" s="87" t="str">
        <f t="shared" si="83"/>
        <v/>
      </c>
    </row>
    <row r="450" spans="5:21" x14ac:dyDescent="0.25">
      <c r="E450" s="244" t="str">
        <f t="shared" si="72"/>
        <v>-</v>
      </c>
      <c r="F450" t="str">
        <f t="shared" si="73"/>
        <v/>
      </c>
      <c r="G450" s="300" t="str">
        <f t="shared" si="74"/>
        <v/>
      </c>
      <c r="H450" t="str">
        <f t="shared" si="75"/>
        <v/>
      </c>
      <c r="I450" s="88" t="str">
        <f t="shared" si="76"/>
        <v/>
      </c>
      <c r="N450" t="str">
        <f t="shared" si="78"/>
        <v>-</v>
      </c>
      <c r="O450" t="str">
        <f t="shared" si="77"/>
        <v/>
      </c>
      <c r="Q450" s="70" t="str">
        <f t="shared" si="79"/>
        <v/>
      </c>
      <c r="R450" t="str">
        <f t="shared" si="80"/>
        <v/>
      </c>
      <c r="S450" s="525" t="str">
        <f t="shared" si="81"/>
        <v/>
      </c>
      <c r="T450" s="87" t="str">
        <f t="shared" si="82"/>
        <v/>
      </c>
      <c r="U450" s="87" t="str">
        <f t="shared" si="83"/>
        <v/>
      </c>
    </row>
    <row r="451" spans="5:21" x14ac:dyDescent="0.25">
      <c r="E451" s="244" t="str">
        <f t="shared" si="72"/>
        <v>-</v>
      </c>
      <c r="F451" t="str">
        <f t="shared" si="73"/>
        <v/>
      </c>
      <c r="G451" s="300" t="str">
        <f t="shared" si="74"/>
        <v/>
      </c>
      <c r="H451" t="str">
        <f t="shared" si="75"/>
        <v/>
      </c>
      <c r="I451" s="88" t="str">
        <f t="shared" si="76"/>
        <v/>
      </c>
      <c r="N451" t="str">
        <f t="shared" si="78"/>
        <v>-</v>
      </c>
      <c r="O451" t="str">
        <f t="shared" si="77"/>
        <v/>
      </c>
      <c r="Q451" s="70" t="str">
        <f t="shared" si="79"/>
        <v/>
      </c>
      <c r="R451" t="str">
        <f t="shared" si="80"/>
        <v/>
      </c>
      <c r="S451" s="525" t="str">
        <f t="shared" si="81"/>
        <v/>
      </c>
      <c r="T451" s="87" t="str">
        <f t="shared" si="82"/>
        <v/>
      </c>
      <c r="U451" s="87" t="str">
        <f t="shared" si="83"/>
        <v/>
      </c>
    </row>
    <row r="452" spans="5:21" x14ac:dyDescent="0.25">
      <c r="E452" s="244" t="str">
        <f t="shared" ref="E452:E515" si="84">G452&amp;"-"&amp;H452</f>
        <v>-</v>
      </c>
      <c r="F452" t="str">
        <f t="shared" si="73"/>
        <v/>
      </c>
      <c r="G452" s="300" t="str">
        <f t="shared" si="74"/>
        <v/>
      </c>
      <c r="H452" t="str">
        <f t="shared" si="75"/>
        <v/>
      </c>
      <c r="I452" s="88" t="str">
        <f t="shared" si="76"/>
        <v/>
      </c>
      <c r="N452" t="str">
        <f t="shared" si="78"/>
        <v>-</v>
      </c>
      <c r="O452" t="str">
        <f t="shared" si="77"/>
        <v/>
      </c>
      <c r="Q452" s="70" t="str">
        <f t="shared" si="79"/>
        <v/>
      </c>
      <c r="R452" t="str">
        <f t="shared" si="80"/>
        <v/>
      </c>
      <c r="S452" s="525" t="str">
        <f t="shared" si="81"/>
        <v/>
      </c>
      <c r="T452" s="87" t="str">
        <f t="shared" si="82"/>
        <v/>
      </c>
      <c r="U452" s="87" t="str">
        <f t="shared" si="83"/>
        <v/>
      </c>
    </row>
    <row r="453" spans="5:21" x14ac:dyDescent="0.25">
      <c r="E453" s="244" t="str">
        <f t="shared" si="84"/>
        <v>-</v>
      </c>
      <c r="F453" t="str">
        <f t="shared" ref="F453:F516" si="85">IF(A451="Grand Total","",IF(LEN(A451)=4,A451,IF(F452="","",F452)))</f>
        <v/>
      </c>
      <c r="G453" s="300" t="str">
        <f t="shared" ref="G453:G516" si="86">IF(F453=A453,"",F453)</f>
        <v/>
      </c>
      <c r="H453" t="str">
        <f t="shared" si="75"/>
        <v/>
      </c>
      <c r="I453" s="88" t="str">
        <f t="shared" si="76"/>
        <v/>
      </c>
      <c r="N453" t="str">
        <f t="shared" si="78"/>
        <v>-</v>
      </c>
      <c r="O453" t="str">
        <f t="shared" si="77"/>
        <v/>
      </c>
      <c r="Q453" s="70" t="str">
        <f t="shared" si="79"/>
        <v/>
      </c>
      <c r="R453" t="str">
        <f t="shared" si="80"/>
        <v/>
      </c>
      <c r="S453" s="525" t="str">
        <f t="shared" si="81"/>
        <v/>
      </c>
      <c r="T453" s="87" t="str">
        <f t="shared" si="82"/>
        <v/>
      </c>
      <c r="U453" s="87" t="str">
        <f t="shared" si="83"/>
        <v/>
      </c>
    </row>
    <row r="454" spans="5:21" x14ac:dyDescent="0.25">
      <c r="E454" s="244" t="str">
        <f t="shared" si="84"/>
        <v>-</v>
      </c>
      <c r="F454" t="str">
        <f t="shared" si="85"/>
        <v/>
      </c>
      <c r="G454" s="300" t="str">
        <f t="shared" si="86"/>
        <v/>
      </c>
      <c r="H454" t="str">
        <f t="shared" si="75"/>
        <v/>
      </c>
      <c r="I454" s="88" t="str">
        <f t="shared" si="76"/>
        <v/>
      </c>
      <c r="N454" t="str">
        <f t="shared" si="78"/>
        <v>-</v>
      </c>
      <c r="O454" t="str">
        <f t="shared" si="77"/>
        <v/>
      </c>
      <c r="Q454" s="70" t="str">
        <f t="shared" si="79"/>
        <v/>
      </c>
      <c r="R454" t="str">
        <f t="shared" si="80"/>
        <v/>
      </c>
      <c r="S454" s="525" t="str">
        <f t="shared" si="81"/>
        <v/>
      </c>
      <c r="T454" s="87" t="str">
        <f t="shared" si="82"/>
        <v/>
      </c>
      <c r="U454" s="87" t="str">
        <f t="shared" si="83"/>
        <v/>
      </c>
    </row>
    <row r="455" spans="5:21" x14ac:dyDescent="0.25">
      <c r="E455" s="244" t="str">
        <f t="shared" si="84"/>
        <v>-</v>
      </c>
      <c r="F455" t="str">
        <f t="shared" si="85"/>
        <v/>
      </c>
      <c r="G455" s="300" t="str">
        <f t="shared" si="86"/>
        <v/>
      </c>
      <c r="H455" t="str">
        <f t="shared" si="75"/>
        <v/>
      </c>
      <c r="I455" s="88" t="str">
        <f t="shared" si="76"/>
        <v/>
      </c>
      <c r="N455" t="str">
        <f t="shared" si="78"/>
        <v>-</v>
      </c>
      <c r="O455" t="str">
        <f t="shared" si="77"/>
        <v/>
      </c>
      <c r="Q455" s="70" t="str">
        <f t="shared" si="79"/>
        <v/>
      </c>
      <c r="R455" t="str">
        <f t="shared" si="80"/>
        <v/>
      </c>
      <c r="S455" s="525" t="str">
        <f t="shared" si="81"/>
        <v/>
      </c>
      <c r="T455" s="87" t="str">
        <f t="shared" si="82"/>
        <v/>
      </c>
      <c r="U455" s="87" t="str">
        <f t="shared" si="83"/>
        <v/>
      </c>
    </row>
    <row r="456" spans="5:21" x14ac:dyDescent="0.25">
      <c r="E456" s="244" t="str">
        <f t="shared" si="84"/>
        <v>-</v>
      </c>
      <c r="F456" t="str">
        <f t="shared" si="85"/>
        <v/>
      </c>
      <c r="G456" s="300" t="str">
        <f t="shared" si="86"/>
        <v/>
      </c>
      <c r="H456" t="str">
        <f t="shared" ref="H456:H519" si="87">IF(F456="","",IF(F456=G456,A456,""))</f>
        <v/>
      </c>
      <c r="I456" s="88" t="str">
        <f t="shared" ref="I456:I519" si="88">IF(H456="","",B456)</f>
        <v/>
      </c>
      <c r="N456" t="str">
        <f t="shared" si="78"/>
        <v>-</v>
      </c>
      <c r="O456" t="str">
        <f t="shared" si="77"/>
        <v/>
      </c>
      <c r="Q456" s="70" t="str">
        <f t="shared" si="79"/>
        <v/>
      </c>
      <c r="R456" t="str">
        <f t="shared" si="80"/>
        <v/>
      </c>
      <c r="S456" s="525" t="str">
        <f t="shared" si="81"/>
        <v/>
      </c>
      <c r="T456" s="87" t="str">
        <f t="shared" si="82"/>
        <v/>
      </c>
      <c r="U456" s="87" t="str">
        <f t="shared" si="83"/>
        <v/>
      </c>
    </row>
    <row r="457" spans="5:21" x14ac:dyDescent="0.25">
      <c r="E457" s="244" t="str">
        <f t="shared" si="84"/>
        <v>-</v>
      </c>
      <c r="F457" t="str">
        <f t="shared" si="85"/>
        <v/>
      </c>
      <c r="G457" s="300" t="str">
        <f t="shared" si="86"/>
        <v/>
      </c>
      <c r="H457" t="str">
        <f t="shared" si="87"/>
        <v/>
      </c>
      <c r="I457" s="88" t="str">
        <f t="shared" si="88"/>
        <v/>
      </c>
      <c r="N457" t="str">
        <f t="shared" si="78"/>
        <v>-</v>
      </c>
      <c r="O457" t="str">
        <f t="shared" si="77"/>
        <v/>
      </c>
      <c r="Q457" s="70" t="str">
        <f t="shared" si="79"/>
        <v/>
      </c>
      <c r="R457" t="str">
        <f t="shared" si="80"/>
        <v/>
      </c>
      <c r="S457" s="525" t="str">
        <f t="shared" si="81"/>
        <v/>
      </c>
      <c r="T457" s="87" t="str">
        <f t="shared" si="82"/>
        <v/>
      </c>
      <c r="U457" s="87" t="str">
        <f t="shared" si="83"/>
        <v/>
      </c>
    </row>
    <row r="458" spans="5:21" x14ac:dyDescent="0.25">
      <c r="E458" s="244" t="str">
        <f t="shared" si="84"/>
        <v>-</v>
      </c>
      <c r="F458" t="str">
        <f t="shared" si="85"/>
        <v/>
      </c>
      <c r="G458" s="300" t="str">
        <f t="shared" si="86"/>
        <v/>
      </c>
      <c r="H458" t="str">
        <f t="shared" si="87"/>
        <v/>
      </c>
      <c r="I458" s="88" t="str">
        <f t="shared" si="88"/>
        <v/>
      </c>
      <c r="N458" t="str">
        <f t="shared" si="78"/>
        <v>-</v>
      </c>
      <c r="O458" t="str">
        <f t="shared" si="77"/>
        <v/>
      </c>
      <c r="Q458" s="70" t="str">
        <f t="shared" si="79"/>
        <v/>
      </c>
      <c r="R458" t="str">
        <f t="shared" si="80"/>
        <v/>
      </c>
      <c r="S458" s="525" t="str">
        <f t="shared" si="81"/>
        <v/>
      </c>
      <c r="T458" s="87" t="str">
        <f t="shared" si="82"/>
        <v/>
      </c>
      <c r="U458" s="87" t="str">
        <f t="shared" si="83"/>
        <v/>
      </c>
    </row>
    <row r="459" spans="5:21" x14ac:dyDescent="0.25">
      <c r="E459" s="244" t="str">
        <f t="shared" si="84"/>
        <v>-</v>
      </c>
      <c r="F459" t="str">
        <f t="shared" si="85"/>
        <v/>
      </c>
      <c r="G459" s="300" t="str">
        <f t="shared" si="86"/>
        <v/>
      </c>
      <c r="H459" t="str">
        <f t="shared" si="87"/>
        <v/>
      </c>
      <c r="I459" s="88" t="str">
        <f t="shared" si="88"/>
        <v/>
      </c>
      <c r="N459" t="str">
        <f t="shared" si="78"/>
        <v>-</v>
      </c>
      <c r="O459" t="str">
        <f t="shared" si="77"/>
        <v/>
      </c>
      <c r="Q459" s="70" t="str">
        <f t="shared" si="79"/>
        <v/>
      </c>
      <c r="R459" t="str">
        <f t="shared" si="80"/>
        <v/>
      </c>
      <c r="S459" s="525" t="str">
        <f t="shared" si="81"/>
        <v/>
      </c>
      <c r="T459" s="87" t="str">
        <f t="shared" si="82"/>
        <v/>
      </c>
      <c r="U459" s="87" t="str">
        <f t="shared" si="83"/>
        <v/>
      </c>
    </row>
    <row r="460" spans="5:21" x14ac:dyDescent="0.25">
      <c r="E460" s="244" t="str">
        <f t="shared" si="84"/>
        <v>-</v>
      </c>
      <c r="F460" t="str">
        <f t="shared" si="85"/>
        <v/>
      </c>
      <c r="G460" s="300" t="str">
        <f t="shared" si="86"/>
        <v/>
      </c>
      <c r="H460" t="str">
        <f t="shared" si="87"/>
        <v/>
      </c>
      <c r="I460" s="88" t="str">
        <f t="shared" si="88"/>
        <v/>
      </c>
      <c r="N460" t="str">
        <f t="shared" si="78"/>
        <v>-</v>
      </c>
      <c r="O460" t="str">
        <f t="shared" si="77"/>
        <v/>
      </c>
      <c r="Q460" s="70" t="str">
        <f t="shared" si="79"/>
        <v/>
      </c>
      <c r="R460" t="str">
        <f t="shared" si="80"/>
        <v/>
      </c>
      <c r="S460" s="525" t="str">
        <f t="shared" si="81"/>
        <v/>
      </c>
      <c r="T460" s="87" t="str">
        <f t="shared" si="82"/>
        <v/>
      </c>
      <c r="U460" s="87" t="str">
        <f t="shared" si="83"/>
        <v/>
      </c>
    </row>
    <row r="461" spans="5:21" x14ac:dyDescent="0.25">
      <c r="E461" s="244" t="str">
        <f t="shared" si="84"/>
        <v>-</v>
      </c>
      <c r="F461" t="str">
        <f t="shared" si="85"/>
        <v/>
      </c>
      <c r="G461" s="300" t="str">
        <f t="shared" si="86"/>
        <v/>
      </c>
      <c r="H461" t="str">
        <f t="shared" si="87"/>
        <v/>
      </c>
      <c r="I461" s="88" t="str">
        <f t="shared" si="88"/>
        <v/>
      </c>
      <c r="N461" t="str">
        <f t="shared" si="78"/>
        <v>-</v>
      </c>
      <c r="O461" t="str">
        <f t="shared" si="77"/>
        <v/>
      </c>
      <c r="Q461" s="70" t="str">
        <f t="shared" si="79"/>
        <v/>
      </c>
      <c r="R461" t="str">
        <f t="shared" si="80"/>
        <v/>
      </c>
      <c r="S461" s="525" t="str">
        <f t="shared" si="81"/>
        <v/>
      </c>
      <c r="T461" s="87" t="str">
        <f t="shared" si="82"/>
        <v/>
      </c>
      <c r="U461" s="87" t="str">
        <f t="shared" si="83"/>
        <v/>
      </c>
    </row>
    <row r="462" spans="5:21" x14ac:dyDescent="0.25">
      <c r="E462" s="244" t="str">
        <f t="shared" si="84"/>
        <v>-</v>
      </c>
      <c r="F462" t="str">
        <f t="shared" si="85"/>
        <v/>
      </c>
      <c r="G462" s="300" t="str">
        <f t="shared" si="86"/>
        <v/>
      </c>
      <c r="H462" t="str">
        <f t="shared" si="87"/>
        <v/>
      </c>
      <c r="I462" s="88" t="str">
        <f t="shared" si="88"/>
        <v/>
      </c>
      <c r="N462" t="str">
        <f t="shared" si="78"/>
        <v>-</v>
      </c>
      <c r="O462" t="str">
        <f t="shared" ref="O462:O525" si="89">IF(K462="Grand Total","",IF(LEN(K462)=4,K462,IF(O461="","",O461)))</f>
        <v/>
      </c>
      <c r="Q462" s="70" t="str">
        <f t="shared" si="79"/>
        <v/>
      </c>
      <c r="R462" t="str">
        <f t="shared" si="80"/>
        <v/>
      </c>
      <c r="S462" s="525" t="str">
        <f t="shared" si="81"/>
        <v/>
      </c>
      <c r="T462" s="87" t="str">
        <f t="shared" si="82"/>
        <v/>
      </c>
      <c r="U462" s="87" t="str">
        <f t="shared" si="83"/>
        <v/>
      </c>
    </row>
    <row r="463" spans="5:21" x14ac:dyDescent="0.25">
      <c r="E463" s="244" t="str">
        <f t="shared" si="84"/>
        <v>-</v>
      </c>
      <c r="F463" t="str">
        <f t="shared" si="85"/>
        <v/>
      </c>
      <c r="G463" s="300" t="str">
        <f t="shared" si="86"/>
        <v/>
      </c>
      <c r="H463" t="str">
        <f t="shared" si="87"/>
        <v/>
      </c>
      <c r="I463" s="88" t="str">
        <f t="shared" si="88"/>
        <v/>
      </c>
      <c r="N463" t="str">
        <f t="shared" ref="N463:N526" si="90">Q463&amp;"-"&amp;R463</f>
        <v>-</v>
      </c>
      <c r="O463" t="str">
        <f t="shared" si="89"/>
        <v/>
      </c>
      <c r="Q463" s="70" t="str">
        <f t="shared" ref="Q463:Q526" si="91">IF(O463=K463,"",O463)</f>
        <v/>
      </c>
      <c r="R463" t="str">
        <f t="shared" ref="R463:R526" si="92">IF(O463="","",IF(O463=Q463,K463,""))</f>
        <v/>
      </c>
      <c r="S463" s="525" t="str">
        <f t="shared" ref="S463:S526" si="93">IF(R463="","",L463)</f>
        <v/>
      </c>
      <c r="T463" s="87" t="str">
        <f t="shared" ref="T463:T526" si="94">VLOOKUP(N463,$E$4:$I$566,5,FALSE)</f>
        <v/>
      </c>
      <c r="U463" s="87" t="str">
        <f t="shared" ref="U463:U526" si="95">IFERROR(T463/S463,"")</f>
        <v/>
      </c>
    </row>
    <row r="464" spans="5:21" x14ac:dyDescent="0.25">
      <c r="E464" s="244" t="str">
        <f t="shared" si="84"/>
        <v>-</v>
      </c>
      <c r="F464" t="str">
        <f t="shared" si="85"/>
        <v/>
      </c>
      <c r="G464" s="300" t="str">
        <f t="shared" si="86"/>
        <v/>
      </c>
      <c r="H464" t="str">
        <f t="shared" si="87"/>
        <v/>
      </c>
      <c r="I464" s="88" t="str">
        <f t="shared" si="88"/>
        <v/>
      </c>
      <c r="N464" t="str">
        <f t="shared" si="90"/>
        <v>-</v>
      </c>
      <c r="O464" t="str">
        <f t="shared" si="89"/>
        <v/>
      </c>
      <c r="Q464" s="70" t="str">
        <f t="shared" si="91"/>
        <v/>
      </c>
      <c r="R464" t="str">
        <f t="shared" si="92"/>
        <v/>
      </c>
      <c r="S464" s="525" t="str">
        <f t="shared" si="93"/>
        <v/>
      </c>
      <c r="T464" s="87" t="str">
        <f t="shared" si="94"/>
        <v/>
      </c>
      <c r="U464" s="87" t="str">
        <f t="shared" si="95"/>
        <v/>
      </c>
    </row>
    <row r="465" spans="5:21" x14ac:dyDescent="0.25">
      <c r="E465" s="244" t="str">
        <f t="shared" si="84"/>
        <v>-</v>
      </c>
      <c r="F465" t="str">
        <f t="shared" si="85"/>
        <v/>
      </c>
      <c r="G465" s="300" t="str">
        <f t="shared" si="86"/>
        <v/>
      </c>
      <c r="H465" t="str">
        <f t="shared" si="87"/>
        <v/>
      </c>
      <c r="I465" s="88" t="str">
        <f t="shared" si="88"/>
        <v/>
      </c>
      <c r="N465" t="str">
        <f t="shared" si="90"/>
        <v>-</v>
      </c>
      <c r="O465" t="str">
        <f t="shared" si="89"/>
        <v/>
      </c>
      <c r="Q465" s="70" t="str">
        <f t="shared" si="91"/>
        <v/>
      </c>
      <c r="R465" t="str">
        <f t="shared" si="92"/>
        <v/>
      </c>
      <c r="S465" s="525" t="str">
        <f t="shared" si="93"/>
        <v/>
      </c>
      <c r="T465" s="87" t="str">
        <f t="shared" si="94"/>
        <v/>
      </c>
      <c r="U465" s="87" t="str">
        <f t="shared" si="95"/>
        <v/>
      </c>
    </row>
    <row r="466" spans="5:21" x14ac:dyDescent="0.25">
      <c r="E466" s="244" t="str">
        <f t="shared" si="84"/>
        <v>-</v>
      </c>
      <c r="F466" t="str">
        <f t="shared" si="85"/>
        <v/>
      </c>
      <c r="G466" s="300" t="str">
        <f t="shared" si="86"/>
        <v/>
      </c>
      <c r="H466" t="str">
        <f t="shared" si="87"/>
        <v/>
      </c>
      <c r="I466" s="88" t="str">
        <f t="shared" si="88"/>
        <v/>
      </c>
      <c r="N466" t="str">
        <f t="shared" si="90"/>
        <v>-</v>
      </c>
      <c r="O466" t="str">
        <f t="shared" si="89"/>
        <v/>
      </c>
      <c r="Q466" s="70" t="str">
        <f t="shared" si="91"/>
        <v/>
      </c>
      <c r="R466" t="str">
        <f t="shared" si="92"/>
        <v/>
      </c>
      <c r="S466" s="525" t="str">
        <f t="shared" si="93"/>
        <v/>
      </c>
      <c r="T466" s="87" t="str">
        <f t="shared" si="94"/>
        <v/>
      </c>
      <c r="U466" s="87" t="str">
        <f t="shared" si="95"/>
        <v/>
      </c>
    </row>
    <row r="467" spans="5:21" x14ac:dyDescent="0.25">
      <c r="E467" s="244" t="str">
        <f t="shared" si="84"/>
        <v>-</v>
      </c>
      <c r="F467" t="str">
        <f t="shared" si="85"/>
        <v/>
      </c>
      <c r="G467" s="300" t="str">
        <f t="shared" si="86"/>
        <v/>
      </c>
      <c r="H467" t="str">
        <f t="shared" si="87"/>
        <v/>
      </c>
      <c r="I467" s="88" t="str">
        <f t="shared" si="88"/>
        <v/>
      </c>
      <c r="N467" t="str">
        <f t="shared" si="90"/>
        <v>-</v>
      </c>
      <c r="O467" t="str">
        <f t="shared" si="89"/>
        <v/>
      </c>
      <c r="Q467" s="70" t="str">
        <f t="shared" si="91"/>
        <v/>
      </c>
      <c r="R467" t="str">
        <f t="shared" si="92"/>
        <v/>
      </c>
      <c r="S467" s="525" t="str">
        <f t="shared" si="93"/>
        <v/>
      </c>
      <c r="T467" s="87" t="str">
        <f t="shared" si="94"/>
        <v/>
      </c>
      <c r="U467" s="87" t="str">
        <f t="shared" si="95"/>
        <v/>
      </c>
    </row>
    <row r="468" spans="5:21" x14ac:dyDescent="0.25">
      <c r="E468" s="244" t="str">
        <f t="shared" si="84"/>
        <v>-</v>
      </c>
      <c r="F468" t="str">
        <f t="shared" si="85"/>
        <v/>
      </c>
      <c r="G468" s="300" t="str">
        <f t="shared" si="86"/>
        <v/>
      </c>
      <c r="H468" t="str">
        <f t="shared" si="87"/>
        <v/>
      </c>
      <c r="I468" s="88" t="str">
        <f t="shared" si="88"/>
        <v/>
      </c>
      <c r="N468" t="str">
        <f t="shared" si="90"/>
        <v>-</v>
      </c>
      <c r="O468" t="str">
        <f t="shared" si="89"/>
        <v/>
      </c>
      <c r="Q468" s="70" t="str">
        <f t="shared" si="91"/>
        <v/>
      </c>
      <c r="R468" t="str">
        <f t="shared" si="92"/>
        <v/>
      </c>
      <c r="S468" s="525" t="str">
        <f t="shared" si="93"/>
        <v/>
      </c>
      <c r="T468" s="87" t="str">
        <f t="shared" si="94"/>
        <v/>
      </c>
      <c r="U468" s="87" t="str">
        <f t="shared" si="95"/>
        <v/>
      </c>
    </row>
    <row r="469" spans="5:21" x14ac:dyDescent="0.25">
      <c r="E469" s="244" t="str">
        <f t="shared" si="84"/>
        <v>-</v>
      </c>
      <c r="F469" t="str">
        <f t="shared" si="85"/>
        <v/>
      </c>
      <c r="G469" s="300" t="str">
        <f t="shared" si="86"/>
        <v/>
      </c>
      <c r="H469" t="str">
        <f t="shared" si="87"/>
        <v/>
      </c>
      <c r="I469" s="88" t="str">
        <f t="shared" si="88"/>
        <v/>
      </c>
      <c r="N469" t="str">
        <f t="shared" si="90"/>
        <v>-</v>
      </c>
      <c r="O469" t="str">
        <f t="shared" si="89"/>
        <v/>
      </c>
      <c r="Q469" s="70" t="str">
        <f t="shared" si="91"/>
        <v/>
      </c>
      <c r="R469" t="str">
        <f t="shared" si="92"/>
        <v/>
      </c>
      <c r="S469" s="525" t="str">
        <f t="shared" si="93"/>
        <v/>
      </c>
      <c r="T469" s="87" t="str">
        <f t="shared" si="94"/>
        <v/>
      </c>
      <c r="U469" s="87" t="str">
        <f t="shared" si="95"/>
        <v/>
      </c>
    </row>
    <row r="470" spans="5:21" x14ac:dyDescent="0.25">
      <c r="E470" s="244" t="str">
        <f t="shared" si="84"/>
        <v>-</v>
      </c>
      <c r="F470" t="str">
        <f t="shared" si="85"/>
        <v/>
      </c>
      <c r="G470" s="300" t="str">
        <f t="shared" si="86"/>
        <v/>
      </c>
      <c r="H470" t="str">
        <f t="shared" si="87"/>
        <v/>
      </c>
      <c r="I470" s="88" t="str">
        <f t="shared" si="88"/>
        <v/>
      </c>
      <c r="N470" t="str">
        <f t="shared" si="90"/>
        <v>-</v>
      </c>
      <c r="O470" t="str">
        <f t="shared" si="89"/>
        <v/>
      </c>
      <c r="Q470" s="70" t="str">
        <f t="shared" si="91"/>
        <v/>
      </c>
      <c r="R470" t="str">
        <f t="shared" si="92"/>
        <v/>
      </c>
      <c r="S470" s="525" t="str">
        <f t="shared" si="93"/>
        <v/>
      </c>
      <c r="T470" s="87" t="str">
        <f t="shared" si="94"/>
        <v/>
      </c>
      <c r="U470" s="87" t="str">
        <f t="shared" si="95"/>
        <v/>
      </c>
    </row>
    <row r="471" spans="5:21" x14ac:dyDescent="0.25">
      <c r="E471" s="244" t="str">
        <f t="shared" si="84"/>
        <v>-</v>
      </c>
      <c r="F471" t="str">
        <f t="shared" si="85"/>
        <v/>
      </c>
      <c r="G471" s="300" t="str">
        <f t="shared" si="86"/>
        <v/>
      </c>
      <c r="H471" t="str">
        <f t="shared" si="87"/>
        <v/>
      </c>
      <c r="I471" s="88" t="str">
        <f t="shared" si="88"/>
        <v/>
      </c>
      <c r="N471" t="str">
        <f t="shared" si="90"/>
        <v>-</v>
      </c>
      <c r="O471" t="str">
        <f t="shared" si="89"/>
        <v/>
      </c>
      <c r="Q471" s="70" t="str">
        <f t="shared" si="91"/>
        <v/>
      </c>
      <c r="R471" t="str">
        <f t="shared" si="92"/>
        <v/>
      </c>
      <c r="S471" s="525" t="str">
        <f t="shared" si="93"/>
        <v/>
      </c>
      <c r="T471" s="87" t="str">
        <f t="shared" si="94"/>
        <v/>
      </c>
      <c r="U471" s="87" t="str">
        <f t="shared" si="95"/>
        <v/>
      </c>
    </row>
    <row r="472" spans="5:21" x14ac:dyDescent="0.25">
      <c r="E472" s="244" t="str">
        <f t="shared" si="84"/>
        <v>-</v>
      </c>
      <c r="F472" t="str">
        <f t="shared" si="85"/>
        <v/>
      </c>
      <c r="G472" s="300" t="str">
        <f t="shared" si="86"/>
        <v/>
      </c>
      <c r="H472" t="str">
        <f t="shared" si="87"/>
        <v/>
      </c>
      <c r="I472" s="88" t="str">
        <f t="shared" si="88"/>
        <v/>
      </c>
      <c r="N472" t="str">
        <f t="shared" si="90"/>
        <v>-</v>
      </c>
      <c r="O472" t="str">
        <f t="shared" si="89"/>
        <v/>
      </c>
      <c r="Q472" s="70" t="str">
        <f t="shared" si="91"/>
        <v/>
      </c>
      <c r="R472" t="str">
        <f t="shared" si="92"/>
        <v/>
      </c>
      <c r="S472" s="525" t="str">
        <f t="shared" si="93"/>
        <v/>
      </c>
      <c r="T472" s="87" t="str">
        <f t="shared" si="94"/>
        <v/>
      </c>
      <c r="U472" s="87" t="str">
        <f t="shared" si="95"/>
        <v/>
      </c>
    </row>
    <row r="473" spans="5:21" x14ac:dyDescent="0.25">
      <c r="E473" s="244" t="str">
        <f t="shared" si="84"/>
        <v>-</v>
      </c>
      <c r="F473" t="str">
        <f t="shared" si="85"/>
        <v/>
      </c>
      <c r="G473" s="300" t="str">
        <f t="shared" si="86"/>
        <v/>
      </c>
      <c r="H473" t="str">
        <f t="shared" si="87"/>
        <v/>
      </c>
      <c r="I473" s="88" t="str">
        <f t="shared" si="88"/>
        <v/>
      </c>
      <c r="N473" t="str">
        <f t="shared" si="90"/>
        <v>-</v>
      </c>
      <c r="O473" t="str">
        <f t="shared" si="89"/>
        <v/>
      </c>
      <c r="Q473" s="70" t="str">
        <f t="shared" si="91"/>
        <v/>
      </c>
      <c r="R473" t="str">
        <f t="shared" si="92"/>
        <v/>
      </c>
      <c r="S473" s="525" t="str">
        <f t="shared" si="93"/>
        <v/>
      </c>
      <c r="T473" s="87" t="str">
        <f t="shared" si="94"/>
        <v/>
      </c>
      <c r="U473" s="87" t="str">
        <f t="shared" si="95"/>
        <v/>
      </c>
    </row>
    <row r="474" spans="5:21" x14ac:dyDescent="0.25">
      <c r="E474" s="244" t="str">
        <f t="shared" si="84"/>
        <v>-</v>
      </c>
      <c r="F474" t="str">
        <f t="shared" si="85"/>
        <v/>
      </c>
      <c r="G474" s="300" t="str">
        <f t="shared" si="86"/>
        <v/>
      </c>
      <c r="H474" t="str">
        <f t="shared" si="87"/>
        <v/>
      </c>
      <c r="I474" s="88" t="str">
        <f t="shared" si="88"/>
        <v/>
      </c>
      <c r="N474" t="str">
        <f t="shared" si="90"/>
        <v>-</v>
      </c>
      <c r="O474" t="str">
        <f t="shared" si="89"/>
        <v/>
      </c>
      <c r="Q474" s="70" t="str">
        <f t="shared" si="91"/>
        <v/>
      </c>
      <c r="R474" t="str">
        <f t="shared" si="92"/>
        <v/>
      </c>
      <c r="S474" s="525" t="str">
        <f t="shared" si="93"/>
        <v/>
      </c>
      <c r="T474" s="87" t="str">
        <f t="shared" si="94"/>
        <v/>
      </c>
      <c r="U474" s="87" t="str">
        <f t="shared" si="95"/>
        <v/>
      </c>
    </row>
    <row r="475" spans="5:21" x14ac:dyDescent="0.25">
      <c r="E475" s="244" t="str">
        <f t="shared" si="84"/>
        <v>-</v>
      </c>
      <c r="F475" t="str">
        <f t="shared" si="85"/>
        <v/>
      </c>
      <c r="G475" s="300" t="str">
        <f t="shared" si="86"/>
        <v/>
      </c>
      <c r="H475" t="str">
        <f t="shared" si="87"/>
        <v/>
      </c>
      <c r="I475" s="88" t="str">
        <f t="shared" si="88"/>
        <v/>
      </c>
      <c r="N475" t="str">
        <f t="shared" si="90"/>
        <v>-</v>
      </c>
      <c r="O475" t="str">
        <f t="shared" si="89"/>
        <v/>
      </c>
      <c r="Q475" s="70" t="str">
        <f t="shared" si="91"/>
        <v/>
      </c>
      <c r="R475" t="str">
        <f t="shared" si="92"/>
        <v/>
      </c>
      <c r="S475" s="525" t="str">
        <f t="shared" si="93"/>
        <v/>
      </c>
      <c r="T475" s="87" t="str">
        <f t="shared" si="94"/>
        <v/>
      </c>
      <c r="U475" s="87" t="str">
        <f t="shared" si="95"/>
        <v/>
      </c>
    </row>
    <row r="476" spans="5:21" x14ac:dyDescent="0.25">
      <c r="E476" s="244" t="str">
        <f t="shared" si="84"/>
        <v>-</v>
      </c>
      <c r="F476" t="str">
        <f t="shared" si="85"/>
        <v/>
      </c>
      <c r="G476" s="300" t="str">
        <f t="shared" si="86"/>
        <v/>
      </c>
      <c r="H476" t="str">
        <f t="shared" si="87"/>
        <v/>
      </c>
      <c r="I476" s="88" t="str">
        <f t="shared" si="88"/>
        <v/>
      </c>
      <c r="N476" t="str">
        <f t="shared" si="90"/>
        <v>-</v>
      </c>
      <c r="O476" t="str">
        <f t="shared" si="89"/>
        <v/>
      </c>
      <c r="Q476" s="70" t="str">
        <f t="shared" si="91"/>
        <v/>
      </c>
      <c r="R476" t="str">
        <f t="shared" si="92"/>
        <v/>
      </c>
      <c r="S476" s="525" t="str">
        <f t="shared" si="93"/>
        <v/>
      </c>
      <c r="T476" s="87" t="str">
        <f t="shared" si="94"/>
        <v/>
      </c>
      <c r="U476" s="87" t="str">
        <f t="shared" si="95"/>
        <v/>
      </c>
    </row>
    <row r="477" spans="5:21" x14ac:dyDescent="0.25">
      <c r="E477" s="244" t="str">
        <f t="shared" si="84"/>
        <v>-</v>
      </c>
      <c r="F477" t="str">
        <f t="shared" si="85"/>
        <v/>
      </c>
      <c r="G477" s="300" t="str">
        <f t="shared" si="86"/>
        <v/>
      </c>
      <c r="H477" t="str">
        <f t="shared" si="87"/>
        <v/>
      </c>
      <c r="I477" s="88" t="str">
        <f t="shared" si="88"/>
        <v/>
      </c>
      <c r="N477" t="str">
        <f t="shared" si="90"/>
        <v>-</v>
      </c>
      <c r="O477" t="str">
        <f t="shared" si="89"/>
        <v/>
      </c>
      <c r="Q477" s="70" t="str">
        <f t="shared" si="91"/>
        <v/>
      </c>
      <c r="R477" t="str">
        <f t="shared" si="92"/>
        <v/>
      </c>
      <c r="S477" s="525" t="str">
        <f t="shared" si="93"/>
        <v/>
      </c>
      <c r="T477" s="87" t="str">
        <f t="shared" si="94"/>
        <v/>
      </c>
      <c r="U477" s="87" t="str">
        <f t="shared" si="95"/>
        <v/>
      </c>
    </row>
    <row r="478" spans="5:21" x14ac:dyDescent="0.25">
      <c r="E478" s="244" t="str">
        <f t="shared" si="84"/>
        <v>-</v>
      </c>
      <c r="F478" t="str">
        <f t="shared" si="85"/>
        <v/>
      </c>
      <c r="G478" s="300" t="str">
        <f t="shared" si="86"/>
        <v/>
      </c>
      <c r="H478" t="str">
        <f t="shared" si="87"/>
        <v/>
      </c>
      <c r="I478" s="88" t="str">
        <f t="shared" si="88"/>
        <v/>
      </c>
      <c r="N478" t="str">
        <f t="shared" si="90"/>
        <v>-</v>
      </c>
      <c r="O478" t="str">
        <f t="shared" si="89"/>
        <v/>
      </c>
      <c r="Q478" s="70" t="str">
        <f t="shared" si="91"/>
        <v/>
      </c>
      <c r="R478" t="str">
        <f t="shared" si="92"/>
        <v/>
      </c>
      <c r="S478" s="525" t="str">
        <f t="shared" si="93"/>
        <v/>
      </c>
      <c r="T478" s="87" t="str">
        <f t="shared" si="94"/>
        <v/>
      </c>
      <c r="U478" s="87" t="str">
        <f t="shared" si="95"/>
        <v/>
      </c>
    </row>
    <row r="479" spans="5:21" x14ac:dyDescent="0.25">
      <c r="E479" s="244" t="str">
        <f t="shared" si="84"/>
        <v>-</v>
      </c>
      <c r="F479" t="str">
        <f t="shared" si="85"/>
        <v/>
      </c>
      <c r="G479" s="300" t="str">
        <f t="shared" si="86"/>
        <v/>
      </c>
      <c r="H479" t="str">
        <f t="shared" si="87"/>
        <v/>
      </c>
      <c r="I479" s="88" t="str">
        <f t="shared" si="88"/>
        <v/>
      </c>
      <c r="N479" t="str">
        <f t="shared" si="90"/>
        <v>-</v>
      </c>
      <c r="O479" t="str">
        <f t="shared" si="89"/>
        <v/>
      </c>
      <c r="Q479" s="70" t="str">
        <f t="shared" si="91"/>
        <v/>
      </c>
      <c r="R479" t="str">
        <f t="shared" si="92"/>
        <v/>
      </c>
      <c r="S479" s="525" t="str">
        <f t="shared" si="93"/>
        <v/>
      </c>
      <c r="T479" s="87" t="str">
        <f t="shared" si="94"/>
        <v/>
      </c>
      <c r="U479" s="87" t="str">
        <f t="shared" si="95"/>
        <v/>
      </c>
    </row>
    <row r="480" spans="5:21" x14ac:dyDescent="0.25">
      <c r="E480" s="244" t="str">
        <f t="shared" si="84"/>
        <v>-</v>
      </c>
      <c r="F480" t="str">
        <f t="shared" si="85"/>
        <v/>
      </c>
      <c r="G480" s="300" t="str">
        <f t="shared" si="86"/>
        <v/>
      </c>
      <c r="H480" t="str">
        <f t="shared" si="87"/>
        <v/>
      </c>
      <c r="I480" s="88" t="str">
        <f t="shared" si="88"/>
        <v/>
      </c>
      <c r="N480" t="str">
        <f t="shared" si="90"/>
        <v>-</v>
      </c>
      <c r="O480" t="str">
        <f t="shared" si="89"/>
        <v/>
      </c>
      <c r="Q480" s="70" t="str">
        <f t="shared" si="91"/>
        <v/>
      </c>
      <c r="R480" t="str">
        <f t="shared" si="92"/>
        <v/>
      </c>
      <c r="S480" s="525" t="str">
        <f t="shared" si="93"/>
        <v/>
      </c>
      <c r="T480" s="87" t="str">
        <f t="shared" si="94"/>
        <v/>
      </c>
      <c r="U480" s="87" t="str">
        <f t="shared" si="95"/>
        <v/>
      </c>
    </row>
    <row r="481" spans="5:21" x14ac:dyDescent="0.25">
      <c r="E481" s="244" t="str">
        <f t="shared" si="84"/>
        <v>-</v>
      </c>
      <c r="F481" t="str">
        <f t="shared" si="85"/>
        <v/>
      </c>
      <c r="G481" s="300" t="str">
        <f t="shared" si="86"/>
        <v/>
      </c>
      <c r="H481" t="str">
        <f t="shared" si="87"/>
        <v/>
      </c>
      <c r="I481" s="88" t="str">
        <f t="shared" si="88"/>
        <v/>
      </c>
      <c r="N481" t="str">
        <f t="shared" si="90"/>
        <v>-</v>
      </c>
      <c r="O481" t="str">
        <f t="shared" si="89"/>
        <v/>
      </c>
      <c r="Q481" s="70" t="str">
        <f t="shared" si="91"/>
        <v/>
      </c>
      <c r="R481" t="str">
        <f t="shared" si="92"/>
        <v/>
      </c>
      <c r="S481" s="525" t="str">
        <f t="shared" si="93"/>
        <v/>
      </c>
      <c r="T481" s="87" t="str">
        <f t="shared" si="94"/>
        <v/>
      </c>
      <c r="U481" s="87" t="str">
        <f t="shared" si="95"/>
        <v/>
      </c>
    </row>
    <row r="482" spans="5:21" x14ac:dyDescent="0.25">
      <c r="E482" s="244" t="str">
        <f t="shared" si="84"/>
        <v>-</v>
      </c>
      <c r="F482" t="str">
        <f t="shared" si="85"/>
        <v/>
      </c>
      <c r="G482" s="300" t="str">
        <f t="shared" si="86"/>
        <v/>
      </c>
      <c r="H482" t="str">
        <f t="shared" si="87"/>
        <v/>
      </c>
      <c r="I482" s="88" t="str">
        <f t="shared" si="88"/>
        <v/>
      </c>
      <c r="N482" t="str">
        <f t="shared" si="90"/>
        <v>-</v>
      </c>
      <c r="O482" t="str">
        <f t="shared" si="89"/>
        <v/>
      </c>
      <c r="Q482" s="70" t="str">
        <f t="shared" si="91"/>
        <v/>
      </c>
      <c r="R482" t="str">
        <f t="shared" si="92"/>
        <v/>
      </c>
      <c r="S482" s="525" t="str">
        <f t="shared" si="93"/>
        <v/>
      </c>
      <c r="T482" s="87" t="str">
        <f t="shared" si="94"/>
        <v/>
      </c>
      <c r="U482" s="87" t="str">
        <f t="shared" si="95"/>
        <v/>
      </c>
    </row>
    <row r="483" spans="5:21" x14ac:dyDescent="0.25">
      <c r="E483" s="244" t="str">
        <f t="shared" si="84"/>
        <v>-</v>
      </c>
      <c r="F483" t="str">
        <f t="shared" si="85"/>
        <v/>
      </c>
      <c r="G483" s="300" t="str">
        <f t="shared" si="86"/>
        <v/>
      </c>
      <c r="H483" t="str">
        <f t="shared" si="87"/>
        <v/>
      </c>
      <c r="I483" s="88" t="str">
        <f t="shared" si="88"/>
        <v/>
      </c>
      <c r="N483" t="str">
        <f t="shared" si="90"/>
        <v>-</v>
      </c>
      <c r="O483" t="str">
        <f t="shared" si="89"/>
        <v/>
      </c>
      <c r="Q483" s="70" t="str">
        <f t="shared" si="91"/>
        <v/>
      </c>
      <c r="R483" t="str">
        <f t="shared" si="92"/>
        <v/>
      </c>
      <c r="S483" s="525" t="str">
        <f t="shared" si="93"/>
        <v/>
      </c>
      <c r="T483" s="87" t="str">
        <f t="shared" si="94"/>
        <v/>
      </c>
      <c r="U483" s="87" t="str">
        <f t="shared" si="95"/>
        <v/>
      </c>
    </row>
    <row r="484" spans="5:21" x14ac:dyDescent="0.25">
      <c r="E484" s="244" t="str">
        <f t="shared" si="84"/>
        <v>-</v>
      </c>
      <c r="F484" t="str">
        <f t="shared" si="85"/>
        <v/>
      </c>
      <c r="G484" s="300" t="str">
        <f t="shared" si="86"/>
        <v/>
      </c>
      <c r="H484" t="str">
        <f t="shared" si="87"/>
        <v/>
      </c>
      <c r="I484" s="88" t="str">
        <f t="shared" si="88"/>
        <v/>
      </c>
      <c r="N484" t="str">
        <f t="shared" si="90"/>
        <v>-</v>
      </c>
      <c r="O484" t="str">
        <f t="shared" si="89"/>
        <v/>
      </c>
      <c r="Q484" s="70" t="str">
        <f t="shared" si="91"/>
        <v/>
      </c>
      <c r="R484" t="str">
        <f t="shared" si="92"/>
        <v/>
      </c>
      <c r="S484" s="525" t="str">
        <f t="shared" si="93"/>
        <v/>
      </c>
      <c r="T484" s="87" t="str">
        <f t="shared" si="94"/>
        <v/>
      </c>
      <c r="U484" s="87" t="str">
        <f t="shared" si="95"/>
        <v/>
      </c>
    </row>
    <row r="485" spans="5:21" x14ac:dyDescent="0.25">
      <c r="E485" s="244" t="str">
        <f t="shared" si="84"/>
        <v>-</v>
      </c>
      <c r="F485" t="str">
        <f t="shared" si="85"/>
        <v/>
      </c>
      <c r="G485" s="300" t="str">
        <f t="shared" si="86"/>
        <v/>
      </c>
      <c r="H485" t="str">
        <f t="shared" si="87"/>
        <v/>
      </c>
      <c r="I485" s="88" t="str">
        <f t="shared" si="88"/>
        <v/>
      </c>
      <c r="N485" t="str">
        <f t="shared" si="90"/>
        <v>-</v>
      </c>
      <c r="O485" t="str">
        <f t="shared" si="89"/>
        <v/>
      </c>
      <c r="Q485" s="70" t="str">
        <f t="shared" si="91"/>
        <v/>
      </c>
      <c r="R485" t="str">
        <f t="shared" si="92"/>
        <v/>
      </c>
      <c r="S485" s="525" t="str">
        <f t="shared" si="93"/>
        <v/>
      </c>
      <c r="T485" s="87" t="str">
        <f t="shared" si="94"/>
        <v/>
      </c>
      <c r="U485" s="87" t="str">
        <f t="shared" si="95"/>
        <v/>
      </c>
    </row>
    <row r="486" spans="5:21" x14ac:dyDescent="0.25">
      <c r="E486" s="244" t="str">
        <f t="shared" si="84"/>
        <v>-</v>
      </c>
      <c r="F486" t="str">
        <f t="shared" si="85"/>
        <v/>
      </c>
      <c r="G486" s="300" t="str">
        <f t="shared" si="86"/>
        <v/>
      </c>
      <c r="H486" t="str">
        <f t="shared" si="87"/>
        <v/>
      </c>
      <c r="I486" s="88" t="str">
        <f t="shared" si="88"/>
        <v/>
      </c>
      <c r="N486" t="str">
        <f t="shared" si="90"/>
        <v>-</v>
      </c>
      <c r="O486" t="str">
        <f t="shared" si="89"/>
        <v/>
      </c>
      <c r="Q486" s="70" t="str">
        <f t="shared" si="91"/>
        <v/>
      </c>
      <c r="R486" t="str">
        <f t="shared" si="92"/>
        <v/>
      </c>
      <c r="S486" s="525" t="str">
        <f t="shared" si="93"/>
        <v/>
      </c>
      <c r="T486" s="87" t="str">
        <f t="shared" si="94"/>
        <v/>
      </c>
      <c r="U486" s="87" t="str">
        <f t="shared" si="95"/>
        <v/>
      </c>
    </row>
    <row r="487" spans="5:21" x14ac:dyDescent="0.25">
      <c r="E487" s="244" t="str">
        <f t="shared" si="84"/>
        <v>-</v>
      </c>
      <c r="F487" t="str">
        <f t="shared" si="85"/>
        <v/>
      </c>
      <c r="G487" s="300" t="str">
        <f t="shared" si="86"/>
        <v/>
      </c>
      <c r="H487" t="str">
        <f t="shared" si="87"/>
        <v/>
      </c>
      <c r="I487" s="88" t="str">
        <f t="shared" si="88"/>
        <v/>
      </c>
      <c r="N487" t="str">
        <f t="shared" si="90"/>
        <v>-</v>
      </c>
      <c r="O487" t="str">
        <f t="shared" si="89"/>
        <v/>
      </c>
      <c r="Q487" s="70" t="str">
        <f t="shared" si="91"/>
        <v/>
      </c>
      <c r="R487" t="str">
        <f t="shared" si="92"/>
        <v/>
      </c>
      <c r="S487" s="525" t="str">
        <f t="shared" si="93"/>
        <v/>
      </c>
      <c r="T487" s="87" t="str">
        <f t="shared" si="94"/>
        <v/>
      </c>
      <c r="U487" s="87" t="str">
        <f t="shared" si="95"/>
        <v/>
      </c>
    </row>
    <row r="488" spans="5:21" x14ac:dyDescent="0.25">
      <c r="E488" s="244" t="str">
        <f t="shared" si="84"/>
        <v>-</v>
      </c>
      <c r="F488" t="str">
        <f t="shared" si="85"/>
        <v/>
      </c>
      <c r="G488" s="300" t="str">
        <f t="shared" si="86"/>
        <v/>
      </c>
      <c r="H488" t="str">
        <f t="shared" si="87"/>
        <v/>
      </c>
      <c r="I488" s="88" t="str">
        <f t="shared" si="88"/>
        <v/>
      </c>
      <c r="N488" t="str">
        <f t="shared" si="90"/>
        <v>-</v>
      </c>
      <c r="O488" t="str">
        <f t="shared" si="89"/>
        <v/>
      </c>
      <c r="Q488" s="70" t="str">
        <f t="shared" si="91"/>
        <v/>
      </c>
      <c r="R488" t="str">
        <f t="shared" si="92"/>
        <v/>
      </c>
      <c r="S488" s="525" t="str">
        <f t="shared" si="93"/>
        <v/>
      </c>
      <c r="T488" s="87" t="str">
        <f t="shared" si="94"/>
        <v/>
      </c>
      <c r="U488" s="87" t="str">
        <f t="shared" si="95"/>
        <v/>
      </c>
    </row>
    <row r="489" spans="5:21" x14ac:dyDescent="0.25">
      <c r="E489" s="244" t="str">
        <f t="shared" si="84"/>
        <v>-</v>
      </c>
      <c r="F489" t="str">
        <f t="shared" si="85"/>
        <v/>
      </c>
      <c r="G489" s="300" t="str">
        <f t="shared" si="86"/>
        <v/>
      </c>
      <c r="H489" t="str">
        <f t="shared" si="87"/>
        <v/>
      </c>
      <c r="I489" s="88" t="str">
        <f t="shared" si="88"/>
        <v/>
      </c>
      <c r="N489" t="str">
        <f t="shared" si="90"/>
        <v>-</v>
      </c>
      <c r="O489" t="str">
        <f t="shared" si="89"/>
        <v/>
      </c>
      <c r="Q489" s="70" t="str">
        <f t="shared" si="91"/>
        <v/>
      </c>
      <c r="R489" t="str">
        <f t="shared" si="92"/>
        <v/>
      </c>
      <c r="S489" s="525" t="str">
        <f t="shared" si="93"/>
        <v/>
      </c>
      <c r="T489" s="87" t="str">
        <f t="shared" si="94"/>
        <v/>
      </c>
      <c r="U489" s="87" t="str">
        <f t="shared" si="95"/>
        <v/>
      </c>
    </row>
    <row r="490" spans="5:21" x14ac:dyDescent="0.25">
      <c r="E490" s="244" t="str">
        <f t="shared" si="84"/>
        <v>-</v>
      </c>
      <c r="F490" t="str">
        <f t="shared" si="85"/>
        <v/>
      </c>
      <c r="G490" s="300" t="str">
        <f t="shared" si="86"/>
        <v/>
      </c>
      <c r="H490" t="str">
        <f t="shared" si="87"/>
        <v/>
      </c>
      <c r="I490" s="88" t="str">
        <f t="shared" si="88"/>
        <v/>
      </c>
      <c r="N490" t="str">
        <f t="shared" si="90"/>
        <v>-</v>
      </c>
      <c r="O490" t="str">
        <f t="shared" si="89"/>
        <v/>
      </c>
      <c r="Q490" s="70" t="str">
        <f t="shared" si="91"/>
        <v/>
      </c>
      <c r="R490" t="str">
        <f t="shared" si="92"/>
        <v/>
      </c>
      <c r="S490" s="525" t="str">
        <f t="shared" si="93"/>
        <v/>
      </c>
      <c r="T490" s="87" t="str">
        <f t="shared" si="94"/>
        <v/>
      </c>
      <c r="U490" s="87" t="str">
        <f t="shared" si="95"/>
        <v/>
      </c>
    </row>
    <row r="491" spans="5:21" x14ac:dyDescent="0.25">
      <c r="E491" s="244" t="str">
        <f t="shared" si="84"/>
        <v>-</v>
      </c>
      <c r="F491" t="str">
        <f t="shared" si="85"/>
        <v/>
      </c>
      <c r="G491" s="300" t="str">
        <f t="shared" si="86"/>
        <v/>
      </c>
      <c r="H491" t="str">
        <f t="shared" si="87"/>
        <v/>
      </c>
      <c r="I491" s="88" t="str">
        <f t="shared" si="88"/>
        <v/>
      </c>
      <c r="N491" t="str">
        <f t="shared" si="90"/>
        <v>-</v>
      </c>
      <c r="O491" t="str">
        <f t="shared" si="89"/>
        <v/>
      </c>
      <c r="Q491" s="70" t="str">
        <f t="shared" si="91"/>
        <v/>
      </c>
      <c r="R491" t="str">
        <f t="shared" si="92"/>
        <v/>
      </c>
      <c r="S491" s="525" t="str">
        <f t="shared" si="93"/>
        <v/>
      </c>
      <c r="T491" s="87" t="str">
        <f t="shared" si="94"/>
        <v/>
      </c>
      <c r="U491" s="87" t="str">
        <f t="shared" si="95"/>
        <v/>
      </c>
    </row>
    <row r="492" spans="5:21" x14ac:dyDescent="0.25">
      <c r="E492" s="244" t="str">
        <f t="shared" si="84"/>
        <v>-</v>
      </c>
      <c r="F492" t="str">
        <f t="shared" si="85"/>
        <v/>
      </c>
      <c r="G492" s="300" t="str">
        <f t="shared" si="86"/>
        <v/>
      </c>
      <c r="H492" t="str">
        <f t="shared" si="87"/>
        <v/>
      </c>
      <c r="I492" s="88" t="str">
        <f t="shared" si="88"/>
        <v/>
      </c>
      <c r="N492" t="str">
        <f t="shared" si="90"/>
        <v>-</v>
      </c>
      <c r="O492" t="str">
        <f t="shared" si="89"/>
        <v/>
      </c>
      <c r="Q492" s="70" t="str">
        <f t="shared" si="91"/>
        <v/>
      </c>
      <c r="R492" t="str">
        <f t="shared" si="92"/>
        <v/>
      </c>
      <c r="S492" s="525" t="str">
        <f t="shared" si="93"/>
        <v/>
      </c>
      <c r="T492" s="87" t="str">
        <f t="shared" si="94"/>
        <v/>
      </c>
      <c r="U492" s="87" t="str">
        <f t="shared" si="95"/>
        <v/>
      </c>
    </row>
    <row r="493" spans="5:21" x14ac:dyDescent="0.25">
      <c r="E493" s="244" t="str">
        <f t="shared" si="84"/>
        <v>-</v>
      </c>
      <c r="F493" t="str">
        <f t="shared" si="85"/>
        <v/>
      </c>
      <c r="G493" s="300" t="str">
        <f t="shared" si="86"/>
        <v/>
      </c>
      <c r="H493" t="str">
        <f t="shared" si="87"/>
        <v/>
      </c>
      <c r="I493" s="88" t="str">
        <f t="shared" si="88"/>
        <v/>
      </c>
      <c r="N493" t="str">
        <f t="shared" si="90"/>
        <v>-</v>
      </c>
      <c r="O493" t="str">
        <f t="shared" si="89"/>
        <v/>
      </c>
      <c r="Q493" s="70" t="str">
        <f t="shared" si="91"/>
        <v/>
      </c>
      <c r="R493" t="str">
        <f t="shared" si="92"/>
        <v/>
      </c>
      <c r="S493" s="525" t="str">
        <f t="shared" si="93"/>
        <v/>
      </c>
      <c r="T493" s="87" t="str">
        <f t="shared" si="94"/>
        <v/>
      </c>
      <c r="U493" s="87" t="str">
        <f t="shared" si="95"/>
        <v/>
      </c>
    </row>
    <row r="494" spans="5:21" x14ac:dyDescent="0.25">
      <c r="E494" s="244" t="str">
        <f t="shared" si="84"/>
        <v>-</v>
      </c>
      <c r="F494" t="str">
        <f t="shared" si="85"/>
        <v/>
      </c>
      <c r="G494" s="300" t="str">
        <f t="shared" si="86"/>
        <v/>
      </c>
      <c r="H494" t="str">
        <f t="shared" si="87"/>
        <v/>
      </c>
      <c r="I494" s="88" t="str">
        <f t="shared" si="88"/>
        <v/>
      </c>
      <c r="N494" t="str">
        <f t="shared" si="90"/>
        <v>-</v>
      </c>
      <c r="O494" t="str">
        <f t="shared" si="89"/>
        <v/>
      </c>
      <c r="Q494" s="70" t="str">
        <f t="shared" si="91"/>
        <v/>
      </c>
      <c r="R494" t="str">
        <f t="shared" si="92"/>
        <v/>
      </c>
      <c r="S494" s="525" t="str">
        <f t="shared" si="93"/>
        <v/>
      </c>
      <c r="T494" s="87" t="str">
        <f t="shared" si="94"/>
        <v/>
      </c>
      <c r="U494" s="87" t="str">
        <f t="shared" si="95"/>
        <v/>
      </c>
    </row>
    <row r="495" spans="5:21" x14ac:dyDescent="0.25">
      <c r="E495" s="244" t="str">
        <f t="shared" si="84"/>
        <v>-</v>
      </c>
      <c r="F495" t="str">
        <f t="shared" si="85"/>
        <v/>
      </c>
      <c r="G495" s="300" t="str">
        <f t="shared" si="86"/>
        <v/>
      </c>
      <c r="H495" t="str">
        <f t="shared" si="87"/>
        <v/>
      </c>
      <c r="I495" s="88" t="str">
        <f t="shared" si="88"/>
        <v/>
      </c>
      <c r="N495" t="str">
        <f t="shared" si="90"/>
        <v>-</v>
      </c>
      <c r="O495" t="str">
        <f t="shared" si="89"/>
        <v/>
      </c>
      <c r="Q495" s="70" t="str">
        <f t="shared" si="91"/>
        <v/>
      </c>
      <c r="R495" t="str">
        <f t="shared" si="92"/>
        <v/>
      </c>
      <c r="S495" s="525" t="str">
        <f t="shared" si="93"/>
        <v/>
      </c>
      <c r="T495" s="87" t="str">
        <f t="shared" si="94"/>
        <v/>
      </c>
      <c r="U495" s="87" t="str">
        <f t="shared" si="95"/>
        <v/>
      </c>
    </row>
    <row r="496" spans="5:21" x14ac:dyDescent="0.25">
      <c r="E496" s="244" t="str">
        <f t="shared" si="84"/>
        <v>-</v>
      </c>
      <c r="F496" t="str">
        <f t="shared" si="85"/>
        <v/>
      </c>
      <c r="G496" s="300" t="str">
        <f t="shared" si="86"/>
        <v/>
      </c>
      <c r="H496" t="str">
        <f t="shared" si="87"/>
        <v/>
      </c>
      <c r="I496" s="88" t="str">
        <f t="shared" si="88"/>
        <v/>
      </c>
      <c r="N496" t="str">
        <f t="shared" si="90"/>
        <v>-</v>
      </c>
      <c r="O496" t="str">
        <f t="shared" si="89"/>
        <v/>
      </c>
      <c r="Q496" s="70" t="str">
        <f t="shared" si="91"/>
        <v/>
      </c>
      <c r="R496" t="str">
        <f t="shared" si="92"/>
        <v/>
      </c>
      <c r="S496" s="525" t="str">
        <f t="shared" si="93"/>
        <v/>
      </c>
      <c r="T496" s="87" t="str">
        <f t="shared" si="94"/>
        <v/>
      </c>
      <c r="U496" s="87" t="str">
        <f t="shared" si="95"/>
        <v/>
      </c>
    </row>
    <row r="497" spans="5:21" x14ac:dyDescent="0.25">
      <c r="E497" s="244" t="str">
        <f t="shared" si="84"/>
        <v>-</v>
      </c>
      <c r="F497" t="str">
        <f t="shared" si="85"/>
        <v/>
      </c>
      <c r="G497" s="300" t="str">
        <f t="shared" si="86"/>
        <v/>
      </c>
      <c r="H497" t="str">
        <f t="shared" si="87"/>
        <v/>
      </c>
      <c r="I497" s="88" t="str">
        <f t="shared" si="88"/>
        <v/>
      </c>
      <c r="N497" t="str">
        <f t="shared" si="90"/>
        <v>-</v>
      </c>
      <c r="O497" t="str">
        <f t="shared" si="89"/>
        <v/>
      </c>
      <c r="Q497" s="70" t="str">
        <f t="shared" si="91"/>
        <v/>
      </c>
      <c r="R497" t="str">
        <f t="shared" si="92"/>
        <v/>
      </c>
      <c r="S497" s="525" t="str">
        <f t="shared" si="93"/>
        <v/>
      </c>
      <c r="T497" s="87" t="str">
        <f t="shared" si="94"/>
        <v/>
      </c>
      <c r="U497" s="87" t="str">
        <f t="shared" si="95"/>
        <v/>
      </c>
    </row>
    <row r="498" spans="5:21" x14ac:dyDescent="0.25">
      <c r="E498" s="244" t="str">
        <f t="shared" si="84"/>
        <v>-</v>
      </c>
      <c r="F498" t="str">
        <f t="shared" si="85"/>
        <v/>
      </c>
      <c r="G498" s="300" t="str">
        <f t="shared" si="86"/>
        <v/>
      </c>
      <c r="H498" t="str">
        <f t="shared" si="87"/>
        <v/>
      </c>
      <c r="I498" s="88" t="str">
        <f t="shared" si="88"/>
        <v/>
      </c>
      <c r="N498" t="str">
        <f t="shared" si="90"/>
        <v>-</v>
      </c>
      <c r="O498" t="str">
        <f t="shared" si="89"/>
        <v/>
      </c>
      <c r="Q498" s="70" t="str">
        <f t="shared" si="91"/>
        <v/>
      </c>
      <c r="R498" t="str">
        <f t="shared" si="92"/>
        <v/>
      </c>
      <c r="S498" s="525" t="str">
        <f t="shared" si="93"/>
        <v/>
      </c>
      <c r="T498" s="87" t="str">
        <f t="shared" si="94"/>
        <v/>
      </c>
      <c r="U498" s="87" t="str">
        <f t="shared" si="95"/>
        <v/>
      </c>
    </row>
    <row r="499" spans="5:21" x14ac:dyDescent="0.25">
      <c r="E499" s="244" t="str">
        <f t="shared" si="84"/>
        <v>-</v>
      </c>
      <c r="F499" t="str">
        <f t="shared" si="85"/>
        <v/>
      </c>
      <c r="G499" s="300" t="str">
        <f t="shared" si="86"/>
        <v/>
      </c>
      <c r="H499" t="str">
        <f t="shared" si="87"/>
        <v/>
      </c>
      <c r="I499" s="88" t="str">
        <f t="shared" si="88"/>
        <v/>
      </c>
      <c r="N499" t="str">
        <f t="shared" si="90"/>
        <v>-</v>
      </c>
      <c r="O499" t="str">
        <f t="shared" si="89"/>
        <v/>
      </c>
      <c r="Q499" s="70" t="str">
        <f t="shared" si="91"/>
        <v/>
      </c>
      <c r="R499" t="str">
        <f t="shared" si="92"/>
        <v/>
      </c>
      <c r="S499" s="525" t="str">
        <f t="shared" si="93"/>
        <v/>
      </c>
      <c r="T499" s="87" t="str">
        <f t="shared" si="94"/>
        <v/>
      </c>
      <c r="U499" s="87" t="str">
        <f t="shared" si="95"/>
        <v/>
      </c>
    </row>
    <row r="500" spans="5:21" x14ac:dyDescent="0.25">
      <c r="E500" s="244" t="str">
        <f t="shared" si="84"/>
        <v>-</v>
      </c>
      <c r="F500" t="str">
        <f t="shared" si="85"/>
        <v/>
      </c>
      <c r="G500" s="300" t="str">
        <f t="shared" si="86"/>
        <v/>
      </c>
      <c r="H500" t="str">
        <f t="shared" si="87"/>
        <v/>
      </c>
      <c r="I500" s="88" t="str">
        <f t="shared" si="88"/>
        <v/>
      </c>
      <c r="N500" t="str">
        <f t="shared" si="90"/>
        <v>-</v>
      </c>
      <c r="O500" t="str">
        <f t="shared" si="89"/>
        <v/>
      </c>
      <c r="Q500" s="70" t="str">
        <f t="shared" si="91"/>
        <v/>
      </c>
      <c r="R500" t="str">
        <f t="shared" si="92"/>
        <v/>
      </c>
      <c r="S500" s="525" t="str">
        <f t="shared" si="93"/>
        <v/>
      </c>
      <c r="T500" s="87" t="str">
        <f t="shared" si="94"/>
        <v/>
      </c>
      <c r="U500" s="87" t="str">
        <f t="shared" si="95"/>
        <v/>
      </c>
    </row>
    <row r="501" spans="5:21" x14ac:dyDescent="0.25">
      <c r="E501" s="244" t="str">
        <f t="shared" si="84"/>
        <v>-</v>
      </c>
      <c r="F501" t="str">
        <f t="shared" si="85"/>
        <v/>
      </c>
      <c r="G501" s="300" t="str">
        <f t="shared" si="86"/>
        <v/>
      </c>
      <c r="H501" t="str">
        <f t="shared" si="87"/>
        <v/>
      </c>
      <c r="I501" s="88" t="str">
        <f t="shared" si="88"/>
        <v/>
      </c>
      <c r="N501" t="str">
        <f t="shared" si="90"/>
        <v>-</v>
      </c>
      <c r="O501" t="str">
        <f t="shared" si="89"/>
        <v/>
      </c>
      <c r="Q501" s="70" t="str">
        <f t="shared" si="91"/>
        <v/>
      </c>
      <c r="R501" t="str">
        <f t="shared" si="92"/>
        <v/>
      </c>
      <c r="S501" s="525" t="str">
        <f t="shared" si="93"/>
        <v/>
      </c>
      <c r="T501" s="87" t="str">
        <f t="shared" si="94"/>
        <v/>
      </c>
      <c r="U501" s="87" t="str">
        <f t="shared" si="95"/>
        <v/>
      </c>
    </row>
    <row r="502" spans="5:21" x14ac:dyDescent="0.25">
      <c r="E502" s="244" t="str">
        <f t="shared" si="84"/>
        <v>-</v>
      </c>
      <c r="F502" t="str">
        <f t="shared" si="85"/>
        <v/>
      </c>
      <c r="G502" s="300" t="str">
        <f t="shared" si="86"/>
        <v/>
      </c>
      <c r="H502" t="str">
        <f t="shared" si="87"/>
        <v/>
      </c>
      <c r="I502" s="88" t="str">
        <f t="shared" si="88"/>
        <v/>
      </c>
      <c r="N502" t="str">
        <f t="shared" si="90"/>
        <v>-</v>
      </c>
      <c r="O502" t="str">
        <f t="shared" si="89"/>
        <v/>
      </c>
      <c r="Q502" s="70" t="str">
        <f t="shared" si="91"/>
        <v/>
      </c>
      <c r="R502" t="str">
        <f t="shared" si="92"/>
        <v/>
      </c>
      <c r="S502" s="525" t="str">
        <f t="shared" si="93"/>
        <v/>
      </c>
      <c r="T502" s="87" t="str">
        <f t="shared" si="94"/>
        <v/>
      </c>
      <c r="U502" s="87" t="str">
        <f t="shared" si="95"/>
        <v/>
      </c>
    </row>
    <row r="503" spans="5:21" x14ac:dyDescent="0.25">
      <c r="E503" s="244" t="str">
        <f t="shared" si="84"/>
        <v>-</v>
      </c>
      <c r="F503" t="str">
        <f t="shared" si="85"/>
        <v/>
      </c>
      <c r="G503" s="300" t="str">
        <f t="shared" si="86"/>
        <v/>
      </c>
      <c r="H503" t="str">
        <f t="shared" si="87"/>
        <v/>
      </c>
      <c r="I503" s="88" t="str">
        <f t="shared" si="88"/>
        <v/>
      </c>
      <c r="N503" t="str">
        <f t="shared" si="90"/>
        <v>-</v>
      </c>
      <c r="O503" t="str">
        <f t="shared" si="89"/>
        <v/>
      </c>
      <c r="Q503" s="70" t="str">
        <f t="shared" si="91"/>
        <v/>
      </c>
      <c r="R503" t="str">
        <f t="shared" si="92"/>
        <v/>
      </c>
      <c r="S503" s="525" t="str">
        <f t="shared" si="93"/>
        <v/>
      </c>
      <c r="T503" s="87" t="str">
        <f t="shared" si="94"/>
        <v/>
      </c>
      <c r="U503" s="87" t="str">
        <f t="shared" si="95"/>
        <v/>
      </c>
    </row>
    <row r="504" spans="5:21" x14ac:dyDescent="0.25">
      <c r="E504" s="244" t="str">
        <f t="shared" si="84"/>
        <v>-</v>
      </c>
      <c r="F504" t="str">
        <f t="shared" si="85"/>
        <v/>
      </c>
      <c r="G504" s="300" t="str">
        <f t="shared" si="86"/>
        <v/>
      </c>
      <c r="H504" t="str">
        <f t="shared" si="87"/>
        <v/>
      </c>
      <c r="I504" s="88" t="str">
        <f t="shared" si="88"/>
        <v/>
      </c>
      <c r="N504" t="str">
        <f t="shared" si="90"/>
        <v>-</v>
      </c>
      <c r="O504" t="str">
        <f t="shared" si="89"/>
        <v/>
      </c>
      <c r="Q504" s="70" t="str">
        <f t="shared" si="91"/>
        <v/>
      </c>
      <c r="R504" t="str">
        <f t="shared" si="92"/>
        <v/>
      </c>
      <c r="S504" s="525" t="str">
        <f t="shared" si="93"/>
        <v/>
      </c>
      <c r="T504" s="87" t="str">
        <f t="shared" si="94"/>
        <v/>
      </c>
      <c r="U504" s="87" t="str">
        <f t="shared" si="95"/>
        <v/>
      </c>
    </row>
    <row r="505" spans="5:21" x14ac:dyDescent="0.25">
      <c r="E505" s="244" t="str">
        <f t="shared" si="84"/>
        <v>-</v>
      </c>
      <c r="F505" t="str">
        <f t="shared" si="85"/>
        <v/>
      </c>
      <c r="G505" s="300" t="str">
        <f t="shared" si="86"/>
        <v/>
      </c>
      <c r="H505" t="str">
        <f t="shared" si="87"/>
        <v/>
      </c>
      <c r="I505" s="88" t="str">
        <f t="shared" si="88"/>
        <v/>
      </c>
      <c r="N505" t="str">
        <f t="shared" si="90"/>
        <v>-</v>
      </c>
      <c r="O505" t="str">
        <f t="shared" si="89"/>
        <v/>
      </c>
      <c r="Q505" s="70" t="str">
        <f t="shared" si="91"/>
        <v/>
      </c>
      <c r="R505" t="str">
        <f t="shared" si="92"/>
        <v/>
      </c>
      <c r="S505" s="525" t="str">
        <f t="shared" si="93"/>
        <v/>
      </c>
      <c r="T505" s="87" t="str">
        <f t="shared" si="94"/>
        <v/>
      </c>
      <c r="U505" s="87" t="str">
        <f t="shared" si="95"/>
        <v/>
      </c>
    </row>
    <row r="506" spans="5:21" x14ac:dyDescent="0.25">
      <c r="E506" s="244" t="str">
        <f t="shared" si="84"/>
        <v>-</v>
      </c>
      <c r="F506" t="str">
        <f t="shared" si="85"/>
        <v/>
      </c>
      <c r="G506" s="300" t="str">
        <f t="shared" si="86"/>
        <v/>
      </c>
      <c r="H506" t="str">
        <f t="shared" si="87"/>
        <v/>
      </c>
      <c r="I506" s="88" t="str">
        <f t="shared" si="88"/>
        <v/>
      </c>
      <c r="N506" t="str">
        <f t="shared" si="90"/>
        <v>-</v>
      </c>
      <c r="O506" t="str">
        <f t="shared" si="89"/>
        <v/>
      </c>
      <c r="Q506" s="70" t="str">
        <f t="shared" si="91"/>
        <v/>
      </c>
      <c r="R506" t="str">
        <f t="shared" si="92"/>
        <v/>
      </c>
      <c r="S506" s="525" t="str">
        <f t="shared" si="93"/>
        <v/>
      </c>
      <c r="T506" s="87" t="str">
        <f t="shared" si="94"/>
        <v/>
      </c>
      <c r="U506" s="87" t="str">
        <f t="shared" si="95"/>
        <v/>
      </c>
    </row>
    <row r="507" spans="5:21" x14ac:dyDescent="0.25">
      <c r="E507" s="244" t="str">
        <f t="shared" si="84"/>
        <v>-</v>
      </c>
      <c r="F507" t="str">
        <f t="shared" si="85"/>
        <v/>
      </c>
      <c r="G507" s="300" t="str">
        <f t="shared" si="86"/>
        <v/>
      </c>
      <c r="H507" t="str">
        <f t="shared" si="87"/>
        <v/>
      </c>
      <c r="I507" s="88" t="str">
        <f t="shared" si="88"/>
        <v/>
      </c>
      <c r="N507" t="str">
        <f t="shared" si="90"/>
        <v>-</v>
      </c>
      <c r="O507" t="str">
        <f t="shared" si="89"/>
        <v/>
      </c>
      <c r="Q507" s="70" t="str">
        <f t="shared" si="91"/>
        <v/>
      </c>
      <c r="R507" t="str">
        <f t="shared" si="92"/>
        <v/>
      </c>
      <c r="S507" s="525" t="str">
        <f t="shared" si="93"/>
        <v/>
      </c>
      <c r="T507" s="87" t="str">
        <f t="shared" si="94"/>
        <v/>
      </c>
      <c r="U507" s="87" t="str">
        <f t="shared" si="95"/>
        <v/>
      </c>
    </row>
    <row r="508" spans="5:21" x14ac:dyDescent="0.25">
      <c r="E508" s="244" t="str">
        <f t="shared" si="84"/>
        <v>-</v>
      </c>
      <c r="F508" t="str">
        <f t="shared" si="85"/>
        <v/>
      </c>
      <c r="G508" s="300" t="str">
        <f t="shared" si="86"/>
        <v/>
      </c>
      <c r="H508" t="str">
        <f t="shared" si="87"/>
        <v/>
      </c>
      <c r="I508" s="88" t="str">
        <f t="shared" si="88"/>
        <v/>
      </c>
      <c r="N508" t="str">
        <f t="shared" si="90"/>
        <v>-</v>
      </c>
      <c r="O508" t="str">
        <f t="shared" si="89"/>
        <v/>
      </c>
      <c r="Q508" s="70" t="str">
        <f t="shared" si="91"/>
        <v/>
      </c>
      <c r="R508" t="str">
        <f t="shared" si="92"/>
        <v/>
      </c>
      <c r="S508" s="525" t="str">
        <f t="shared" si="93"/>
        <v/>
      </c>
      <c r="T508" s="87" t="str">
        <f t="shared" si="94"/>
        <v/>
      </c>
      <c r="U508" s="87" t="str">
        <f t="shared" si="95"/>
        <v/>
      </c>
    </row>
    <row r="509" spans="5:21" x14ac:dyDescent="0.25">
      <c r="E509" s="244" t="str">
        <f t="shared" si="84"/>
        <v>-</v>
      </c>
      <c r="F509" t="str">
        <f t="shared" si="85"/>
        <v/>
      </c>
      <c r="G509" s="300" t="str">
        <f t="shared" si="86"/>
        <v/>
      </c>
      <c r="H509" t="str">
        <f t="shared" si="87"/>
        <v/>
      </c>
      <c r="I509" s="88" t="str">
        <f t="shared" si="88"/>
        <v/>
      </c>
      <c r="N509" t="str">
        <f t="shared" si="90"/>
        <v>-</v>
      </c>
      <c r="O509" t="str">
        <f t="shared" si="89"/>
        <v/>
      </c>
      <c r="Q509" s="70" t="str">
        <f t="shared" si="91"/>
        <v/>
      </c>
      <c r="R509" t="str">
        <f t="shared" si="92"/>
        <v/>
      </c>
      <c r="S509" s="525" t="str">
        <f t="shared" si="93"/>
        <v/>
      </c>
      <c r="T509" s="87" t="str">
        <f t="shared" si="94"/>
        <v/>
      </c>
      <c r="U509" s="87" t="str">
        <f t="shared" si="95"/>
        <v/>
      </c>
    </row>
    <row r="510" spans="5:21" x14ac:dyDescent="0.25">
      <c r="E510" s="244" t="str">
        <f t="shared" si="84"/>
        <v>-</v>
      </c>
      <c r="F510" t="str">
        <f t="shared" si="85"/>
        <v/>
      </c>
      <c r="G510" s="300" t="str">
        <f t="shared" si="86"/>
        <v/>
      </c>
      <c r="H510" t="str">
        <f t="shared" si="87"/>
        <v/>
      </c>
      <c r="I510" s="88" t="str">
        <f t="shared" si="88"/>
        <v/>
      </c>
      <c r="N510" t="str">
        <f t="shared" si="90"/>
        <v>-</v>
      </c>
      <c r="O510" t="str">
        <f t="shared" si="89"/>
        <v/>
      </c>
      <c r="Q510" s="70" t="str">
        <f t="shared" si="91"/>
        <v/>
      </c>
      <c r="R510" t="str">
        <f t="shared" si="92"/>
        <v/>
      </c>
      <c r="S510" s="525" t="str">
        <f t="shared" si="93"/>
        <v/>
      </c>
      <c r="T510" s="87" t="str">
        <f t="shared" si="94"/>
        <v/>
      </c>
      <c r="U510" s="87" t="str">
        <f t="shared" si="95"/>
        <v/>
      </c>
    </row>
    <row r="511" spans="5:21" x14ac:dyDescent="0.25">
      <c r="E511" s="244" t="str">
        <f t="shared" si="84"/>
        <v>-</v>
      </c>
      <c r="F511" t="str">
        <f t="shared" si="85"/>
        <v/>
      </c>
      <c r="G511" s="300" t="str">
        <f t="shared" si="86"/>
        <v/>
      </c>
      <c r="H511" t="str">
        <f t="shared" si="87"/>
        <v/>
      </c>
      <c r="I511" s="88" t="str">
        <f t="shared" si="88"/>
        <v/>
      </c>
      <c r="N511" t="str">
        <f t="shared" si="90"/>
        <v>-</v>
      </c>
      <c r="O511" t="str">
        <f t="shared" si="89"/>
        <v/>
      </c>
      <c r="Q511" s="70" t="str">
        <f t="shared" si="91"/>
        <v/>
      </c>
      <c r="R511" t="str">
        <f t="shared" si="92"/>
        <v/>
      </c>
      <c r="S511" s="525" t="str">
        <f t="shared" si="93"/>
        <v/>
      </c>
      <c r="T511" s="87" t="str">
        <f t="shared" si="94"/>
        <v/>
      </c>
      <c r="U511" s="87" t="str">
        <f t="shared" si="95"/>
        <v/>
      </c>
    </row>
    <row r="512" spans="5:21" x14ac:dyDescent="0.25">
      <c r="E512" s="244" t="str">
        <f t="shared" si="84"/>
        <v>-</v>
      </c>
      <c r="F512" t="str">
        <f t="shared" si="85"/>
        <v/>
      </c>
      <c r="G512" s="300" t="str">
        <f t="shared" si="86"/>
        <v/>
      </c>
      <c r="H512" t="str">
        <f t="shared" si="87"/>
        <v/>
      </c>
      <c r="I512" s="88" t="str">
        <f t="shared" si="88"/>
        <v/>
      </c>
      <c r="N512" t="str">
        <f t="shared" si="90"/>
        <v>-</v>
      </c>
      <c r="O512" t="str">
        <f t="shared" si="89"/>
        <v/>
      </c>
      <c r="Q512" s="70" t="str">
        <f t="shared" si="91"/>
        <v/>
      </c>
      <c r="R512" t="str">
        <f t="shared" si="92"/>
        <v/>
      </c>
      <c r="S512" s="525" t="str">
        <f t="shared" si="93"/>
        <v/>
      </c>
      <c r="T512" s="87" t="str">
        <f t="shared" si="94"/>
        <v/>
      </c>
      <c r="U512" s="87" t="str">
        <f t="shared" si="95"/>
        <v/>
      </c>
    </row>
    <row r="513" spans="5:21" x14ac:dyDescent="0.25">
      <c r="E513" s="244" t="str">
        <f t="shared" si="84"/>
        <v>-</v>
      </c>
      <c r="F513" t="str">
        <f t="shared" si="85"/>
        <v/>
      </c>
      <c r="G513" s="300" t="str">
        <f t="shared" si="86"/>
        <v/>
      </c>
      <c r="H513" t="str">
        <f t="shared" si="87"/>
        <v/>
      </c>
      <c r="I513" s="88" t="str">
        <f t="shared" si="88"/>
        <v/>
      </c>
      <c r="N513" t="str">
        <f t="shared" si="90"/>
        <v>-</v>
      </c>
      <c r="O513" t="str">
        <f t="shared" si="89"/>
        <v/>
      </c>
      <c r="Q513" s="70" t="str">
        <f t="shared" si="91"/>
        <v/>
      </c>
      <c r="R513" t="str">
        <f t="shared" si="92"/>
        <v/>
      </c>
      <c r="S513" s="525" t="str">
        <f t="shared" si="93"/>
        <v/>
      </c>
      <c r="T513" s="87" t="str">
        <f t="shared" si="94"/>
        <v/>
      </c>
      <c r="U513" s="87" t="str">
        <f t="shared" si="95"/>
        <v/>
      </c>
    </row>
    <row r="514" spans="5:21" x14ac:dyDescent="0.25">
      <c r="E514" s="244" t="str">
        <f t="shared" si="84"/>
        <v>-</v>
      </c>
      <c r="F514" t="str">
        <f t="shared" si="85"/>
        <v/>
      </c>
      <c r="G514" s="300" t="str">
        <f t="shared" si="86"/>
        <v/>
      </c>
      <c r="H514" t="str">
        <f t="shared" si="87"/>
        <v/>
      </c>
      <c r="I514" s="88" t="str">
        <f t="shared" si="88"/>
        <v/>
      </c>
      <c r="N514" t="str">
        <f t="shared" si="90"/>
        <v>-</v>
      </c>
      <c r="O514" t="str">
        <f t="shared" si="89"/>
        <v/>
      </c>
      <c r="Q514" s="70" t="str">
        <f t="shared" si="91"/>
        <v/>
      </c>
      <c r="R514" t="str">
        <f t="shared" si="92"/>
        <v/>
      </c>
      <c r="S514" s="525" t="str">
        <f t="shared" si="93"/>
        <v/>
      </c>
      <c r="T514" s="87" t="str">
        <f t="shared" si="94"/>
        <v/>
      </c>
      <c r="U514" s="87" t="str">
        <f t="shared" si="95"/>
        <v/>
      </c>
    </row>
    <row r="515" spans="5:21" x14ac:dyDescent="0.25">
      <c r="E515" s="244" t="str">
        <f t="shared" si="84"/>
        <v>-</v>
      </c>
      <c r="F515" t="str">
        <f t="shared" si="85"/>
        <v/>
      </c>
      <c r="G515" s="300" t="str">
        <f t="shared" si="86"/>
        <v/>
      </c>
      <c r="H515" t="str">
        <f t="shared" si="87"/>
        <v/>
      </c>
      <c r="I515" s="88" t="str">
        <f t="shared" si="88"/>
        <v/>
      </c>
      <c r="N515" t="str">
        <f t="shared" si="90"/>
        <v>-</v>
      </c>
      <c r="O515" t="str">
        <f t="shared" si="89"/>
        <v/>
      </c>
      <c r="Q515" s="70" t="str">
        <f t="shared" si="91"/>
        <v/>
      </c>
      <c r="R515" t="str">
        <f t="shared" si="92"/>
        <v/>
      </c>
      <c r="S515" s="525" t="str">
        <f t="shared" si="93"/>
        <v/>
      </c>
      <c r="T515" s="87" t="str">
        <f t="shared" si="94"/>
        <v/>
      </c>
      <c r="U515" s="87" t="str">
        <f t="shared" si="95"/>
        <v/>
      </c>
    </row>
    <row r="516" spans="5:21" x14ac:dyDescent="0.25">
      <c r="E516" s="244" t="str">
        <f t="shared" ref="E516:E566" si="96">G516&amp;"-"&amp;H516</f>
        <v>-</v>
      </c>
      <c r="F516" t="str">
        <f t="shared" si="85"/>
        <v/>
      </c>
      <c r="G516" s="300" t="str">
        <f t="shared" si="86"/>
        <v/>
      </c>
      <c r="H516" t="str">
        <f t="shared" si="87"/>
        <v/>
      </c>
      <c r="I516" s="88" t="str">
        <f t="shared" si="88"/>
        <v/>
      </c>
      <c r="N516" t="str">
        <f t="shared" si="90"/>
        <v>-</v>
      </c>
      <c r="O516" t="str">
        <f t="shared" si="89"/>
        <v/>
      </c>
      <c r="Q516" s="70" t="str">
        <f t="shared" si="91"/>
        <v/>
      </c>
      <c r="R516" t="str">
        <f t="shared" si="92"/>
        <v/>
      </c>
      <c r="S516" s="525" t="str">
        <f t="shared" si="93"/>
        <v/>
      </c>
      <c r="T516" s="87" t="str">
        <f t="shared" si="94"/>
        <v/>
      </c>
      <c r="U516" s="87" t="str">
        <f t="shared" si="95"/>
        <v/>
      </c>
    </row>
    <row r="517" spans="5:21" x14ac:dyDescent="0.25">
      <c r="E517" s="244" t="str">
        <f t="shared" si="96"/>
        <v>-</v>
      </c>
      <c r="F517" t="str">
        <f t="shared" ref="F517:F566" si="97">IF(A515="Grand Total","",IF(LEN(A515)=4,A515,IF(F516="","",F516)))</f>
        <v/>
      </c>
      <c r="G517" s="300" t="str">
        <f t="shared" ref="G517:G566" si="98">IF(F517=A517,"",F517)</f>
        <v/>
      </c>
      <c r="H517" t="str">
        <f t="shared" si="87"/>
        <v/>
      </c>
      <c r="I517" s="88" t="str">
        <f t="shared" si="88"/>
        <v/>
      </c>
      <c r="N517" t="str">
        <f t="shared" si="90"/>
        <v>-</v>
      </c>
      <c r="O517" t="str">
        <f t="shared" si="89"/>
        <v/>
      </c>
      <c r="Q517" s="70" t="str">
        <f t="shared" si="91"/>
        <v/>
      </c>
      <c r="R517" t="str">
        <f t="shared" si="92"/>
        <v/>
      </c>
      <c r="S517" s="525" t="str">
        <f t="shared" si="93"/>
        <v/>
      </c>
      <c r="T517" s="87" t="str">
        <f t="shared" si="94"/>
        <v/>
      </c>
      <c r="U517" s="87" t="str">
        <f t="shared" si="95"/>
        <v/>
      </c>
    </row>
    <row r="518" spans="5:21" x14ac:dyDescent="0.25">
      <c r="E518" s="244" t="str">
        <f t="shared" si="96"/>
        <v>-</v>
      </c>
      <c r="F518" t="str">
        <f t="shared" si="97"/>
        <v/>
      </c>
      <c r="G518" s="300" t="str">
        <f t="shared" si="98"/>
        <v/>
      </c>
      <c r="H518" t="str">
        <f t="shared" si="87"/>
        <v/>
      </c>
      <c r="I518" s="88" t="str">
        <f t="shared" si="88"/>
        <v/>
      </c>
      <c r="N518" t="str">
        <f t="shared" si="90"/>
        <v>-</v>
      </c>
      <c r="O518" t="str">
        <f t="shared" si="89"/>
        <v/>
      </c>
      <c r="Q518" s="70" t="str">
        <f t="shared" si="91"/>
        <v/>
      </c>
      <c r="R518" t="str">
        <f t="shared" si="92"/>
        <v/>
      </c>
      <c r="S518" s="525" t="str">
        <f t="shared" si="93"/>
        <v/>
      </c>
      <c r="T518" s="87" t="str">
        <f t="shared" si="94"/>
        <v/>
      </c>
      <c r="U518" s="87" t="str">
        <f t="shared" si="95"/>
        <v/>
      </c>
    </row>
    <row r="519" spans="5:21" x14ac:dyDescent="0.25">
      <c r="E519" s="244" t="str">
        <f t="shared" si="96"/>
        <v>-</v>
      </c>
      <c r="F519" t="str">
        <f t="shared" si="97"/>
        <v/>
      </c>
      <c r="G519" s="300" t="str">
        <f t="shared" si="98"/>
        <v/>
      </c>
      <c r="H519" t="str">
        <f t="shared" si="87"/>
        <v/>
      </c>
      <c r="I519" s="88" t="str">
        <f t="shared" si="88"/>
        <v/>
      </c>
      <c r="N519" t="str">
        <f t="shared" si="90"/>
        <v>-</v>
      </c>
      <c r="O519" t="str">
        <f t="shared" si="89"/>
        <v/>
      </c>
      <c r="Q519" s="70" t="str">
        <f t="shared" si="91"/>
        <v/>
      </c>
      <c r="R519" t="str">
        <f t="shared" si="92"/>
        <v/>
      </c>
      <c r="S519" s="525" t="str">
        <f t="shared" si="93"/>
        <v/>
      </c>
      <c r="T519" s="87" t="str">
        <f t="shared" si="94"/>
        <v/>
      </c>
      <c r="U519" s="87" t="str">
        <f t="shared" si="95"/>
        <v/>
      </c>
    </row>
    <row r="520" spans="5:21" x14ac:dyDescent="0.25">
      <c r="E520" s="244" t="str">
        <f t="shared" si="96"/>
        <v>-</v>
      </c>
      <c r="F520" t="str">
        <f t="shared" si="97"/>
        <v/>
      </c>
      <c r="G520" s="300" t="str">
        <f t="shared" si="98"/>
        <v/>
      </c>
      <c r="H520" t="str">
        <f t="shared" ref="H520:H566" si="99">IF(F520="","",IF(F520=G520,A520,""))</f>
        <v/>
      </c>
      <c r="I520" s="88" t="str">
        <f t="shared" ref="I520:I566" si="100">IF(H520="","",B520)</f>
        <v/>
      </c>
      <c r="N520" t="str">
        <f t="shared" si="90"/>
        <v>-</v>
      </c>
      <c r="O520" t="str">
        <f t="shared" si="89"/>
        <v/>
      </c>
      <c r="Q520" s="70" t="str">
        <f t="shared" si="91"/>
        <v/>
      </c>
      <c r="R520" t="str">
        <f t="shared" si="92"/>
        <v/>
      </c>
      <c r="S520" s="525" t="str">
        <f t="shared" si="93"/>
        <v/>
      </c>
      <c r="T520" s="87" t="str">
        <f t="shared" si="94"/>
        <v/>
      </c>
      <c r="U520" s="87" t="str">
        <f t="shared" si="95"/>
        <v/>
      </c>
    </row>
    <row r="521" spans="5:21" x14ac:dyDescent="0.25">
      <c r="E521" s="244" t="str">
        <f t="shared" si="96"/>
        <v>-</v>
      </c>
      <c r="F521" t="str">
        <f t="shared" si="97"/>
        <v/>
      </c>
      <c r="G521" s="300" t="str">
        <f t="shared" si="98"/>
        <v/>
      </c>
      <c r="H521" t="str">
        <f t="shared" si="99"/>
        <v/>
      </c>
      <c r="I521" s="88" t="str">
        <f t="shared" si="100"/>
        <v/>
      </c>
      <c r="N521" t="str">
        <f t="shared" si="90"/>
        <v>-</v>
      </c>
      <c r="O521" t="str">
        <f t="shared" si="89"/>
        <v/>
      </c>
      <c r="Q521" s="70" t="str">
        <f t="shared" si="91"/>
        <v/>
      </c>
      <c r="R521" t="str">
        <f t="shared" si="92"/>
        <v/>
      </c>
      <c r="S521" s="525" t="str">
        <f t="shared" si="93"/>
        <v/>
      </c>
      <c r="T521" s="87" t="str">
        <f t="shared" si="94"/>
        <v/>
      </c>
      <c r="U521" s="87" t="str">
        <f t="shared" si="95"/>
        <v/>
      </c>
    </row>
    <row r="522" spans="5:21" x14ac:dyDescent="0.25">
      <c r="E522" s="244" t="str">
        <f t="shared" si="96"/>
        <v>-</v>
      </c>
      <c r="F522" t="str">
        <f t="shared" si="97"/>
        <v/>
      </c>
      <c r="G522" s="300" t="str">
        <f t="shared" si="98"/>
        <v/>
      </c>
      <c r="H522" t="str">
        <f t="shared" si="99"/>
        <v/>
      </c>
      <c r="I522" s="88" t="str">
        <f t="shared" si="100"/>
        <v/>
      </c>
      <c r="N522" t="str">
        <f t="shared" si="90"/>
        <v>-</v>
      </c>
      <c r="O522" t="str">
        <f t="shared" si="89"/>
        <v/>
      </c>
      <c r="Q522" s="70" t="str">
        <f t="shared" si="91"/>
        <v/>
      </c>
      <c r="R522" t="str">
        <f t="shared" si="92"/>
        <v/>
      </c>
      <c r="S522" s="525" t="str">
        <f t="shared" si="93"/>
        <v/>
      </c>
      <c r="T522" s="87" t="str">
        <f t="shared" si="94"/>
        <v/>
      </c>
      <c r="U522" s="87" t="str">
        <f t="shared" si="95"/>
        <v/>
      </c>
    </row>
    <row r="523" spans="5:21" x14ac:dyDescent="0.25">
      <c r="E523" s="244" t="str">
        <f t="shared" si="96"/>
        <v>-</v>
      </c>
      <c r="F523" t="str">
        <f t="shared" si="97"/>
        <v/>
      </c>
      <c r="G523" s="300" t="str">
        <f t="shared" si="98"/>
        <v/>
      </c>
      <c r="H523" t="str">
        <f t="shared" si="99"/>
        <v/>
      </c>
      <c r="I523" s="88" t="str">
        <f t="shared" si="100"/>
        <v/>
      </c>
      <c r="N523" t="str">
        <f t="shared" si="90"/>
        <v>-</v>
      </c>
      <c r="O523" t="str">
        <f t="shared" si="89"/>
        <v/>
      </c>
      <c r="Q523" s="70" t="str">
        <f t="shared" si="91"/>
        <v/>
      </c>
      <c r="R523" t="str">
        <f t="shared" si="92"/>
        <v/>
      </c>
      <c r="S523" s="525" t="str">
        <f t="shared" si="93"/>
        <v/>
      </c>
      <c r="T523" s="87" t="str">
        <f t="shared" si="94"/>
        <v/>
      </c>
      <c r="U523" s="87" t="str">
        <f t="shared" si="95"/>
        <v/>
      </c>
    </row>
    <row r="524" spans="5:21" x14ac:dyDescent="0.25">
      <c r="E524" s="244" t="str">
        <f t="shared" si="96"/>
        <v>-</v>
      </c>
      <c r="F524" t="str">
        <f t="shared" si="97"/>
        <v/>
      </c>
      <c r="G524" s="300" t="str">
        <f t="shared" si="98"/>
        <v/>
      </c>
      <c r="H524" t="str">
        <f t="shared" si="99"/>
        <v/>
      </c>
      <c r="I524" s="88" t="str">
        <f t="shared" si="100"/>
        <v/>
      </c>
      <c r="N524" t="str">
        <f t="shared" si="90"/>
        <v>-</v>
      </c>
      <c r="O524" t="str">
        <f t="shared" si="89"/>
        <v/>
      </c>
      <c r="Q524" s="70" t="str">
        <f t="shared" si="91"/>
        <v/>
      </c>
      <c r="R524" t="str">
        <f t="shared" si="92"/>
        <v/>
      </c>
      <c r="S524" s="525" t="str">
        <f t="shared" si="93"/>
        <v/>
      </c>
      <c r="T524" s="87" t="str">
        <f t="shared" si="94"/>
        <v/>
      </c>
      <c r="U524" s="87" t="str">
        <f t="shared" si="95"/>
        <v/>
      </c>
    </row>
    <row r="525" spans="5:21" x14ac:dyDescent="0.25">
      <c r="E525" s="244" t="str">
        <f t="shared" si="96"/>
        <v>-</v>
      </c>
      <c r="F525" t="str">
        <f t="shared" si="97"/>
        <v/>
      </c>
      <c r="G525" s="300" t="str">
        <f t="shared" si="98"/>
        <v/>
      </c>
      <c r="H525" t="str">
        <f t="shared" si="99"/>
        <v/>
      </c>
      <c r="I525" s="88" t="str">
        <f t="shared" si="100"/>
        <v/>
      </c>
      <c r="N525" t="str">
        <f t="shared" si="90"/>
        <v>-</v>
      </c>
      <c r="O525" t="str">
        <f t="shared" si="89"/>
        <v/>
      </c>
      <c r="Q525" s="70" t="str">
        <f t="shared" si="91"/>
        <v/>
      </c>
      <c r="R525" t="str">
        <f t="shared" si="92"/>
        <v/>
      </c>
      <c r="S525" s="525" t="str">
        <f t="shared" si="93"/>
        <v/>
      </c>
      <c r="T525" s="87" t="str">
        <f t="shared" si="94"/>
        <v/>
      </c>
      <c r="U525" s="87" t="str">
        <f t="shared" si="95"/>
        <v/>
      </c>
    </row>
    <row r="526" spans="5:21" x14ac:dyDescent="0.25">
      <c r="E526" s="244" t="str">
        <f t="shared" si="96"/>
        <v>-</v>
      </c>
      <c r="F526" t="str">
        <f t="shared" si="97"/>
        <v/>
      </c>
      <c r="G526" s="300" t="str">
        <f t="shared" si="98"/>
        <v/>
      </c>
      <c r="H526" t="str">
        <f t="shared" si="99"/>
        <v/>
      </c>
      <c r="I526" s="88" t="str">
        <f t="shared" si="100"/>
        <v/>
      </c>
      <c r="N526" t="str">
        <f t="shared" si="90"/>
        <v>-</v>
      </c>
      <c r="O526" t="str">
        <f t="shared" ref="O526:O570" si="101">IF(K526="Grand Total","",IF(LEN(K526)=4,K526,IF(O525="","",O525)))</f>
        <v/>
      </c>
      <c r="Q526" s="70" t="str">
        <f t="shared" si="91"/>
        <v/>
      </c>
      <c r="R526" t="str">
        <f t="shared" si="92"/>
        <v/>
      </c>
      <c r="S526" s="525" t="str">
        <f t="shared" si="93"/>
        <v/>
      </c>
      <c r="T526" s="87" t="str">
        <f t="shared" si="94"/>
        <v/>
      </c>
      <c r="U526" s="87" t="str">
        <f t="shared" si="95"/>
        <v/>
      </c>
    </row>
    <row r="527" spans="5:21" x14ac:dyDescent="0.25">
      <c r="E527" s="244" t="str">
        <f t="shared" si="96"/>
        <v>-</v>
      </c>
      <c r="F527" t="str">
        <f t="shared" si="97"/>
        <v/>
      </c>
      <c r="G527" s="300" t="str">
        <f t="shared" si="98"/>
        <v/>
      </c>
      <c r="H527" t="str">
        <f t="shared" si="99"/>
        <v/>
      </c>
      <c r="I527" s="88" t="str">
        <f t="shared" si="100"/>
        <v/>
      </c>
      <c r="N527" t="str">
        <f t="shared" ref="N527:N570" si="102">Q527&amp;"-"&amp;R527</f>
        <v>-</v>
      </c>
      <c r="O527" t="str">
        <f t="shared" si="101"/>
        <v/>
      </c>
      <c r="Q527" s="70" t="str">
        <f t="shared" ref="Q527:Q570" si="103">IF(O527=K527,"",O527)</f>
        <v/>
      </c>
      <c r="R527" t="str">
        <f t="shared" ref="R527:R570" si="104">IF(O527="","",IF(O527=Q527,K527,""))</f>
        <v/>
      </c>
      <c r="S527" s="525" t="str">
        <f t="shared" ref="S527:S570" si="105">IF(R527="","",L527)</f>
        <v/>
      </c>
      <c r="T527" s="87" t="str">
        <f t="shared" ref="T527:T570" si="106">VLOOKUP(N527,$E$4:$I$566,5,FALSE)</f>
        <v/>
      </c>
      <c r="U527" s="87" t="str">
        <f t="shared" ref="U527:U570" si="107">IFERROR(T527/S527,"")</f>
        <v/>
      </c>
    </row>
    <row r="528" spans="5:21" x14ac:dyDescent="0.25">
      <c r="E528" s="244" t="str">
        <f t="shared" si="96"/>
        <v>-</v>
      </c>
      <c r="F528" t="str">
        <f t="shared" si="97"/>
        <v/>
      </c>
      <c r="G528" s="300" t="str">
        <f t="shared" si="98"/>
        <v/>
      </c>
      <c r="H528" t="str">
        <f t="shared" si="99"/>
        <v/>
      </c>
      <c r="I528" s="88" t="str">
        <f t="shared" si="100"/>
        <v/>
      </c>
      <c r="N528" t="str">
        <f t="shared" si="102"/>
        <v>-</v>
      </c>
      <c r="O528" t="str">
        <f t="shared" si="101"/>
        <v/>
      </c>
      <c r="Q528" s="70" t="str">
        <f t="shared" si="103"/>
        <v/>
      </c>
      <c r="R528" t="str">
        <f t="shared" si="104"/>
        <v/>
      </c>
      <c r="S528" s="525" t="str">
        <f t="shared" si="105"/>
        <v/>
      </c>
      <c r="T528" s="87" t="str">
        <f t="shared" si="106"/>
        <v/>
      </c>
      <c r="U528" s="87" t="str">
        <f t="shared" si="107"/>
        <v/>
      </c>
    </row>
    <row r="529" spans="5:21" x14ac:dyDescent="0.25">
      <c r="E529" s="244" t="str">
        <f t="shared" si="96"/>
        <v>-</v>
      </c>
      <c r="F529" t="str">
        <f t="shared" si="97"/>
        <v/>
      </c>
      <c r="G529" s="300" t="str">
        <f t="shared" si="98"/>
        <v/>
      </c>
      <c r="H529" t="str">
        <f t="shared" si="99"/>
        <v/>
      </c>
      <c r="I529" s="88" t="str">
        <f t="shared" si="100"/>
        <v/>
      </c>
      <c r="N529" t="str">
        <f t="shared" si="102"/>
        <v>-</v>
      </c>
      <c r="O529" t="str">
        <f t="shared" si="101"/>
        <v/>
      </c>
      <c r="Q529" s="70" t="str">
        <f t="shared" si="103"/>
        <v/>
      </c>
      <c r="R529" t="str">
        <f t="shared" si="104"/>
        <v/>
      </c>
      <c r="S529" s="525" t="str">
        <f t="shared" si="105"/>
        <v/>
      </c>
      <c r="T529" s="87" t="str">
        <f t="shared" si="106"/>
        <v/>
      </c>
      <c r="U529" s="87" t="str">
        <f t="shared" si="107"/>
        <v/>
      </c>
    </row>
    <row r="530" spans="5:21" x14ac:dyDescent="0.25">
      <c r="E530" s="244" t="str">
        <f t="shared" si="96"/>
        <v>-</v>
      </c>
      <c r="F530" t="str">
        <f t="shared" si="97"/>
        <v/>
      </c>
      <c r="G530" s="300" t="str">
        <f t="shared" si="98"/>
        <v/>
      </c>
      <c r="H530" t="str">
        <f t="shared" si="99"/>
        <v/>
      </c>
      <c r="I530" s="88" t="str">
        <f t="shared" si="100"/>
        <v/>
      </c>
      <c r="N530" t="str">
        <f t="shared" si="102"/>
        <v>-</v>
      </c>
      <c r="O530" t="str">
        <f t="shared" si="101"/>
        <v/>
      </c>
      <c r="Q530" s="70" t="str">
        <f t="shared" si="103"/>
        <v/>
      </c>
      <c r="R530" t="str">
        <f t="shared" si="104"/>
        <v/>
      </c>
      <c r="S530" s="525" t="str">
        <f t="shared" si="105"/>
        <v/>
      </c>
      <c r="T530" s="87" t="str">
        <f t="shared" si="106"/>
        <v/>
      </c>
      <c r="U530" s="87" t="str">
        <f t="shared" si="107"/>
        <v/>
      </c>
    </row>
    <row r="531" spans="5:21" x14ac:dyDescent="0.25">
      <c r="E531" s="244" t="str">
        <f t="shared" si="96"/>
        <v>-</v>
      </c>
      <c r="F531" t="str">
        <f t="shared" si="97"/>
        <v/>
      </c>
      <c r="G531" s="300" t="str">
        <f t="shared" si="98"/>
        <v/>
      </c>
      <c r="H531" t="str">
        <f t="shared" si="99"/>
        <v/>
      </c>
      <c r="I531" s="88" t="str">
        <f t="shared" si="100"/>
        <v/>
      </c>
      <c r="N531" t="str">
        <f t="shared" si="102"/>
        <v>-</v>
      </c>
      <c r="O531" t="str">
        <f t="shared" si="101"/>
        <v/>
      </c>
      <c r="Q531" s="70" t="str">
        <f t="shared" si="103"/>
        <v/>
      </c>
      <c r="R531" t="str">
        <f t="shared" si="104"/>
        <v/>
      </c>
      <c r="S531" s="525" t="str">
        <f t="shared" si="105"/>
        <v/>
      </c>
      <c r="T531" s="87" t="str">
        <f t="shared" si="106"/>
        <v/>
      </c>
      <c r="U531" s="87" t="str">
        <f t="shared" si="107"/>
        <v/>
      </c>
    </row>
    <row r="532" spans="5:21" x14ac:dyDescent="0.25">
      <c r="E532" s="244" t="str">
        <f t="shared" si="96"/>
        <v>-</v>
      </c>
      <c r="F532" t="str">
        <f t="shared" si="97"/>
        <v/>
      </c>
      <c r="G532" s="300" t="str">
        <f t="shared" si="98"/>
        <v/>
      </c>
      <c r="H532" t="str">
        <f t="shared" si="99"/>
        <v/>
      </c>
      <c r="I532" s="88" t="str">
        <f t="shared" si="100"/>
        <v/>
      </c>
      <c r="N532" t="str">
        <f t="shared" si="102"/>
        <v>-</v>
      </c>
      <c r="O532" t="str">
        <f t="shared" si="101"/>
        <v/>
      </c>
      <c r="Q532" s="70" t="str">
        <f t="shared" si="103"/>
        <v/>
      </c>
      <c r="R532" t="str">
        <f t="shared" si="104"/>
        <v/>
      </c>
      <c r="S532" s="525" t="str">
        <f t="shared" si="105"/>
        <v/>
      </c>
      <c r="T532" s="87" t="str">
        <f t="shared" si="106"/>
        <v/>
      </c>
      <c r="U532" s="87" t="str">
        <f t="shared" si="107"/>
        <v/>
      </c>
    </row>
    <row r="533" spans="5:21" x14ac:dyDescent="0.25">
      <c r="E533" s="244" t="str">
        <f t="shared" si="96"/>
        <v>-</v>
      </c>
      <c r="F533" t="str">
        <f t="shared" si="97"/>
        <v/>
      </c>
      <c r="G533" s="300" t="str">
        <f t="shared" si="98"/>
        <v/>
      </c>
      <c r="H533" t="str">
        <f t="shared" si="99"/>
        <v/>
      </c>
      <c r="I533" s="88" t="str">
        <f t="shared" si="100"/>
        <v/>
      </c>
      <c r="N533" t="str">
        <f t="shared" si="102"/>
        <v>-</v>
      </c>
      <c r="O533" t="str">
        <f t="shared" si="101"/>
        <v/>
      </c>
      <c r="Q533" s="70" t="str">
        <f t="shared" si="103"/>
        <v/>
      </c>
      <c r="R533" t="str">
        <f t="shared" si="104"/>
        <v/>
      </c>
      <c r="S533" s="525" t="str">
        <f t="shared" si="105"/>
        <v/>
      </c>
      <c r="T533" s="87" t="str">
        <f t="shared" si="106"/>
        <v/>
      </c>
      <c r="U533" s="87" t="str">
        <f t="shared" si="107"/>
        <v/>
      </c>
    </row>
    <row r="534" spans="5:21" x14ac:dyDescent="0.25">
      <c r="E534" s="244" t="str">
        <f t="shared" si="96"/>
        <v>-</v>
      </c>
      <c r="F534" t="str">
        <f t="shared" si="97"/>
        <v/>
      </c>
      <c r="G534" s="300" t="str">
        <f t="shared" si="98"/>
        <v/>
      </c>
      <c r="H534" t="str">
        <f t="shared" si="99"/>
        <v/>
      </c>
      <c r="I534" s="88" t="str">
        <f t="shared" si="100"/>
        <v/>
      </c>
      <c r="N534" t="str">
        <f t="shared" si="102"/>
        <v>-</v>
      </c>
      <c r="O534" t="str">
        <f t="shared" si="101"/>
        <v/>
      </c>
      <c r="Q534" s="70" t="str">
        <f t="shared" si="103"/>
        <v/>
      </c>
      <c r="R534" t="str">
        <f t="shared" si="104"/>
        <v/>
      </c>
      <c r="S534" s="525" t="str">
        <f t="shared" si="105"/>
        <v/>
      </c>
      <c r="T534" s="87" t="str">
        <f t="shared" si="106"/>
        <v/>
      </c>
      <c r="U534" s="87" t="str">
        <f t="shared" si="107"/>
        <v/>
      </c>
    </row>
    <row r="535" spans="5:21" x14ac:dyDescent="0.25">
      <c r="E535" s="244" t="str">
        <f t="shared" si="96"/>
        <v>-</v>
      </c>
      <c r="F535" t="str">
        <f t="shared" si="97"/>
        <v/>
      </c>
      <c r="G535" s="300" t="str">
        <f t="shared" si="98"/>
        <v/>
      </c>
      <c r="H535" t="str">
        <f t="shared" si="99"/>
        <v/>
      </c>
      <c r="I535" s="88" t="str">
        <f t="shared" si="100"/>
        <v/>
      </c>
      <c r="N535" t="str">
        <f t="shared" si="102"/>
        <v>-</v>
      </c>
      <c r="O535" t="str">
        <f t="shared" si="101"/>
        <v/>
      </c>
      <c r="Q535" s="70" t="str">
        <f t="shared" si="103"/>
        <v/>
      </c>
      <c r="R535" t="str">
        <f t="shared" si="104"/>
        <v/>
      </c>
      <c r="S535" s="525" t="str">
        <f t="shared" si="105"/>
        <v/>
      </c>
      <c r="T535" s="87" t="str">
        <f t="shared" si="106"/>
        <v/>
      </c>
      <c r="U535" s="87" t="str">
        <f t="shared" si="107"/>
        <v/>
      </c>
    </row>
    <row r="536" spans="5:21" x14ac:dyDescent="0.25">
      <c r="E536" s="244" t="str">
        <f t="shared" si="96"/>
        <v>-</v>
      </c>
      <c r="F536" t="str">
        <f t="shared" si="97"/>
        <v/>
      </c>
      <c r="G536" s="300" t="str">
        <f t="shared" si="98"/>
        <v/>
      </c>
      <c r="H536" t="str">
        <f t="shared" si="99"/>
        <v/>
      </c>
      <c r="I536" s="88" t="str">
        <f t="shared" si="100"/>
        <v/>
      </c>
      <c r="N536" t="str">
        <f t="shared" si="102"/>
        <v>-</v>
      </c>
      <c r="O536" t="str">
        <f t="shared" si="101"/>
        <v/>
      </c>
      <c r="Q536" s="70" t="str">
        <f t="shared" si="103"/>
        <v/>
      </c>
      <c r="R536" t="str">
        <f t="shared" si="104"/>
        <v/>
      </c>
      <c r="S536" s="525" t="str">
        <f t="shared" si="105"/>
        <v/>
      </c>
      <c r="T536" s="87" t="str">
        <f t="shared" si="106"/>
        <v/>
      </c>
      <c r="U536" s="87" t="str">
        <f t="shared" si="107"/>
        <v/>
      </c>
    </row>
    <row r="537" spans="5:21" x14ac:dyDescent="0.25">
      <c r="E537" s="244" t="str">
        <f t="shared" si="96"/>
        <v>-</v>
      </c>
      <c r="F537" t="str">
        <f t="shared" si="97"/>
        <v/>
      </c>
      <c r="G537" s="300" t="str">
        <f t="shared" si="98"/>
        <v/>
      </c>
      <c r="H537" t="str">
        <f t="shared" si="99"/>
        <v/>
      </c>
      <c r="I537" s="88" t="str">
        <f t="shared" si="100"/>
        <v/>
      </c>
      <c r="N537" t="str">
        <f t="shared" si="102"/>
        <v>-</v>
      </c>
      <c r="O537" t="str">
        <f t="shared" si="101"/>
        <v/>
      </c>
      <c r="Q537" s="70" t="str">
        <f t="shared" si="103"/>
        <v/>
      </c>
      <c r="R537" t="str">
        <f t="shared" si="104"/>
        <v/>
      </c>
      <c r="S537" s="525" t="str">
        <f t="shared" si="105"/>
        <v/>
      </c>
      <c r="T537" s="87" t="str">
        <f t="shared" si="106"/>
        <v/>
      </c>
      <c r="U537" s="87" t="str">
        <f t="shared" si="107"/>
        <v/>
      </c>
    </row>
    <row r="538" spans="5:21" x14ac:dyDescent="0.25">
      <c r="E538" s="244" t="str">
        <f t="shared" si="96"/>
        <v>-</v>
      </c>
      <c r="F538" t="str">
        <f t="shared" si="97"/>
        <v/>
      </c>
      <c r="G538" s="300" t="str">
        <f t="shared" si="98"/>
        <v/>
      </c>
      <c r="H538" t="str">
        <f t="shared" si="99"/>
        <v/>
      </c>
      <c r="I538" s="88" t="str">
        <f t="shared" si="100"/>
        <v/>
      </c>
      <c r="N538" t="str">
        <f t="shared" si="102"/>
        <v>-</v>
      </c>
      <c r="O538" t="str">
        <f t="shared" si="101"/>
        <v/>
      </c>
      <c r="Q538" s="70" t="str">
        <f t="shared" si="103"/>
        <v/>
      </c>
      <c r="R538" t="str">
        <f t="shared" si="104"/>
        <v/>
      </c>
      <c r="S538" s="525" t="str">
        <f t="shared" si="105"/>
        <v/>
      </c>
      <c r="T538" s="87" t="str">
        <f t="shared" si="106"/>
        <v/>
      </c>
      <c r="U538" s="87" t="str">
        <f t="shared" si="107"/>
        <v/>
      </c>
    </row>
    <row r="539" spans="5:21" x14ac:dyDescent="0.25">
      <c r="E539" s="244" t="str">
        <f t="shared" si="96"/>
        <v>-</v>
      </c>
      <c r="F539" t="str">
        <f t="shared" si="97"/>
        <v/>
      </c>
      <c r="G539" s="300" t="str">
        <f t="shared" si="98"/>
        <v/>
      </c>
      <c r="H539" t="str">
        <f t="shared" si="99"/>
        <v/>
      </c>
      <c r="I539" s="88" t="str">
        <f t="shared" si="100"/>
        <v/>
      </c>
      <c r="N539" t="str">
        <f t="shared" si="102"/>
        <v>-</v>
      </c>
      <c r="O539" t="str">
        <f t="shared" si="101"/>
        <v/>
      </c>
      <c r="Q539" s="70" t="str">
        <f t="shared" si="103"/>
        <v/>
      </c>
      <c r="R539" t="str">
        <f t="shared" si="104"/>
        <v/>
      </c>
      <c r="S539" s="525" t="str">
        <f t="shared" si="105"/>
        <v/>
      </c>
      <c r="T539" s="87" t="str">
        <f t="shared" si="106"/>
        <v/>
      </c>
      <c r="U539" s="87" t="str">
        <f t="shared" si="107"/>
        <v/>
      </c>
    </row>
    <row r="540" spans="5:21" x14ac:dyDescent="0.25">
      <c r="E540" s="244" t="str">
        <f t="shared" si="96"/>
        <v>-</v>
      </c>
      <c r="F540" t="str">
        <f t="shared" si="97"/>
        <v/>
      </c>
      <c r="G540" s="300" t="str">
        <f t="shared" si="98"/>
        <v/>
      </c>
      <c r="H540" t="str">
        <f t="shared" si="99"/>
        <v/>
      </c>
      <c r="I540" s="88" t="str">
        <f t="shared" si="100"/>
        <v/>
      </c>
      <c r="N540" t="str">
        <f t="shared" si="102"/>
        <v>-</v>
      </c>
      <c r="O540" t="str">
        <f t="shared" si="101"/>
        <v/>
      </c>
      <c r="Q540" s="70" t="str">
        <f t="shared" si="103"/>
        <v/>
      </c>
      <c r="R540" t="str">
        <f t="shared" si="104"/>
        <v/>
      </c>
      <c r="S540" s="525" t="str">
        <f t="shared" si="105"/>
        <v/>
      </c>
      <c r="T540" s="87" t="str">
        <f t="shared" si="106"/>
        <v/>
      </c>
      <c r="U540" s="87" t="str">
        <f t="shared" si="107"/>
        <v/>
      </c>
    </row>
    <row r="541" spans="5:21" x14ac:dyDescent="0.25">
      <c r="E541" s="244" t="str">
        <f t="shared" si="96"/>
        <v>-</v>
      </c>
      <c r="F541" t="str">
        <f t="shared" si="97"/>
        <v/>
      </c>
      <c r="G541" s="300" t="str">
        <f t="shared" si="98"/>
        <v/>
      </c>
      <c r="H541" t="str">
        <f t="shared" si="99"/>
        <v/>
      </c>
      <c r="I541" s="88" t="str">
        <f t="shared" si="100"/>
        <v/>
      </c>
      <c r="N541" t="str">
        <f t="shared" si="102"/>
        <v>-</v>
      </c>
      <c r="O541" t="str">
        <f t="shared" si="101"/>
        <v/>
      </c>
      <c r="Q541" s="70" t="str">
        <f t="shared" si="103"/>
        <v/>
      </c>
      <c r="R541" t="str">
        <f t="shared" si="104"/>
        <v/>
      </c>
      <c r="S541" s="525" t="str">
        <f t="shared" si="105"/>
        <v/>
      </c>
      <c r="T541" s="87" t="str">
        <f t="shared" si="106"/>
        <v/>
      </c>
      <c r="U541" s="87" t="str">
        <f t="shared" si="107"/>
        <v/>
      </c>
    </row>
    <row r="542" spans="5:21" x14ac:dyDescent="0.25">
      <c r="E542" s="244" t="str">
        <f t="shared" si="96"/>
        <v>-</v>
      </c>
      <c r="F542" t="str">
        <f t="shared" si="97"/>
        <v/>
      </c>
      <c r="G542" s="300" t="str">
        <f t="shared" si="98"/>
        <v/>
      </c>
      <c r="H542" t="str">
        <f t="shared" si="99"/>
        <v/>
      </c>
      <c r="I542" s="88" t="str">
        <f t="shared" si="100"/>
        <v/>
      </c>
      <c r="N542" t="str">
        <f t="shared" si="102"/>
        <v>-</v>
      </c>
      <c r="O542" t="str">
        <f t="shared" si="101"/>
        <v/>
      </c>
      <c r="Q542" s="70" t="str">
        <f t="shared" si="103"/>
        <v/>
      </c>
      <c r="R542" t="str">
        <f t="shared" si="104"/>
        <v/>
      </c>
      <c r="S542" s="525" t="str">
        <f t="shared" si="105"/>
        <v/>
      </c>
      <c r="T542" s="87" t="str">
        <f t="shared" si="106"/>
        <v/>
      </c>
      <c r="U542" s="87" t="str">
        <f t="shared" si="107"/>
        <v/>
      </c>
    </row>
    <row r="543" spans="5:21" x14ac:dyDescent="0.25">
      <c r="E543" s="244" t="str">
        <f t="shared" si="96"/>
        <v>-</v>
      </c>
      <c r="F543" t="str">
        <f t="shared" si="97"/>
        <v/>
      </c>
      <c r="G543" s="300" t="str">
        <f t="shared" si="98"/>
        <v/>
      </c>
      <c r="H543" t="str">
        <f t="shared" si="99"/>
        <v/>
      </c>
      <c r="I543" s="88" t="str">
        <f t="shared" si="100"/>
        <v/>
      </c>
      <c r="N543" t="str">
        <f t="shared" si="102"/>
        <v>-</v>
      </c>
      <c r="O543" t="str">
        <f t="shared" si="101"/>
        <v/>
      </c>
      <c r="Q543" s="70" t="str">
        <f t="shared" si="103"/>
        <v/>
      </c>
      <c r="R543" t="str">
        <f t="shared" si="104"/>
        <v/>
      </c>
      <c r="S543" s="525" t="str">
        <f t="shared" si="105"/>
        <v/>
      </c>
      <c r="T543" s="87" t="str">
        <f t="shared" si="106"/>
        <v/>
      </c>
      <c r="U543" s="87" t="str">
        <f t="shared" si="107"/>
        <v/>
      </c>
    </row>
    <row r="544" spans="5:21" x14ac:dyDescent="0.25">
      <c r="E544" s="244" t="str">
        <f t="shared" si="96"/>
        <v>-</v>
      </c>
      <c r="F544" t="str">
        <f t="shared" si="97"/>
        <v/>
      </c>
      <c r="G544" s="300" t="str">
        <f t="shared" si="98"/>
        <v/>
      </c>
      <c r="H544" t="str">
        <f t="shared" si="99"/>
        <v/>
      </c>
      <c r="I544" s="88" t="str">
        <f t="shared" si="100"/>
        <v/>
      </c>
      <c r="N544" t="str">
        <f t="shared" si="102"/>
        <v>-</v>
      </c>
      <c r="O544" t="str">
        <f t="shared" si="101"/>
        <v/>
      </c>
      <c r="Q544" s="70" t="str">
        <f t="shared" si="103"/>
        <v/>
      </c>
      <c r="R544" t="str">
        <f t="shared" si="104"/>
        <v/>
      </c>
      <c r="S544" s="525" t="str">
        <f t="shared" si="105"/>
        <v/>
      </c>
      <c r="T544" s="87" t="str">
        <f t="shared" si="106"/>
        <v/>
      </c>
      <c r="U544" s="87" t="str">
        <f t="shared" si="107"/>
        <v/>
      </c>
    </row>
    <row r="545" spans="5:21" x14ac:dyDescent="0.25">
      <c r="E545" s="244" t="str">
        <f t="shared" si="96"/>
        <v>-</v>
      </c>
      <c r="F545" t="str">
        <f t="shared" si="97"/>
        <v/>
      </c>
      <c r="G545" s="300" t="str">
        <f t="shared" si="98"/>
        <v/>
      </c>
      <c r="H545" t="str">
        <f t="shared" si="99"/>
        <v/>
      </c>
      <c r="I545" s="88" t="str">
        <f t="shared" si="100"/>
        <v/>
      </c>
      <c r="N545" t="str">
        <f t="shared" si="102"/>
        <v>-</v>
      </c>
      <c r="O545" t="str">
        <f t="shared" si="101"/>
        <v/>
      </c>
      <c r="Q545" s="70" t="str">
        <f t="shared" si="103"/>
        <v/>
      </c>
      <c r="R545" t="str">
        <f t="shared" si="104"/>
        <v/>
      </c>
      <c r="S545" s="525" t="str">
        <f t="shared" si="105"/>
        <v/>
      </c>
      <c r="T545" s="87" t="str">
        <f t="shared" si="106"/>
        <v/>
      </c>
      <c r="U545" s="87" t="str">
        <f t="shared" si="107"/>
        <v/>
      </c>
    </row>
    <row r="546" spans="5:21" x14ac:dyDescent="0.25">
      <c r="E546" s="244" t="str">
        <f t="shared" si="96"/>
        <v>-</v>
      </c>
      <c r="F546" t="str">
        <f t="shared" si="97"/>
        <v/>
      </c>
      <c r="G546" s="300" t="str">
        <f t="shared" si="98"/>
        <v/>
      </c>
      <c r="H546" t="str">
        <f t="shared" si="99"/>
        <v/>
      </c>
      <c r="I546" s="88" t="str">
        <f t="shared" si="100"/>
        <v/>
      </c>
      <c r="N546" t="str">
        <f t="shared" si="102"/>
        <v>-</v>
      </c>
      <c r="O546" t="str">
        <f t="shared" si="101"/>
        <v/>
      </c>
      <c r="Q546" s="70" t="str">
        <f t="shared" si="103"/>
        <v/>
      </c>
      <c r="R546" t="str">
        <f t="shared" si="104"/>
        <v/>
      </c>
      <c r="S546" s="525" t="str">
        <f t="shared" si="105"/>
        <v/>
      </c>
      <c r="T546" s="87" t="str">
        <f t="shared" si="106"/>
        <v/>
      </c>
      <c r="U546" s="87" t="str">
        <f t="shared" si="107"/>
        <v/>
      </c>
    </row>
    <row r="547" spans="5:21" x14ac:dyDescent="0.25">
      <c r="E547" s="244" t="str">
        <f t="shared" si="96"/>
        <v>-</v>
      </c>
      <c r="F547" t="str">
        <f t="shared" si="97"/>
        <v/>
      </c>
      <c r="G547" s="300" t="str">
        <f t="shared" si="98"/>
        <v/>
      </c>
      <c r="H547" t="str">
        <f t="shared" si="99"/>
        <v/>
      </c>
      <c r="I547" s="88" t="str">
        <f t="shared" si="100"/>
        <v/>
      </c>
      <c r="N547" t="str">
        <f t="shared" si="102"/>
        <v>-</v>
      </c>
      <c r="O547" t="str">
        <f t="shared" si="101"/>
        <v/>
      </c>
      <c r="Q547" s="70" t="str">
        <f t="shared" si="103"/>
        <v/>
      </c>
      <c r="R547" t="str">
        <f t="shared" si="104"/>
        <v/>
      </c>
      <c r="S547" s="525" t="str">
        <f t="shared" si="105"/>
        <v/>
      </c>
      <c r="T547" s="87" t="str">
        <f t="shared" si="106"/>
        <v/>
      </c>
      <c r="U547" s="87" t="str">
        <f t="shared" si="107"/>
        <v/>
      </c>
    </row>
    <row r="548" spans="5:21" x14ac:dyDescent="0.25">
      <c r="E548" s="244" t="str">
        <f t="shared" si="96"/>
        <v>-</v>
      </c>
      <c r="F548" t="str">
        <f t="shared" si="97"/>
        <v/>
      </c>
      <c r="G548" s="300" t="str">
        <f t="shared" si="98"/>
        <v/>
      </c>
      <c r="H548" t="str">
        <f t="shared" si="99"/>
        <v/>
      </c>
      <c r="I548" s="88" t="str">
        <f t="shared" si="100"/>
        <v/>
      </c>
      <c r="N548" t="str">
        <f t="shared" si="102"/>
        <v>-</v>
      </c>
      <c r="O548" t="str">
        <f t="shared" si="101"/>
        <v/>
      </c>
      <c r="Q548" s="70" t="str">
        <f t="shared" si="103"/>
        <v/>
      </c>
      <c r="R548" t="str">
        <f t="shared" si="104"/>
        <v/>
      </c>
      <c r="S548" s="525" t="str">
        <f t="shared" si="105"/>
        <v/>
      </c>
      <c r="T548" s="87" t="str">
        <f t="shared" si="106"/>
        <v/>
      </c>
      <c r="U548" s="87" t="str">
        <f t="shared" si="107"/>
        <v/>
      </c>
    </row>
    <row r="549" spans="5:21" x14ac:dyDescent="0.25">
      <c r="E549" s="244" t="str">
        <f t="shared" si="96"/>
        <v>-</v>
      </c>
      <c r="F549" t="str">
        <f t="shared" si="97"/>
        <v/>
      </c>
      <c r="G549" s="300" t="str">
        <f t="shared" si="98"/>
        <v/>
      </c>
      <c r="H549" t="str">
        <f t="shared" si="99"/>
        <v/>
      </c>
      <c r="I549" s="88" t="str">
        <f t="shared" si="100"/>
        <v/>
      </c>
      <c r="N549" t="str">
        <f t="shared" si="102"/>
        <v>-</v>
      </c>
      <c r="O549" t="str">
        <f t="shared" si="101"/>
        <v/>
      </c>
      <c r="Q549" s="70" t="str">
        <f t="shared" si="103"/>
        <v/>
      </c>
      <c r="R549" t="str">
        <f t="shared" si="104"/>
        <v/>
      </c>
      <c r="S549" s="525" t="str">
        <f t="shared" si="105"/>
        <v/>
      </c>
      <c r="T549" s="87" t="str">
        <f t="shared" si="106"/>
        <v/>
      </c>
      <c r="U549" s="87" t="str">
        <f t="shared" si="107"/>
        <v/>
      </c>
    </row>
    <row r="550" spans="5:21" x14ac:dyDescent="0.25">
      <c r="E550" s="244" t="str">
        <f t="shared" si="96"/>
        <v>-</v>
      </c>
      <c r="F550" t="str">
        <f t="shared" si="97"/>
        <v/>
      </c>
      <c r="G550" s="300" t="str">
        <f t="shared" si="98"/>
        <v/>
      </c>
      <c r="H550" t="str">
        <f t="shared" si="99"/>
        <v/>
      </c>
      <c r="I550" s="88" t="str">
        <f t="shared" si="100"/>
        <v/>
      </c>
      <c r="N550" t="str">
        <f t="shared" si="102"/>
        <v>-</v>
      </c>
      <c r="O550" t="str">
        <f t="shared" si="101"/>
        <v/>
      </c>
      <c r="Q550" s="70" t="str">
        <f t="shared" si="103"/>
        <v/>
      </c>
      <c r="R550" t="str">
        <f t="shared" si="104"/>
        <v/>
      </c>
      <c r="S550" s="525" t="str">
        <f t="shared" si="105"/>
        <v/>
      </c>
      <c r="T550" s="87" t="str">
        <f t="shared" si="106"/>
        <v/>
      </c>
      <c r="U550" s="87" t="str">
        <f t="shared" si="107"/>
        <v/>
      </c>
    </row>
    <row r="551" spans="5:21" x14ac:dyDescent="0.25">
      <c r="E551" s="244" t="str">
        <f t="shared" si="96"/>
        <v>-</v>
      </c>
      <c r="F551" t="str">
        <f t="shared" si="97"/>
        <v/>
      </c>
      <c r="G551" s="300" t="str">
        <f t="shared" si="98"/>
        <v/>
      </c>
      <c r="H551" t="str">
        <f t="shared" si="99"/>
        <v/>
      </c>
      <c r="I551" s="88" t="str">
        <f t="shared" si="100"/>
        <v/>
      </c>
      <c r="N551" t="str">
        <f t="shared" si="102"/>
        <v>-</v>
      </c>
      <c r="O551" t="str">
        <f t="shared" si="101"/>
        <v/>
      </c>
      <c r="Q551" s="70" t="str">
        <f t="shared" si="103"/>
        <v/>
      </c>
      <c r="R551" t="str">
        <f t="shared" si="104"/>
        <v/>
      </c>
      <c r="S551" s="525" t="str">
        <f t="shared" si="105"/>
        <v/>
      </c>
      <c r="T551" s="87" t="str">
        <f t="shared" si="106"/>
        <v/>
      </c>
      <c r="U551" s="87" t="str">
        <f t="shared" si="107"/>
        <v/>
      </c>
    </row>
    <row r="552" spans="5:21" x14ac:dyDescent="0.25">
      <c r="E552" s="244" t="str">
        <f t="shared" si="96"/>
        <v>-</v>
      </c>
      <c r="F552" t="str">
        <f t="shared" si="97"/>
        <v/>
      </c>
      <c r="G552" s="300" t="str">
        <f t="shared" si="98"/>
        <v/>
      </c>
      <c r="H552" t="str">
        <f t="shared" si="99"/>
        <v/>
      </c>
      <c r="I552" s="88" t="str">
        <f t="shared" si="100"/>
        <v/>
      </c>
      <c r="N552" t="str">
        <f t="shared" si="102"/>
        <v>-</v>
      </c>
      <c r="O552" t="str">
        <f t="shared" si="101"/>
        <v/>
      </c>
      <c r="Q552" s="70" t="str">
        <f t="shared" si="103"/>
        <v/>
      </c>
      <c r="R552" t="str">
        <f t="shared" si="104"/>
        <v/>
      </c>
      <c r="S552" s="525" t="str">
        <f t="shared" si="105"/>
        <v/>
      </c>
      <c r="T552" s="87" t="str">
        <f t="shared" si="106"/>
        <v/>
      </c>
      <c r="U552" s="87" t="str">
        <f t="shared" si="107"/>
        <v/>
      </c>
    </row>
    <row r="553" spans="5:21" x14ac:dyDescent="0.25">
      <c r="E553" s="244" t="str">
        <f t="shared" si="96"/>
        <v>-</v>
      </c>
      <c r="F553" t="str">
        <f t="shared" si="97"/>
        <v/>
      </c>
      <c r="G553" s="300" t="str">
        <f t="shared" si="98"/>
        <v/>
      </c>
      <c r="H553" t="str">
        <f t="shared" si="99"/>
        <v/>
      </c>
      <c r="I553" s="88" t="str">
        <f t="shared" si="100"/>
        <v/>
      </c>
      <c r="N553" t="str">
        <f t="shared" si="102"/>
        <v>-</v>
      </c>
      <c r="O553" t="str">
        <f t="shared" si="101"/>
        <v/>
      </c>
      <c r="Q553" s="70" t="str">
        <f t="shared" si="103"/>
        <v/>
      </c>
      <c r="R553" t="str">
        <f t="shared" si="104"/>
        <v/>
      </c>
      <c r="S553" s="525" t="str">
        <f t="shared" si="105"/>
        <v/>
      </c>
      <c r="T553" s="87" t="str">
        <f t="shared" si="106"/>
        <v/>
      </c>
      <c r="U553" s="87" t="str">
        <f t="shared" si="107"/>
        <v/>
      </c>
    </row>
    <row r="554" spans="5:21" x14ac:dyDescent="0.25">
      <c r="E554" s="244" t="str">
        <f t="shared" si="96"/>
        <v>-</v>
      </c>
      <c r="F554" t="str">
        <f t="shared" si="97"/>
        <v/>
      </c>
      <c r="G554" s="300" t="str">
        <f t="shared" si="98"/>
        <v/>
      </c>
      <c r="H554" t="str">
        <f t="shared" si="99"/>
        <v/>
      </c>
      <c r="I554" s="88" t="str">
        <f t="shared" si="100"/>
        <v/>
      </c>
      <c r="N554" t="str">
        <f t="shared" si="102"/>
        <v>-</v>
      </c>
      <c r="O554" t="str">
        <f t="shared" si="101"/>
        <v/>
      </c>
      <c r="Q554" s="70" t="str">
        <f t="shared" si="103"/>
        <v/>
      </c>
      <c r="R554" t="str">
        <f t="shared" si="104"/>
        <v/>
      </c>
      <c r="S554" s="525" t="str">
        <f t="shared" si="105"/>
        <v/>
      </c>
      <c r="T554" s="87" t="str">
        <f t="shared" si="106"/>
        <v/>
      </c>
      <c r="U554" s="87" t="str">
        <f t="shared" si="107"/>
        <v/>
      </c>
    </row>
    <row r="555" spans="5:21" x14ac:dyDescent="0.25">
      <c r="E555" s="244" t="str">
        <f t="shared" si="96"/>
        <v>-</v>
      </c>
      <c r="F555" t="str">
        <f t="shared" si="97"/>
        <v/>
      </c>
      <c r="G555" s="300" t="str">
        <f t="shared" si="98"/>
        <v/>
      </c>
      <c r="H555" t="str">
        <f t="shared" si="99"/>
        <v/>
      </c>
      <c r="I555" s="88" t="str">
        <f t="shared" si="100"/>
        <v/>
      </c>
      <c r="N555" t="str">
        <f t="shared" si="102"/>
        <v>-</v>
      </c>
      <c r="O555" t="str">
        <f t="shared" si="101"/>
        <v/>
      </c>
      <c r="Q555" s="70" t="str">
        <f t="shared" si="103"/>
        <v/>
      </c>
      <c r="R555" t="str">
        <f t="shared" si="104"/>
        <v/>
      </c>
      <c r="S555" s="525" t="str">
        <f t="shared" si="105"/>
        <v/>
      </c>
      <c r="T555" s="87" t="str">
        <f t="shared" si="106"/>
        <v/>
      </c>
      <c r="U555" s="87" t="str">
        <f t="shared" si="107"/>
        <v/>
      </c>
    </row>
    <row r="556" spans="5:21" x14ac:dyDescent="0.25">
      <c r="E556" s="244" t="str">
        <f t="shared" si="96"/>
        <v>-</v>
      </c>
      <c r="F556" t="str">
        <f t="shared" si="97"/>
        <v/>
      </c>
      <c r="G556" s="300" t="str">
        <f t="shared" si="98"/>
        <v/>
      </c>
      <c r="H556" t="str">
        <f t="shared" si="99"/>
        <v/>
      </c>
      <c r="I556" s="88" t="str">
        <f t="shared" si="100"/>
        <v/>
      </c>
      <c r="N556" t="str">
        <f t="shared" si="102"/>
        <v>-</v>
      </c>
      <c r="O556" t="str">
        <f t="shared" si="101"/>
        <v/>
      </c>
      <c r="Q556" s="70" t="str">
        <f t="shared" si="103"/>
        <v/>
      </c>
      <c r="R556" t="str">
        <f t="shared" si="104"/>
        <v/>
      </c>
      <c r="S556" s="525" t="str">
        <f t="shared" si="105"/>
        <v/>
      </c>
      <c r="T556" s="87" t="str">
        <f t="shared" si="106"/>
        <v/>
      </c>
      <c r="U556" s="87" t="str">
        <f t="shared" si="107"/>
        <v/>
      </c>
    </row>
    <row r="557" spans="5:21" x14ac:dyDescent="0.25">
      <c r="E557" s="244" t="str">
        <f t="shared" si="96"/>
        <v>-</v>
      </c>
      <c r="F557" t="str">
        <f t="shared" si="97"/>
        <v/>
      </c>
      <c r="G557" s="300" t="str">
        <f t="shared" si="98"/>
        <v/>
      </c>
      <c r="H557" t="str">
        <f t="shared" si="99"/>
        <v/>
      </c>
      <c r="I557" s="88" t="str">
        <f t="shared" si="100"/>
        <v/>
      </c>
      <c r="N557" t="str">
        <f t="shared" si="102"/>
        <v>-</v>
      </c>
      <c r="O557" t="str">
        <f t="shared" si="101"/>
        <v/>
      </c>
      <c r="Q557" s="70" t="str">
        <f t="shared" si="103"/>
        <v/>
      </c>
      <c r="R557" t="str">
        <f t="shared" si="104"/>
        <v/>
      </c>
      <c r="S557" s="525" t="str">
        <f t="shared" si="105"/>
        <v/>
      </c>
      <c r="T557" s="87" t="str">
        <f t="shared" si="106"/>
        <v/>
      </c>
      <c r="U557" s="87" t="str">
        <f t="shared" si="107"/>
        <v/>
      </c>
    </row>
    <row r="558" spans="5:21" x14ac:dyDescent="0.25">
      <c r="E558" s="244" t="str">
        <f t="shared" si="96"/>
        <v>-</v>
      </c>
      <c r="F558" t="str">
        <f t="shared" si="97"/>
        <v/>
      </c>
      <c r="G558" s="300" t="str">
        <f t="shared" si="98"/>
        <v/>
      </c>
      <c r="H558" t="str">
        <f t="shared" si="99"/>
        <v/>
      </c>
      <c r="I558" s="88" t="str">
        <f t="shared" si="100"/>
        <v/>
      </c>
      <c r="N558" t="str">
        <f t="shared" si="102"/>
        <v>-</v>
      </c>
      <c r="O558" t="str">
        <f t="shared" si="101"/>
        <v/>
      </c>
      <c r="Q558" s="70" t="str">
        <f t="shared" si="103"/>
        <v/>
      </c>
      <c r="R558" t="str">
        <f t="shared" si="104"/>
        <v/>
      </c>
      <c r="S558" s="525" t="str">
        <f t="shared" si="105"/>
        <v/>
      </c>
      <c r="T558" s="87" t="str">
        <f t="shared" si="106"/>
        <v/>
      </c>
      <c r="U558" s="87" t="str">
        <f t="shared" si="107"/>
        <v/>
      </c>
    </row>
    <row r="559" spans="5:21" x14ac:dyDescent="0.25">
      <c r="E559" s="244" t="str">
        <f t="shared" si="96"/>
        <v>-</v>
      </c>
      <c r="F559" t="str">
        <f t="shared" si="97"/>
        <v/>
      </c>
      <c r="G559" s="300" t="str">
        <f t="shared" si="98"/>
        <v/>
      </c>
      <c r="H559" t="str">
        <f t="shared" si="99"/>
        <v/>
      </c>
      <c r="I559" s="88" t="str">
        <f t="shared" si="100"/>
        <v/>
      </c>
      <c r="N559" t="str">
        <f t="shared" si="102"/>
        <v>-</v>
      </c>
      <c r="O559" t="str">
        <f t="shared" si="101"/>
        <v/>
      </c>
      <c r="Q559" s="70" t="str">
        <f t="shared" si="103"/>
        <v/>
      </c>
      <c r="R559" t="str">
        <f t="shared" si="104"/>
        <v/>
      </c>
      <c r="S559" s="525" t="str">
        <f t="shared" si="105"/>
        <v/>
      </c>
      <c r="T559" s="87" t="str">
        <f t="shared" si="106"/>
        <v/>
      </c>
      <c r="U559" s="87" t="str">
        <f t="shared" si="107"/>
        <v/>
      </c>
    </row>
    <row r="560" spans="5:21" x14ac:dyDescent="0.25">
      <c r="E560" s="244" t="str">
        <f t="shared" si="96"/>
        <v>-</v>
      </c>
      <c r="F560" t="str">
        <f t="shared" si="97"/>
        <v/>
      </c>
      <c r="G560" s="300" t="str">
        <f t="shared" si="98"/>
        <v/>
      </c>
      <c r="H560" t="str">
        <f t="shared" si="99"/>
        <v/>
      </c>
      <c r="I560" s="88" t="str">
        <f t="shared" si="100"/>
        <v/>
      </c>
      <c r="N560" t="str">
        <f t="shared" si="102"/>
        <v>-</v>
      </c>
      <c r="O560" t="str">
        <f t="shared" si="101"/>
        <v/>
      </c>
      <c r="Q560" s="70" t="str">
        <f t="shared" si="103"/>
        <v/>
      </c>
      <c r="R560" t="str">
        <f t="shared" si="104"/>
        <v/>
      </c>
      <c r="S560" s="525" t="str">
        <f t="shared" si="105"/>
        <v/>
      </c>
      <c r="T560" s="87" t="str">
        <f t="shared" si="106"/>
        <v/>
      </c>
      <c r="U560" s="87" t="str">
        <f t="shared" si="107"/>
        <v/>
      </c>
    </row>
    <row r="561" spans="5:21" x14ac:dyDescent="0.25">
      <c r="E561" s="244" t="str">
        <f t="shared" si="96"/>
        <v>-</v>
      </c>
      <c r="F561" t="str">
        <f t="shared" si="97"/>
        <v/>
      </c>
      <c r="G561" s="300" t="str">
        <f t="shared" si="98"/>
        <v/>
      </c>
      <c r="H561" t="str">
        <f t="shared" si="99"/>
        <v/>
      </c>
      <c r="I561" s="88" t="str">
        <f t="shared" si="100"/>
        <v/>
      </c>
      <c r="N561" t="str">
        <f t="shared" si="102"/>
        <v>-</v>
      </c>
      <c r="O561" t="str">
        <f t="shared" si="101"/>
        <v/>
      </c>
      <c r="Q561" s="70" t="str">
        <f t="shared" si="103"/>
        <v/>
      </c>
      <c r="R561" t="str">
        <f t="shared" si="104"/>
        <v/>
      </c>
      <c r="S561" s="525" t="str">
        <f t="shared" si="105"/>
        <v/>
      </c>
      <c r="T561" s="87" t="str">
        <f t="shared" si="106"/>
        <v/>
      </c>
      <c r="U561" s="87" t="str">
        <f t="shared" si="107"/>
        <v/>
      </c>
    </row>
    <row r="562" spans="5:21" x14ac:dyDescent="0.25">
      <c r="E562" s="244" t="str">
        <f t="shared" si="96"/>
        <v>-</v>
      </c>
      <c r="F562" t="str">
        <f t="shared" si="97"/>
        <v/>
      </c>
      <c r="G562" s="300" t="str">
        <f t="shared" si="98"/>
        <v/>
      </c>
      <c r="H562" t="str">
        <f t="shared" si="99"/>
        <v/>
      </c>
      <c r="I562" s="88" t="str">
        <f t="shared" si="100"/>
        <v/>
      </c>
      <c r="N562" t="str">
        <f t="shared" si="102"/>
        <v>-</v>
      </c>
      <c r="O562" t="str">
        <f t="shared" si="101"/>
        <v/>
      </c>
      <c r="Q562" s="70" t="str">
        <f t="shared" si="103"/>
        <v/>
      </c>
      <c r="R562" t="str">
        <f t="shared" si="104"/>
        <v/>
      </c>
      <c r="S562" s="525" t="str">
        <f t="shared" si="105"/>
        <v/>
      </c>
      <c r="T562" s="87" t="str">
        <f t="shared" si="106"/>
        <v/>
      </c>
      <c r="U562" s="87" t="str">
        <f t="shared" si="107"/>
        <v/>
      </c>
    </row>
    <row r="563" spans="5:21" x14ac:dyDescent="0.25">
      <c r="E563" s="244" t="str">
        <f t="shared" si="96"/>
        <v>-</v>
      </c>
      <c r="F563" t="str">
        <f t="shared" si="97"/>
        <v/>
      </c>
      <c r="G563" s="300" t="str">
        <f t="shared" si="98"/>
        <v/>
      </c>
      <c r="H563" t="str">
        <f t="shared" si="99"/>
        <v/>
      </c>
      <c r="I563" s="88" t="str">
        <f t="shared" si="100"/>
        <v/>
      </c>
      <c r="N563" t="str">
        <f t="shared" si="102"/>
        <v>-</v>
      </c>
      <c r="O563" t="str">
        <f t="shared" si="101"/>
        <v/>
      </c>
      <c r="Q563" s="70" t="str">
        <f t="shared" si="103"/>
        <v/>
      </c>
      <c r="R563" t="str">
        <f t="shared" si="104"/>
        <v/>
      </c>
      <c r="S563" s="525" t="str">
        <f t="shared" si="105"/>
        <v/>
      </c>
      <c r="T563" s="87" t="str">
        <f t="shared" si="106"/>
        <v/>
      </c>
      <c r="U563" s="87" t="str">
        <f t="shared" si="107"/>
        <v/>
      </c>
    </row>
    <row r="564" spans="5:21" x14ac:dyDescent="0.25">
      <c r="E564" s="244" t="str">
        <f t="shared" si="96"/>
        <v>-</v>
      </c>
      <c r="F564" t="str">
        <f t="shared" si="97"/>
        <v/>
      </c>
      <c r="G564" s="300" t="str">
        <f t="shared" si="98"/>
        <v/>
      </c>
      <c r="H564" t="str">
        <f t="shared" si="99"/>
        <v/>
      </c>
      <c r="I564" s="88" t="str">
        <f t="shared" si="100"/>
        <v/>
      </c>
      <c r="N564" t="str">
        <f t="shared" si="102"/>
        <v>-</v>
      </c>
      <c r="O564" t="str">
        <f t="shared" si="101"/>
        <v/>
      </c>
      <c r="Q564" s="70" t="str">
        <f t="shared" si="103"/>
        <v/>
      </c>
      <c r="R564" t="str">
        <f t="shared" si="104"/>
        <v/>
      </c>
      <c r="S564" s="525" t="str">
        <f t="shared" si="105"/>
        <v/>
      </c>
      <c r="T564" s="87" t="str">
        <f t="shared" si="106"/>
        <v/>
      </c>
      <c r="U564" s="87" t="str">
        <f t="shared" si="107"/>
        <v/>
      </c>
    </row>
    <row r="565" spans="5:21" x14ac:dyDescent="0.25">
      <c r="E565" s="244" t="str">
        <f t="shared" si="96"/>
        <v>-</v>
      </c>
      <c r="F565" t="str">
        <f t="shared" si="97"/>
        <v/>
      </c>
      <c r="G565" s="300" t="str">
        <f t="shared" si="98"/>
        <v/>
      </c>
      <c r="H565" t="str">
        <f t="shared" si="99"/>
        <v/>
      </c>
      <c r="I565" s="88" t="str">
        <f t="shared" si="100"/>
        <v/>
      </c>
      <c r="N565" t="str">
        <f t="shared" si="102"/>
        <v>-</v>
      </c>
      <c r="O565" t="str">
        <f t="shared" si="101"/>
        <v/>
      </c>
      <c r="Q565" s="70" t="str">
        <f t="shared" si="103"/>
        <v/>
      </c>
      <c r="R565" t="str">
        <f t="shared" si="104"/>
        <v/>
      </c>
      <c r="S565" s="525" t="str">
        <f t="shared" si="105"/>
        <v/>
      </c>
      <c r="T565" s="87" t="str">
        <f t="shared" si="106"/>
        <v/>
      </c>
      <c r="U565" s="87" t="str">
        <f t="shared" si="107"/>
        <v/>
      </c>
    </row>
    <row r="566" spans="5:21" x14ac:dyDescent="0.25">
      <c r="E566" s="244" t="str">
        <f t="shared" si="96"/>
        <v>-</v>
      </c>
      <c r="F566" t="str">
        <f t="shared" si="97"/>
        <v/>
      </c>
      <c r="G566" s="300" t="str">
        <f t="shared" si="98"/>
        <v/>
      </c>
      <c r="H566" t="str">
        <f t="shared" si="99"/>
        <v/>
      </c>
      <c r="I566" s="88" t="str">
        <f t="shared" si="100"/>
        <v/>
      </c>
      <c r="N566" t="str">
        <f t="shared" si="102"/>
        <v>-</v>
      </c>
      <c r="O566" t="str">
        <f t="shared" si="101"/>
        <v/>
      </c>
      <c r="Q566" s="70" t="str">
        <f t="shared" si="103"/>
        <v/>
      </c>
      <c r="R566" t="str">
        <f t="shared" si="104"/>
        <v/>
      </c>
      <c r="S566" s="525" t="str">
        <f t="shared" si="105"/>
        <v/>
      </c>
      <c r="T566" s="87" t="str">
        <f t="shared" si="106"/>
        <v/>
      </c>
      <c r="U566" s="87" t="str">
        <f t="shared" si="107"/>
        <v/>
      </c>
    </row>
    <row r="567" spans="5:21" x14ac:dyDescent="0.25">
      <c r="N567" t="str">
        <f t="shared" si="102"/>
        <v>-</v>
      </c>
      <c r="O567" t="str">
        <f t="shared" si="101"/>
        <v/>
      </c>
      <c r="Q567" s="70" t="str">
        <f t="shared" si="103"/>
        <v/>
      </c>
      <c r="R567" t="str">
        <f t="shared" si="104"/>
        <v/>
      </c>
      <c r="S567" s="525" t="str">
        <f t="shared" si="105"/>
        <v/>
      </c>
      <c r="T567" s="87" t="str">
        <f t="shared" si="106"/>
        <v/>
      </c>
      <c r="U567" s="87" t="str">
        <f t="shared" si="107"/>
        <v/>
      </c>
    </row>
    <row r="568" spans="5:21" x14ac:dyDescent="0.25">
      <c r="N568" t="str">
        <f t="shared" si="102"/>
        <v>-</v>
      </c>
      <c r="O568" t="str">
        <f t="shared" si="101"/>
        <v/>
      </c>
      <c r="Q568" s="70" t="str">
        <f t="shared" si="103"/>
        <v/>
      </c>
      <c r="R568" t="str">
        <f t="shared" si="104"/>
        <v/>
      </c>
      <c r="S568" s="525" t="str">
        <f t="shared" si="105"/>
        <v/>
      </c>
      <c r="T568" s="87" t="str">
        <f t="shared" si="106"/>
        <v/>
      </c>
      <c r="U568" s="87" t="str">
        <f t="shared" si="107"/>
        <v/>
      </c>
    </row>
    <row r="569" spans="5:21" x14ac:dyDescent="0.25">
      <c r="N569" t="str">
        <f t="shared" si="102"/>
        <v>-</v>
      </c>
      <c r="O569" t="str">
        <f t="shared" si="101"/>
        <v/>
      </c>
      <c r="Q569" s="70" t="str">
        <f t="shared" si="103"/>
        <v/>
      </c>
      <c r="R569" t="str">
        <f t="shared" si="104"/>
        <v/>
      </c>
      <c r="S569" s="525" t="str">
        <f t="shared" si="105"/>
        <v/>
      </c>
      <c r="T569" s="87" t="str">
        <f t="shared" si="106"/>
        <v/>
      </c>
      <c r="U569" s="87" t="str">
        <f t="shared" si="107"/>
        <v/>
      </c>
    </row>
    <row r="570" spans="5:21" x14ac:dyDescent="0.25">
      <c r="N570" t="str">
        <f t="shared" si="102"/>
        <v>-</v>
      </c>
      <c r="O570" t="str">
        <f t="shared" si="101"/>
        <v/>
      </c>
      <c r="Q570" s="70" t="str">
        <f t="shared" si="103"/>
        <v/>
      </c>
      <c r="R570" t="str">
        <f t="shared" si="104"/>
        <v/>
      </c>
      <c r="S570" s="525" t="str">
        <f t="shared" si="105"/>
        <v/>
      </c>
      <c r="T570" s="87" t="str">
        <f t="shared" si="106"/>
        <v/>
      </c>
      <c r="U570" s="87" t="str">
        <f t="shared" si="107"/>
        <v/>
      </c>
    </row>
  </sheetData>
  <pageMargins left="0.7" right="0.7" top="0.75" bottom="0.75" header="0.3" footer="0.3"/>
  <drawing r:id="rId6"/>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FFC000"/>
  </sheetPr>
  <dimension ref="A1:BA642"/>
  <sheetViews>
    <sheetView workbookViewId="0">
      <selection activeCell="K17" sqref="K17"/>
    </sheetView>
  </sheetViews>
  <sheetFormatPr defaultRowHeight="15" x14ac:dyDescent="0.25"/>
  <cols>
    <col min="1" max="1" width="6.5703125" customWidth="1"/>
    <col min="2" max="2" width="11.42578125" customWidth="1"/>
    <col min="3" max="3" width="13.85546875" customWidth="1"/>
    <col min="4" max="4" width="18.7109375" customWidth="1"/>
    <col min="5" max="5" width="16" customWidth="1"/>
    <col min="6" max="6" width="11.28515625" customWidth="1"/>
    <col min="7" max="7" width="16.28515625" customWidth="1"/>
    <col min="8" max="8" width="9.85546875" customWidth="1"/>
    <col min="10" max="10" width="6.42578125" customWidth="1"/>
    <col min="11" max="11" width="11.42578125" customWidth="1"/>
    <col min="12" max="12" width="13.85546875" customWidth="1"/>
    <col min="13" max="13" width="18.7109375" customWidth="1"/>
    <col min="14" max="14" width="16" customWidth="1"/>
    <col min="15" max="15" width="11.28515625" customWidth="1"/>
    <col min="16" max="16" width="16.28515625" customWidth="1"/>
    <col min="17" max="17" width="9.85546875" customWidth="1"/>
    <col min="19" max="19" width="6.42578125" customWidth="1"/>
    <col min="20" max="20" width="11.42578125" customWidth="1"/>
    <col min="21" max="21" width="13.85546875" customWidth="1"/>
    <col min="22" max="22" width="18.7109375" customWidth="1"/>
    <col min="23" max="23" width="16" customWidth="1"/>
    <col min="24" max="24" width="11.28515625" customWidth="1"/>
    <col min="25" max="25" width="16.28515625" customWidth="1"/>
    <col min="26" max="26" width="9.85546875" customWidth="1"/>
    <col min="28" max="28" width="6.42578125" customWidth="1"/>
    <col min="29" max="29" width="11.42578125" customWidth="1"/>
    <col min="30" max="30" width="13.85546875" customWidth="1"/>
    <col min="31" max="31" width="19.85546875" customWidth="1"/>
    <col min="32" max="32" width="19" customWidth="1"/>
    <col min="33" max="33" width="18" customWidth="1"/>
    <col min="34" max="34" width="16.28515625" customWidth="1"/>
    <col min="35" max="35" width="9.85546875" customWidth="1"/>
    <col min="37" max="37" width="6.42578125" customWidth="1"/>
    <col min="38" max="38" width="11.42578125" customWidth="1"/>
    <col min="39" max="39" width="13.85546875" customWidth="1"/>
    <col min="40" max="40" width="19.85546875" customWidth="1"/>
    <col min="41" max="41" width="19" customWidth="1"/>
    <col min="42" max="42" width="18" customWidth="1"/>
    <col min="43" max="43" width="16.28515625" customWidth="1"/>
    <col min="44" max="44" width="9.85546875" customWidth="1"/>
    <col min="46" max="46" width="6.42578125" customWidth="1"/>
    <col min="47" max="47" width="11.42578125" customWidth="1"/>
    <col min="48" max="48" width="13.85546875" customWidth="1"/>
    <col min="49" max="49" width="19.85546875" customWidth="1"/>
    <col min="50" max="50" width="19" customWidth="1"/>
    <col min="51" max="51" width="18" customWidth="1"/>
    <col min="52" max="52" width="16.28515625" customWidth="1"/>
    <col min="53" max="53" width="9.85546875" customWidth="1"/>
  </cols>
  <sheetData>
    <row r="1" spans="1:53" x14ac:dyDescent="0.25">
      <c r="A1" s="561">
        <v>56</v>
      </c>
      <c r="B1" s="562" t="s">
        <v>1125</v>
      </c>
      <c r="C1" s="562"/>
      <c r="D1" s="562"/>
      <c r="E1" s="562"/>
      <c r="F1" s="562"/>
      <c r="G1" s="562"/>
      <c r="H1" s="563"/>
      <c r="J1" s="561">
        <v>57</v>
      </c>
      <c r="K1" s="562" t="s">
        <v>1126</v>
      </c>
      <c r="L1" s="559"/>
      <c r="M1" s="559"/>
      <c r="N1" s="559"/>
      <c r="O1" s="559"/>
      <c r="P1" s="559"/>
      <c r="Q1" s="560"/>
      <c r="S1" s="561">
        <v>58</v>
      </c>
      <c r="T1" s="562" t="s">
        <v>1127</v>
      </c>
      <c r="U1" s="559"/>
      <c r="V1" s="559"/>
      <c r="W1" s="559"/>
      <c r="X1" s="559"/>
      <c r="Y1" s="559"/>
      <c r="Z1" s="560"/>
      <c r="AB1" s="561">
        <v>59</v>
      </c>
      <c r="AC1" s="562" t="s">
        <v>1128</v>
      </c>
      <c r="AD1" s="562"/>
      <c r="AE1" s="562"/>
      <c r="AF1" s="562"/>
      <c r="AG1" s="562"/>
      <c r="AH1" s="562"/>
      <c r="AI1" s="563"/>
      <c r="AK1" s="558">
        <v>60</v>
      </c>
      <c r="AL1" s="562" t="s">
        <v>1129</v>
      </c>
      <c r="AM1" s="559"/>
      <c r="AN1" s="559"/>
      <c r="AO1" s="559"/>
      <c r="AP1" s="559"/>
      <c r="AQ1" s="559"/>
      <c r="AR1" s="560"/>
      <c r="AT1" s="558">
        <v>61</v>
      </c>
      <c r="AU1" s="562" t="s">
        <v>1130</v>
      </c>
      <c r="AV1" s="559"/>
      <c r="AW1" s="559"/>
      <c r="AX1" s="559"/>
      <c r="AY1" s="559"/>
      <c r="AZ1" s="559"/>
      <c r="BA1" s="560"/>
    </row>
    <row r="2" spans="1:53" x14ac:dyDescent="0.25">
      <c r="A2" t="s">
        <v>136</v>
      </c>
      <c r="B2" t="s">
        <v>1004</v>
      </c>
      <c r="C2" t="s">
        <v>1005</v>
      </c>
      <c r="D2" t="s">
        <v>451</v>
      </c>
      <c r="E2" t="s">
        <v>1099</v>
      </c>
      <c r="F2" t="s">
        <v>1100</v>
      </c>
      <c r="G2" t="s">
        <v>1053</v>
      </c>
      <c r="H2" t="s">
        <v>1054</v>
      </c>
      <c r="J2" t="s">
        <v>136</v>
      </c>
      <c r="K2" t="s">
        <v>1004</v>
      </c>
      <c r="L2" t="s">
        <v>1005</v>
      </c>
      <c r="M2" t="s">
        <v>451</v>
      </c>
      <c r="N2" t="s">
        <v>1099</v>
      </c>
      <c r="O2" t="s">
        <v>1100</v>
      </c>
      <c r="P2" t="s">
        <v>1053</v>
      </c>
      <c r="Q2" t="s">
        <v>1054</v>
      </c>
      <c r="S2" t="s">
        <v>136</v>
      </c>
      <c r="T2" t="s">
        <v>1004</v>
      </c>
      <c r="U2" t="s">
        <v>1005</v>
      </c>
      <c r="V2" t="s">
        <v>451</v>
      </c>
      <c r="W2" t="s">
        <v>1099</v>
      </c>
      <c r="X2" t="s">
        <v>1100</v>
      </c>
      <c r="Y2" t="s">
        <v>1053</v>
      </c>
      <c r="Z2" t="s">
        <v>1054</v>
      </c>
      <c r="AB2" t="s">
        <v>136</v>
      </c>
      <c r="AC2" t="s">
        <v>1004</v>
      </c>
      <c r="AD2" t="s">
        <v>1005</v>
      </c>
      <c r="AE2" t="s">
        <v>1101</v>
      </c>
      <c r="AF2" t="s">
        <v>1102</v>
      </c>
      <c r="AG2" t="s">
        <v>1103</v>
      </c>
      <c r="AH2" t="s">
        <v>1053</v>
      </c>
      <c r="AI2" t="s">
        <v>1054</v>
      </c>
      <c r="AK2" t="s">
        <v>136</v>
      </c>
      <c r="AL2" t="s">
        <v>1004</v>
      </c>
      <c r="AM2" t="s">
        <v>1005</v>
      </c>
      <c r="AN2" t="s">
        <v>1101</v>
      </c>
      <c r="AO2" t="s">
        <v>1102</v>
      </c>
      <c r="AP2" t="s">
        <v>1103</v>
      </c>
      <c r="AQ2" t="s">
        <v>1053</v>
      </c>
      <c r="AR2" t="s">
        <v>1054</v>
      </c>
      <c r="AT2" t="s">
        <v>136</v>
      </c>
      <c r="AU2" t="s">
        <v>1004</v>
      </c>
      <c r="AV2" t="s">
        <v>1005</v>
      </c>
      <c r="AW2" t="s">
        <v>1101</v>
      </c>
      <c r="AX2" t="s">
        <v>1102</v>
      </c>
      <c r="AY2" t="s">
        <v>1103</v>
      </c>
      <c r="AZ2" t="s">
        <v>1053</v>
      </c>
      <c r="BA2" t="s">
        <v>1054</v>
      </c>
    </row>
    <row r="3" spans="1:53" x14ac:dyDescent="0.25">
      <c r="A3" t="s">
        <v>1021</v>
      </c>
      <c r="B3">
        <v>2015</v>
      </c>
      <c r="C3">
        <v>1</v>
      </c>
      <c r="D3">
        <v>98.09</v>
      </c>
      <c r="E3">
        <v>136.5</v>
      </c>
      <c r="F3">
        <v>0.71</v>
      </c>
      <c r="G3" t="s">
        <v>12</v>
      </c>
      <c r="H3">
        <v>6</v>
      </c>
      <c r="K3">
        <v>2015</v>
      </c>
      <c r="O3">
        <v>74.02</v>
      </c>
      <c r="T3">
        <v>2016</v>
      </c>
      <c r="X3">
        <v>154.9</v>
      </c>
      <c r="AC3">
        <v>2015</v>
      </c>
      <c r="AD3">
        <v>1</v>
      </c>
      <c r="AE3">
        <v>146410.5</v>
      </c>
      <c r="AF3">
        <v>72.5</v>
      </c>
      <c r="AG3">
        <v>0</v>
      </c>
      <c r="AH3" t="s">
        <v>12</v>
      </c>
      <c r="AI3">
        <v>6</v>
      </c>
      <c r="AL3">
        <v>2015</v>
      </c>
      <c r="AP3">
        <v>0</v>
      </c>
      <c r="AU3">
        <v>2016</v>
      </c>
      <c r="AY3">
        <v>0</v>
      </c>
    </row>
    <row r="4" spans="1:53" x14ac:dyDescent="0.25">
      <c r="A4" t="s">
        <v>1188</v>
      </c>
      <c r="B4">
        <v>2015</v>
      </c>
      <c r="C4">
        <v>1</v>
      </c>
      <c r="D4">
        <v>6.39</v>
      </c>
      <c r="E4">
        <v>35.5</v>
      </c>
      <c r="F4">
        <v>0.18</v>
      </c>
      <c r="G4" t="s">
        <v>12</v>
      </c>
      <c r="H4">
        <v>6</v>
      </c>
      <c r="AC4">
        <v>2015</v>
      </c>
      <c r="AD4">
        <v>2</v>
      </c>
      <c r="AE4">
        <v>186313.5</v>
      </c>
      <c r="AF4">
        <v>270</v>
      </c>
      <c r="AG4">
        <v>0</v>
      </c>
      <c r="AH4" t="s">
        <v>8</v>
      </c>
      <c r="AI4">
        <v>7</v>
      </c>
    </row>
    <row r="5" spans="1:53" x14ac:dyDescent="0.25">
      <c r="A5" t="s">
        <v>1227</v>
      </c>
      <c r="B5">
        <v>2015</v>
      </c>
      <c r="C5">
        <v>1</v>
      </c>
      <c r="D5">
        <v>9.49</v>
      </c>
      <c r="E5">
        <v>20</v>
      </c>
      <c r="F5">
        <v>0.47</v>
      </c>
      <c r="G5" t="s">
        <v>12</v>
      </c>
      <c r="H5">
        <v>6</v>
      </c>
      <c r="AC5">
        <v>2015</v>
      </c>
      <c r="AD5">
        <v>3</v>
      </c>
      <c r="AE5">
        <v>78333</v>
      </c>
      <c r="AF5">
        <v>57.5</v>
      </c>
      <c r="AG5">
        <v>0</v>
      </c>
      <c r="AH5" t="s">
        <v>10</v>
      </c>
      <c r="AI5">
        <v>8</v>
      </c>
    </row>
    <row r="6" spans="1:53" x14ac:dyDescent="0.25">
      <c r="A6" t="s">
        <v>1203</v>
      </c>
      <c r="B6">
        <v>2015</v>
      </c>
      <c r="C6">
        <v>1</v>
      </c>
      <c r="D6">
        <v>42.2</v>
      </c>
      <c r="E6">
        <v>125.5</v>
      </c>
      <c r="F6">
        <v>0.33</v>
      </c>
      <c r="G6" t="s">
        <v>12</v>
      </c>
      <c r="H6">
        <v>6</v>
      </c>
      <c r="AC6">
        <v>2015</v>
      </c>
      <c r="AD6">
        <v>4</v>
      </c>
      <c r="AE6">
        <v>23355</v>
      </c>
      <c r="AF6">
        <v>65</v>
      </c>
      <c r="AG6">
        <v>0</v>
      </c>
      <c r="AH6" t="s">
        <v>5</v>
      </c>
      <c r="AI6">
        <v>9</v>
      </c>
    </row>
    <row r="7" spans="1:53" x14ac:dyDescent="0.25">
      <c r="A7" t="s">
        <v>1229</v>
      </c>
      <c r="B7">
        <v>2015</v>
      </c>
      <c r="C7">
        <v>1</v>
      </c>
      <c r="D7">
        <v>5.7</v>
      </c>
      <c r="E7">
        <v>30</v>
      </c>
      <c r="F7">
        <v>0.19</v>
      </c>
      <c r="G7" t="s">
        <v>12</v>
      </c>
      <c r="H7">
        <v>6</v>
      </c>
      <c r="AC7">
        <v>2015</v>
      </c>
      <c r="AD7">
        <v>5</v>
      </c>
      <c r="AE7">
        <v>23235</v>
      </c>
      <c r="AF7">
        <v>85</v>
      </c>
      <c r="AG7">
        <v>0</v>
      </c>
      <c r="AH7" t="s">
        <v>11</v>
      </c>
      <c r="AI7">
        <v>10</v>
      </c>
    </row>
    <row r="8" spans="1:53" x14ac:dyDescent="0.25">
      <c r="A8" t="s">
        <v>1195</v>
      </c>
      <c r="B8">
        <v>2015</v>
      </c>
      <c r="C8">
        <v>1</v>
      </c>
      <c r="D8">
        <v>38.200000000000003</v>
      </c>
      <c r="E8">
        <v>105.5</v>
      </c>
      <c r="F8">
        <v>0.36</v>
      </c>
      <c r="G8" t="s">
        <v>12</v>
      </c>
      <c r="H8">
        <v>6</v>
      </c>
      <c r="AC8">
        <v>2015</v>
      </c>
      <c r="AD8">
        <v>6</v>
      </c>
      <c r="AE8">
        <v>17290.5</v>
      </c>
      <c r="AF8">
        <v>2.5</v>
      </c>
      <c r="AG8">
        <v>0</v>
      </c>
      <c r="AH8" t="s">
        <v>13</v>
      </c>
      <c r="AI8">
        <v>11</v>
      </c>
    </row>
    <row r="9" spans="1:53" x14ac:dyDescent="0.25">
      <c r="A9" t="s">
        <v>1226</v>
      </c>
      <c r="B9">
        <v>2015</v>
      </c>
      <c r="C9">
        <v>1</v>
      </c>
      <c r="D9">
        <v>2.0099999999999998</v>
      </c>
      <c r="E9">
        <v>5.5</v>
      </c>
      <c r="F9">
        <v>0.36</v>
      </c>
      <c r="G9" t="s">
        <v>12</v>
      </c>
      <c r="H9">
        <v>6</v>
      </c>
      <c r="AC9">
        <v>2015</v>
      </c>
      <c r="AD9">
        <v>7</v>
      </c>
      <c r="AE9">
        <v>10249.5</v>
      </c>
      <c r="AF9">
        <v>0</v>
      </c>
      <c r="AG9">
        <v>0</v>
      </c>
      <c r="AH9" t="s">
        <v>14</v>
      </c>
      <c r="AI9">
        <v>12</v>
      </c>
    </row>
    <row r="10" spans="1:53" x14ac:dyDescent="0.25">
      <c r="A10" t="s">
        <v>1223</v>
      </c>
      <c r="B10">
        <v>2015</v>
      </c>
      <c r="C10">
        <v>1</v>
      </c>
      <c r="D10">
        <v>10.88</v>
      </c>
      <c r="E10">
        <v>30</v>
      </c>
      <c r="F10">
        <v>0.36</v>
      </c>
      <c r="G10" t="s">
        <v>12</v>
      </c>
      <c r="H10">
        <v>6</v>
      </c>
      <c r="AC10">
        <v>2015</v>
      </c>
      <c r="AD10">
        <v>8</v>
      </c>
      <c r="AE10">
        <v>121896</v>
      </c>
      <c r="AF10">
        <v>105</v>
      </c>
      <c r="AG10">
        <v>0</v>
      </c>
      <c r="AH10" t="s">
        <v>7</v>
      </c>
      <c r="AI10">
        <v>1</v>
      </c>
    </row>
    <row r="11" spans="1:53" x14ac:dyDescent="0.25">
      <c r="A11" t="s">
        <v>1017</v>
      </c>
      <c r="B11">
        <v>2015</v>
      </c>
      <c r="C11">
        <v>1</v>
      </c>
      <c r="D11">
        <v>161.83000000000001</v>
      </c>
      <c r="E11">
        <v>137.5</v>
      </c>
      <c r="F11">
        <v>1.17</v>
      </c>
      <c r="G11" t="s">
        <v>12</v>
      </c>
      <c r="H11">
        <v>6</v>
      </c>
      <c r="AC11">
        <v>2015</v>
      </c>
      <c r="AD11">
        <v>9</v>
      </c>
      <c r="AE11">
        <v>209878.5</v>
      </c>
      <c r="AF11">
        <v>835</v>
      </c>
      <c r="AG11">
        <v>0</v>
      </c>
      <c r="AH11" t="s">
        <v>15</v>
      </c>
      <c r="AI11">
        <v>2</v>
      </c>
    </row>
    <row r="12" spans="1:53" x14ac:dyDescent="0.25">
      <c r="A12" t="s">
        <v>1200</v>
      </c>
      <c r="B12">
        <v>2015</v>
      </c>
      <c r="C12">
        <v>1</v>
      </c>
      <c r="D12">
        <v>13.3</v>
      </c>
      <c r="E12">
        <v>30</v>
      </c>
      <c r="F12">
        <v>0.44</v>
      </c>
      <c r="G12" t="s">
        <v>12</v>
      </c>
      <c r="H12">
        <v>6</v>
      </c>
      <c r="AC12">
        <v>2015</v>
      </c>
      <c r="AD12">
        <v>10</v>
      </c>
      <c r="AE12">
        <v>161917.5</v>
      </c>
      <c r="AF12">
        <v>212.5</v>
      </c>
      <c r="AG12">
        <v>0</v>
      </c>
      <c r="AH12" t="s">
        <v>6</v>
      </c>
      <c r="AI12">
        <v>3</v>
      </c>
    </row>
    <row r="13" spans="1:53" x14ac:dyDescent="0.25">
      <c r="A13" t="s">
        <v>1190</v>
      </c>
      <c r="B13">
        <v>2015</v>
      </c>
      <c r="C13">
        <v>1</v>
      </c>
      <c r="D13">
        <v>56.84</v>
      </c>
      <c r="E13">
        <v>136.5</v>
      </c>
      <c r="F13">
        <v>0.41</v>
      </c>
      <c r="G13" t="s">
        <v>12</v>
      </c>
      <c r="H13">
        <v>6</v>
      </c>
      <c r="AC13">
        <v>2015</v>
      </c>
      <c r="AD13">
        <v>11</v>
      </c>
      <c r="AE13">
        <v>13760703</v>
      </c>
      <c r="AF13">
        <v>27.5</v>
      </c>
      <c r="AG13">
        <v>0</v>
      </c>
      <c r="AH13" t="s">
        <v>9</v>
      </c>
      <c r="AI13">
        <v>4</v>
      </c>
    </row>
    <row r="14" spans="1:53" x14ac:dyDescent="0.25">
      <c r="A14" t="s">
        <v>1184</v>
      </c>
      <c r="B14">
        <v>2015</v>
      </c>
      <c r="C14">
        <v>1</v>
      </c>
      <c r="D14">
        <v>12.99</v>
      </c>
      <c r="E14">
        <v>91</v>
      </c>
      <c r="F14">
        <v>0.14000000000000001</v>
      </c>
      <c r="G14" t="s">
        <v>12</v>
      </c>
      <c r="H14">
        <v>6</v>
      </c>
      <c r="AC14">
        <v>2015</v>
      </c>
      <c r="AD14">
        <v>12</v>
      </c>
      <c r="AE14">
        <v>130635</v>
      </c>
      <c r="AF14">
        <v>15</v>
      </c>
      <c r="AG14">
        <v>0</v>
      </c>
      <c r="AH14" t="s">
        <v>4</v>
      </c>
      <c r="AI14">
        <v>5</v>
      </c>
    </row>
    <row r="15" spans="1:53" x14ac:dyDescent="0.25">
      <c r="A15" t="s">
        <v>1201</v>
      </c>
      <c r="B15">
        <v>2015</v>
      </c>
      <c r="C15">
        <v>1</v>
      </c>
      <c r="D15">
        <v>83.68</v>
      </c>
      <c r="E15">
        <v>156.5</v>
      </c>
      <c r="F15">
        <v>0.53</v>
      </c>
      <c r="G15" t="s">
        <v>12</v>
      </c>
      <c r="H15">
        <v>6</v>
      </c>
      <c r="AC15">
        <v>2016</v>
      </c>
      <c r="AD15">
        <v>8</v>
      </c>
      <c r="AE15">
        <v>7048.5</v>
      </c>
      <c r="AF15">
        <v>0</v>
      </c>
      <c r="AG15">
        <v>0</v>
      </c>
      <c r="AH15" t="s">
        <v>7</v>
      </c>
      <c r="AI15">
        <v>1</v>
      </c>
    </row>
    <row r="16" spans="1:53" x14ac:dyDescent="0.25">
      <c r="A16" t="s">
        <v>1213</v>
      </c>
      <c r="B16">
        <v>2015</v>
      </c>
      <c r="C16">
        <v>1</v>
      </c>
      <c r="D16">
        <v>3.93</v>
      </c>
      <c r="E16">
        <v>15.5</v>
      </c>
      <c r="F16">
        <v>0.25</v>
      </c>
      <c r="G16" t="s">
        <v>12</v>
      </c>
      <c r="H16">
        <v>6</v>
      </c>
      <c r="AC16">
        <v>2016</v>
      </c>
      <c r="AD16">
        <v>9</v>
      </c>
      <c r="AE16">
        <v>5113.5</v>
      </c>
      <c r="AF16">
        <v>0</v>
      </c>
      <c r="AG16">
        <v>0</v>
      </c>
      <c r="AH16" t="s">
        <v>15</v>
      </c>
      <c r="AI16">
        <v>2</v>
      </c>
    </row>
    <row r="17" spans="1:8" x14ac:dyDescent="0.25">
      <c r="A17" t="s">
        <v>1212</v>
      </c>
      <c r="B17">
        <v>2015</v>
      </c>
      <c r="C17">
        <v>1</v>
      </c>
      <c r="D17">
        <v>0.7</v>
      </c>
      <c r="E17">
        <v>10</v>
      </c>
      <c r="F17">
        <v>7.0000000000000007E-2</v>
      </c>
      <c r="G17" t="s">
        <v>12</v>
      </c>
      <c r="H17">
        <v>6</v>
      </c>
    </row>
    <row r="18" spans="1:8" x14ac:dyDescent="0.25">
      <c r="A18" t="s">
        <v>1186</v>
      </c>
      <c r="B18">
        <v>2015</v>
      </c>
      <c r="C18">
        <v>1</v>
      </c>
      <c r="D18">
        <v>90.78</v>
      </c>
      <c r="E18">
        <v>162</v>
      </c>
      <c r="F18">
        <v>0.56000000000000005</v>
      </c>
      <c r="G18" t="s">
        <v>12</v>
      </c>
      <c r="H18">
        <v>6</v>
      </c>
    </row>
    <row r="19" spans="1:8" x14ac:dyDescent="0.25">
      <c r="A19" t="s">
        <v>1196</v>
      </c>
      <c r="B19">
        <v>2015</v>
      </c>
      <c r="C19">
        <v>1</v>
      </c>
      <c r="D19">
        <v>21.79</v>
      </c>
      <c r="E19">
        <v>101</v>
      </c>
      <c r="F19">
        <v>0.21</v>
      </c>
      <c r="G19" t="s">
        <v>12</v>
      </c>
      <c r="H19">
        <v>6</v>
      </c>
    </row>
    <row r="20" spans="1:8" x14ac:dyDescent="0.25">
      <c r="A20" t="s">
        <v>1199</v>
      </c>
      <c r="B20">
        <v>2015</v>
      </c>
      <c r="C20">
        <v>1</v>
      </c>
      <c r="D20">
        <v>30.56</v>
      </c>
      <c r="E20">
        <v>61</v>
      </c>
      <c r="F20">
        <v>0.5</v>
      </c>
      <c r="G20" t="s">
        <v>12</v>
      </c>
      <c r="H20">
        <v>6</v>
      </c>
    </row>
    <row r="21" spans="1:8" x14ac:dyDescent="0.25">
      <c r="A21" t="s">
        <v>1185</v>
      </c>
      <c r="B21">
        <v>2015</v>
      </c>
      <c r="C21">
        <v>1</v>
      </c>
      <c r="D21">
        <v>17.690000000000001</v>
      </c>
      <c r="E21">
        <v>81</v>
      </c>
      <c r="F21">
        <v>0.21</v>
      </c>
      <c r="G21" t="s">
        <v>12</v>
      </c>
      <c r="H21">
        <v>6</v>
      </c>
    </row>
    <row r="22" spans="1:8" x14ac:dyDescent="0.25">
      <c r="A22" t="s">
        <v>1209</v>
      </c>
      <c r="B22">
        <v>2015</v>
      </c>
      <c r="C22">
        <v>1</v>
      </c>
      <c r="D22">
        <v>46.51</v>
      </c>
      <c r="E22">
        <v>91</v>
      </c>
      <c r="F22">
        <v>0.51</v>
      </c>
      <c r="G22" t="s">
        <v>12</v>
      </c>
      <c r="H22">
        <v>6</v>
      </c>
    </row>
    <row r="23" spans="1:8" x14ac:dyDescent="0.25">
      <c r="A23" t="s">
        <v>1010</v>
      </c>
      <c r="B23">
        <v>2015</v>
      </c>
      <c r="C23">
        <v>1</v>
      </c>
      <c r="D23">
        <v>165.24</v>
      </c>
      <c r="E23">
        <v>162</v>
      </c>
      <c r="F23">
        <v>1.02</v>
      </c>
      <c r="G23" t="s">
        <v>12</v>
      </c>
      <c r="H23">
        <v>6</v>
      </c>
    </row>
    <row r="24" spans="1:8" x14ac:dyDescent="0.25">
      <c r="A24" t="s">
        <v>1206</v>
      </c>
      <c r="B24">
        <v>2015</v>
      </c>
      <c r="C24">
        <v>1</v>
      </c>
      <c r="D24">
        <v>1.65</v>
      </c>
      <c r="E24">
        <v>10</v>
      </c>
      <c r="F24">
        <v>0.16</v>
      </c>
      <c r="G24" t="s">
        <v>12</v>
      </c>
      <c r="H24">
        <v>6</v>
      </c>
    </row>
    <row r="25" spans="1:8" x14ac:dyDescent="0.25">
      <c r="A25" t="s">
        <v>1217</v>
      </c>
      <c r="B25">
        <v>2015</v>
      </c>
      <c r="C25">
        <v>1</v>
      </c>
      <c r="D25">
        <v>6.39</v>
      </c>
      <c r="E25">
        <v>20</v>
      </c>
      <c r="F25">
        <v>0.31</v>
      </c>
      <c r="G25" t="s">
        <v>12</v>
      </c>
      <c r="H25">
        <v>6</v>
      </c>
    </row>
    <row r="26" spans="1:8" x14ac:dyDescent="0.25">
      <c r="A26" t="s">
        <v>1189</v>
      </c>
      <c r="B26">
        <v>2015</v>
      </c>
      <c r="C26">
        <v>1</v>
      </c>
      <c r="D26">
        <v>46.24</v>
      </c>
      <c r="E26">
        <v>100</v>
      </c>
      <c r="F26">
        <v>0.46</v>
      </c>
      <c r="G26" t="s">
        <v>12</v>
      </c>
      <c r="H26">
        <v>6</v>
      </c>
    </row>
    <row r="27" spans="1:8" x14ac:dyDescent="0.25">
      <c r="A27" t="s">
        <v>1237</v>
      </c>
      <c r="B27">
        <v>2015</v>
      </c>
      <c r="C27">
        <v>1</v>
      </c>
      <c r="D27">
        <v>6.16</v>
      </c>
      <c r="E27">
        <v>40</v>
      </c>
      <c r="F27">
        <v>0.15</v>
      </c>
      <c r="G27" t="s">
        <v>12</v>
      </c>
      <c r="H27">
        <v>6</v>
      </c>
    </row>
    <row r="28" spans="1:8" x14ac:dyDescent="0.25">
      <c r="A28" t="s">
        <v>1211</v>
      </c>
      <c r="B28">
        <v>2015</v>
      </c>
      <c r="C28">
        <v>1</v>
      </c>
      <c r="D28">
        <v>57.11</v>
      </c>
      <c r="E28">
        <v>101</v>
      </c>
      <c r="F28">
        <v>0.56000000000000005</v>
      </c>
      <c r="G28" t="s">
        <v>12</v>
      </c>
      <c r="H28">
        <v>6</v>
      </c>
    </row>
    <row r="29" spans="1:8" x14ac:dyDescent="0.25">
      <c r="A29" t="s">
        <v>1198</v>
      </c>
      <c r="B29">
        <v>2015</v>
      </c>
      <c r="C29">
        <v>1</v>
      </c>
      <c r="D29">
        <v>67.650000000000006</v>
      </c>
      <c r="E29">
        <v>120</v>
      </c>
      <c r="F29">
        <v>0.56000000000000005</v>
      </c>
      <c r="G29" t="s">
        <v>12</v>
      </c>
      <c r="H29">
        <v>6</v>
      </c>
    </row>
    <row r="30" spans="1:8" x14ac:dyDescent="0.25">
      <c r="A30" t="s">
        <v>1228</v>
      </c>
      <c r="B30">
        <v>2015</v>
      </c>
      <c r="C30">
        <v>1</v>
      </c>
      <c r="D30">
        <v>6.22</v>
      </c>
      <c r="E30">
        <v>30</v>
      </c>
      <c r="F30">
        <v>0.2</v>
      </c>
      <c r="G30" t="s">
        <v>12</v>
      </c>
      <c r="H30">
        <v>6</v>
      </c>
    </row>
    <row r="31" spans="1:8" x14ac:dyDescent="0.25">
      <c r="A31" t="s">
        <v>1230</v>
      </c>
      <c r="B31">
        <v>2015</v>
      </c>
      <c r="C31">
        <v>1</v>
      </c>
      <c r="D31">
        <v>34.4</v>
      </c>
      <c r="E31">
        <v>40</v>
      </c>
      <c r="F31">
        <v>0.86</v>
      </c>
      <c r="G31" t="s">
        <v>12</v>
      </c>
      <c r="H31">
        <v>6</v>
      </c>
    </row>
    <row r="32" spans="1:8" x14ac:dyDescent="0.25">
      <c r="A32" t="s">
        <v>1018</v>
      </c>
      <c r="B32">
        <v>2015</v>
      </c>
      <c r="C32">
        <v>1</v>
      </c>
      <c r="D32">
        <v>259.54000000000002</v>
      </c>
      <c r="E32">
        <v>162</v>
      </c>
      <c r="F32">
        <v>1.6</v>
      </c>
      <c r="G32" t="s">
        <v>12</v>
      </c>
      <c r="H32">
        <v>6</v>
      </c>
    </row>
    <row r="33" spans="1:8" x14ac:dyDescent="0.25">
      <c r="A33" t="s">
        <v>1193</v>
      </c>
      <c r="B33">
        <v>2015</v>
      </c>
      <c r="C33">
        <v>1</v>
      </c>
      <c r="D33">
        <v>76.739999999999995</v>
      </c>
      <c r="E33">
        <v>111</v>
      </c>
      <c r="F33">
        <v>0.69</v>
      </c>
      <c r="G33" t="s">
        <v>12</v>
      </c>
      <c r="H33">
        <v>6</v>
      </c>
    </row>
    <row r="34" spans="1:8" x14ac:dyDescent="0.25">
      <c r="A34" t="s">
        <v>1187</v>
      </c>
      <c r="B34">
        <v>2015</v>
      </c>
      <c r="C34">
        <v>1</v>
      </c>
      <c r="D34">
        <v>25.31</v>
      </c>
      <c r="E34">
        <v>111</v>
      </c>
      <c r="F34">
        <v>0.22</v>
      </c>
      <c r="G34" t="s">
        <v>12</v>
      </c>
      <c r="H34">
        <v>6</v>
      </c>
    </row>
    <row r="35" spans="1:8" x14ac:dyDescent="0.25">
      <c r="A35" t="s">
        <v>1222</v>
      </c>
      <c r="B35">
        <v>2015</v>
      </c>
      <c r="C35">
        <v>1</v>
      </c>
      <c r="D35">
        <v>13.43</v>
      </c>
      <c r="E35">
        <v>35.5</v>
      </c>
      <c r="F35">
        <v>0.37</v>
      </c>
      <c r="G35" t="s">
        <v>12</v>
      </c>
      <c r="H35">
        <v>6</v>
      </c>
    </row>
    <row r="36" spans="1:8" x14ac:dyDescent="0.25">
      <c r="A36" t="s">
        <v>1224</v>
      </c>
      <c r="B36">
        <v>2015</v>
      </c>
      <c r="C36">
        <v>1</v>
      </c>
      <c r="D36">
        <v>15.35</v>
      </c>
      <c r="E36">
        <v>25.5</v>
      </c>
      <c r="F36">
        <v>0.6</v>
      </c>
      <c r="G36" t="s">
        <v>12</v>
      </c>
      <c r="H36">
        <v>6</v>
      </c>
    </row>
    <row r="37" spans="1:8" x14ac:dyDescent="0.25">
      <c r="A37" t="s">
        <v>1235</v>
      </c>
      <c r="B37">
        <v>2015</v>
      </c>
      <c r="C37">
        <v>1</v>
      </c>
      <c r="D37">
        <v>5.98</v>
      </c>
      <c r="E37">
        <v>15.5</v>
      </c>
      <c r="F37">
        <v>0.38</v>
      </c>
      <c r="G37" t="s">
        <v>12</v>
      </c>
      <c r="H37">
        <v>6</v>
      </c>
    </row>
    <row r="38" spans="1:8" x14ac:dyDescent="0.25">
      <c r="A38" t="s">
        <v>1025</v>
      </c>
      <c r="B38">
        <v>2015</v>
      </c>
      <c r="C38">
        <v>1</v>
      </c>
      <c r="D38">
        <v>154.9</v>
      </c>
      <c r="E38">
        <v>162</v>
      </c>
      <c r="F38">
        <v>0.95</v>
      </c>
      <c r="G38" t="s">
        <v>12</v>
      </c>
      <c r="H38">
        <v>6</v>
      </c>
    </row>
    <row r="39" spans="1:8" x14ac:dyDescent="0.25">
      <c r="A39" t="s">
        <v>1207</v>
      </c>
      <c r="B39">
        <v>2015</v>
      </c>
      <c r="C39">
        <v>1</v>
      </c>
      <c r="D39">
        <v>28.27</v>
      </c>
      <c r="E39">
        <v>116.5</v>
      </c>
      <c r="F39">
        <v>0.24</v>
      </c>
      <c r="G39" t="s">
        <v>12</v>
      </c>
      <c r="H39">
        <v>6</v>
      </c>
    </row>
    <row r="40" spans="1:8" x14ac:dyDescent="0.25">
      <c r="A40" t="s">
        <v>1205</v>
      </c>
      <c r="B40">
        <v>2015</v>
      </c>
      <c r="C40">
        <v>1</v>
      </c>
      <c r="D40">
        <v>16.93</v>
      </c>
      <c r="E40">
        <v>86.5</v>
      </c>
      <c r="F40">
        <v>0.19</v>
      </c>
      <c r="G40" t="s">
        <v>12</v>
      </c>
      <c r="H40">
        <v>6</v>
      </c>
    </row>
    <row r="41" spans="1:8" x14ac:dyDescent="0.25">
      <c r="A41" t="s">
        <v>1238</v>
      </c>
      <c r="B41">
        <v>2015</v>
      </c>
      <c r="C41">
        <v>1</v>
      </c>
      <c r="D41">
        <v>1.1499999999999999</v>
      </c>
      <c r="E41">
        <v>10</v>
      </c>
      <c r="F41">
        <v>0.11</v>
      </c>
      <c r="G41" t="s">
        <v>12</v>
      </c>
      <c r="H41">
        <v>6</v>
      </c>
    </row>
    <row r="42" spans="1:8" x14ac:dyDescent="0.25">
      <c r="A42" t="s">
        <v>1210</v>
      </c>
      <c r="B42">
        <v>2015</v>
      </c>
      <c r="C42">
        <v>1</v>
      </c>
      <c r="D42">
        <v>3.79</v>
      </c>
      <c r="E42">
        <v>25.5</v>
      </c>
      <c r="F42">
        <v>0.14000000000000001</v>
      </c>
      <c r="G42" t="s">
        <v>12</v>
      </c>
      <c r="H42">
        <v>6</v>
      </c>
    </row>
    <row r="43" spans="1:8" x14ac:dyDescent="0.25">
      <c r="A43" t="s">
        <v>1233</v>
      </c>
      <c r="B43">
        <v>2015</v>
      </c>
      <c r="C43">
        <v>1</v>
      </c>
      <c r="D43">
        <v>14.19</v>
      </c>
      <c r="E43">
        <v>91</v>
      </c>
      <c r="F43">
        <v>0.15</v>
      </c>
      <c r="G43" t="s">
        <v>12</v>
      </c>
      <c r="H43">
        <v>6</v>
      </c>
    </row>
    <row r="44" spans="1:8" x14ac:dyDescent="0.25">
      <c r="A44" t="s">
        <v>1191</v>
      </c>
      <c r="B44">
        <v>2015</v>
      </c>
      <c r="C44">
        <v>1</v>
      </c>
      <c r="D44">
        <v>11.8</v>
      </c>
      <c r="E44">
        <v>30</v>
      </c>
      <c r="F44">
        <v>0.39</v>
      </c>
      <c r="G44" t="s">
        <v>12</v>
      </c>
      <c r="H44">
        <v>6</v>
      </c>
    </row>
    <row r="45" spans="1:8" x14ac:dyDescent="0.25">
      <c r="A45" t="s">
        <v>1192</v>
      </c>
      <c r="B45">
        <v>2015</v>
      </c>
      <c r="C45">
        <v>1</v>
      </c>
      <c r="D45">
        <v>0.96</v>
      </c>
      <c r="E45">
        <v>30</v>
      </c>
      <c r="F45">
        <v>0.03</v>
      </c>
      <c r="G45" t="s">
        <v>12</v>
      </c>
      <c r="H45">
        <v>6</v>
      </c>
    </row>
    <row r="46" spans="1:8" x14ac:dyDescent="0.25">
      <c r="A46" t="s">
        <v>1194</v>
      </c>
      <c r="B46">
        <v>2015</v>
      </c>
      <c r="C46">
        <v>1</v>
      </c>
      <c r="D46">
        <v>234.15</v>
      </c>
      <c r="E46">
        <v>162</v>
      </c>
      <c r="F46">
        <v>1.44</v>
      </c>
      <c r="G46" t="s">
        <v>12</v>
      </c>
      <c r="H46">
        <v>6</v>
      </c>
    </row>
    <row r="47" spans="1:8" x14ac:dyDescent="0.25">
      <c r="A47" t="s">
        <v>1031</v>
      </c>
      <c r="B47">
        <v>2015</v>
      </c>
      <c r="C47">
        <v>1</v>
      </c>
      <c r="D47">
        <v>158.38</v>
      </c>
      <c r="E47">
        <v>162</v>
      </c>
      <c r="F47">
        <v>0.97</v>
      </c>
      <c r="G47" t="s">
        <v>12</v>
      </c>
      <c r="H47">
        <v>6</v>
      </c>
    </row>
    <row r="48" spans="1:8" x14ac:dyDescent="0.25">
      <c r="A48" t="s">
        <v>1204</v>
      </c>
      <c r="B48">
        <v>2015</v>
      </c>
      <c r="C48">
        <v>1</v>
      </c>
      <c r="D48">
        <v>32.32</v>
      </c>
      <c r="E48">
        <v>105.5</v>
      </c>
      <c r="F48">
        <v>0.3</v>
      </c>
      <c r="G48" t="s">
        <v>12</v>
      </c>
      <c r="H48">
        <v>6</v>
      </c>
    </row>
    <row r="49" spans="1:8" x14ac:dyDescent="0.25">
      <c r="A49" t="s">
        <v>1208</v>
      </c>
      <c r="B49">
        <v>2015</v>
      </c>
      <c r="C49">
        <v>1</v>
      </c>
      <c r="D49">
        <v>18.34</v>
      </c>
      <c r="E49">
        <v>99.5</v>
      </c>
      <c r="F49">
        <v>0.18</v>
      </c>
      <c r="G49" t="s">
        <v>12</v>
      </c>
      <c r="H49">
        <v>6</v>
      </c>
    </row>
    <row r="50" spans="1:8" x14ac:dyDescent="0.25">
      <c r="A50" t="s">
        <v>1022</v>
      </c>
      <c r="B50">
        <v>2015</v>
      </c>
      <c r="C50">
        <v>1</v>
      </c>
      <c r="D50">
        <v>339.05</v>
      </c>
      <c r="E50">
        <v>162</v>
      </c>
      <c r="F50">
        <v>2.09</v>
      </c>
      <c r="G50" t="s">
        <v>12</v>
      </c>
      <c r="H50">
        <v>6</v>
      </c>
    </row>
    <row r="51" spans="1:8" x14ac:dyDescent="0.25">
      <c r="A51" t="s">
        <v>1215</v>
      </c>
      <c r="B51">
        <v>2015</v>
      </c>
      <c r="C51">
        <v>1</v>
      </c>
      <c r="D51">
        <v>112.07</v>
      </c>
      <c r="E51">
        <v>152</v>
      </c>
      <c r="F51">
        <v>0.73</v>
      </c>
      <c r="G51" t="s">
        <v>12</v>
      </c>
      <c r="H51">
        <v>6</v>
      </c>
    </row>
    <row r="52" spans="1:8" x14ac:dyDescent="0.25">
      <c r="A52" t="s">
        <v>1216</v>
      </c>
      <c r="B52">
        <v>2015</v>
      </c>
      <c r="C52">
        <v>1</v>
      </c>
      <c r="D52">
        <v>146.71</v>
      </c>
      <c r="E52">
        <v>142</v>
      </c>
      <c r="F52">
        <v>1.03</v>
      </c>
      <c r="G52" t="s">
        <v>12</v>
      </c>
      <c r="H52">
        <v>6</v>
      </c>
    </row>
    <row r="53" spans="1:8" x14ac:dyDescent="0.25">
      <c r="A53" t="s">
        <v>1219</v>
      </c>
      <c r="B53">
        <v>2015</v>
      </c>
      <c r="C53">
        <v>1</v>
      </c>
      <c r="D53">
        <v>34.32</v>
      </c>
      <c r="E53">
        <v>75.5</v>
      </c>
      <c r="F53">
        <v>0.45</v>
      </c>
      <c r="G53" t="s">
        <v>12</v>
      </c>
      <c r="H53">
        <v>6</v>
      </c>
    </row>
    <row r="54" spans="1:8" x14ac:dyDescent="0.25">
      <c r="A54" t="s">
        <v>1218</v>
      </c>
      <c r="B54">
        <v>2015</v>
      </c>
      <c r="C54">
        <v>1</v>
      </c>
      <c r="D54">
        <v>7</v>
      </c>
      <c r="E54">
        <v>50</v>
      </c>
      <c r="F54">
        <v>0.14000000000000001</v>
      </c>
      <c r="G54" t="s">
        <v>12</v>
      </c>
      <c r="H54">
        <v>6</v>
      </c>
    </row>
    <row r="55" spans="1:8" x14ac:dyDescent="0.25">
      <c r="A55" t="s">
        <v>1221</v>
      </c>
      <c r="B55">
        <v>2015</v>
      </c>
      <c r="C55">
        <v>1</v>
      </c>
      <c r="D55">
        <v>0.31</v>
      </c>
      <c r="E55">
        <v>10</v>
      </c>
      <c r="F55">
        <v>0.03</v>
      </c>
      <c r="G55" t="s">
        <v>12</v>
      </c>
      <c r="H55">
        <v>6</v>
      </c>
    </row>
    <row r="56" spans="1:8" x14ac:dyDescent="0.25">
      <c r="A56" t="s">
        <v>1231</v>
      </c>
      <c r="B56">
        <v>2015</v>
      </c>
      <c r="C56">
        <v>1</v>
      </c>
      <c r="D56">
        <v>4.1399999999999997</v>
      </c>
      <c r="E56">
        <v>10</v>
      </c>
      <c r="F56">
        <v>0.41</v>
      </c>
      <c r="G56" t="s">
        <v>12</v>
      </c>
      <c r="H56">
        <v>6</v>
      </c>
    </row>
    <row r="57" spans="1:8" x14ac:dyDescent="0.25">
      <c r="A57" t="s">
        <v>1240</v>
      </c>
      <c r="B57">
        <v>2015</v>
      </c>
      <c r="C57">
        <v>1</v>
      </c>
      <c r="D57">
        <v>0.05</v>
      </c>
      <c r="E57">
        <v>10</v>
      </c>
      <c r="F57">
        <v>0</v>
      </c>
      <c r="G57" t="s">
        <v>12</v>
      </c>
      <c r="H57">
        <v>6</v>
      </c>
    </row>
    <row r="58" spans="1:8" x14ac:dyDescent="0.25">
      <c r="A58" t="s">
        <v>1197</v>
      </c>
      <c r="B58">
        <v>2015</v>
      </c>
      <c r="C58">
        <v>1</v>
      </c>
      <c r="D58">
        <v>14.77</v>
      </c>
      <c r="E58">
        <v>85.5</v>
      </c>
      <c r="F58">
        <v>0.17</v>
      </c>
      <c r="G58" t="s">
        <v>12</v>
      </c>
      <c r="H58">
        <v>6</v>
      </c>
    </row>
    <row r="59" spans="1:8" x14ac:dyDescent="0.25">
      <c r="A59" t="s">
        <v>1202</v>
      </c>
      <c r="B59">
        <v>2015</v>
      </c>
      <c r="C59">
        <v>1</v>
      </c>
      <c r="D59">
        <v>100.94</v>
      </c>
      <c r="E59">
        <v>116.5</v>
      </c>
      <c r="F59">
        <v>0.86</v>
      </c>
      <c r="G59" t="s">
        <v>12</v>
      </c>
      <c r="H59">
        <v>6</v>
      </c>
    </row>
    <row r="60" spans="1:8" x14ac:dyDescent="0.25">
      <c r="A60" t="s">
        <v>1021</v>
      </c>
      <c r="B60">
        <v>2015</v>
      </c>
      <c r="C60">
        <v>2</v>
      </c>
      <c r="D60">
        <v>114.04</v>
      </c>
      <c r="E60">
        <v>166.5</v>
      </c>
      <c r="F60">
        <v>0.68</v>
      </c>
      <c r="G60" t="s">
        <v>8</v>
      </c>
      <c r="H60">
        <v>7</v>
      </c>
    </row>
    <row r="61" spans="1:8" x14ac:dyDescent="0.25">
      <c r="A61" t="s">
        <v>1188</v>
      </c>
      <c r="B61">
        <v>2015</v>
      </c>
      <c r="C61">
        <v>2</v>
      </c>
      <c r="D61">
        <v>8.86</v>
      </c>
      <c r="E61">
        <v>65.5</v>
      </c>
      <c r="F61">
        <v>0.13</v>
      </c>
      <c r="G61" t="s">
        <v>8</v>
      </c>
      <c r="H61">
        <v>7</v>
      </c>
    </row>
    <row r="62" spans="1:8" x14ac:dyDescent="0.25">
      <c r="A62" t="s">
        <v>1220</v>
      </c>
      <c r="B62">
        <v>2015</v>
      </c>
      <c r="C62">
        <v>2</v>
      </c>
      <c r="D62">
        <v>4.16</v>
      </c>
      <c r="E62">
        <v>40</v>
      </c>
      <c r="F62">
        <v>0.1</v>
      </c>
      <c r="G62" t="s">
        <v>8</v>
      </c>
      <c r="H62">
        <v>7</v>
      </c>
    </row>
    <row r="63" spans="1:8" x14ac:dyDescent="0.25">
      <c r="A63" t="s">
        <v>1203</v>
      </c>
      <c r="B63">
        <v>2015</v>
      </c>
      <c r="C63">
        <v>2</v>
      </c>
      <c r="D63">
        <v>31.65</v>
      </c>
      <c r="E63">
        <v>141</v>
      </c>
      <c r="F63">
        <v>0.22</v>
      </c>
      <c r="G63" t="s">
        <v>8</v>
      </c>
      <c r="H63">
        <v>7</v>
      </c>
    </row>
    <row r="64" spans="1:8" x14ac:dyDescent="0.25">
      <c r="A64" t="s">
        <v>1229</v>
      </c>
      <c r="B64">
        <v>2015</v>
      </c>
      <c r="C64">
        <v>2</v>
      </c>
      <c r="D64">
        <v>4.37</v>
      </c>
      <c r="E64">
        <v>65.5</v>
      </c>
      <c r="F64">
        <v>0.06</v>
      </c>
      <c r="G64" t="s">
        <v>8</v>
      </c>
      <c r="H64">
        <v>7</v>
      </c>
    </row>
    <row r="65" spans="1:8" x14ac:dyDescent="0.25">
      <c r="A65" t="s">
        <v>1236</v>
      </c>
      <c r="B65">
        <v>2015</v>
      </c>
      <c r="C65">
        <v>2</v>
      </c>
      <c r="D65">
        <v>1.1499999999999999</v>
      </c>
      <c r="E65">
        <v>10</v>
      </c>
      <c r="F65">
        <v>0.11</v>
      </c>
      <c r="G65" t="s">
        <v>8</v>
      </c>
      <c r="H65">
        <v>7</v>
      </c>
    </row>
    <row r="66" spans="1:8" x14ac:dyDescent="0.25">
      <c r="A66" t="s">
        <v>1241</v>
      </c>
      <c r="B66">
        <v>2015</v>
      </c>
      <c r="C66">
        <v>2</v>
      </c>
      <c r="D66">
        <v>0.13</v>
      </c>
      <c r="E66">
        <v>10</v>
      </c>
      <c r="F66">
        <v>0.01</v>
      </c>
      <c r="G66" t="s">
        <v>8</v>
      </c>
      <c r="H66">
        <v>7</v>
      </c>
    </row>
    <row r="67" spans="1:8" x14ac:dyDescent="0.25">
      <c r="A67" t="s">
        <v>1195</v>
      </c>
      <c r="B67">
        <v>2015</v>
      </c>
      <c r="C67">
        <v>2</v>
      </c>
      <c r="D67">
        <v>38.26</v>
      </c>
      <c r="E67">
        <v>85.5</v>
      </c>
      <c r="F67">
        <v>0.44</v>
      </c>
      <c r="G67" t="s">
        <v>8</v>
      </c>
      <c r="H67">
        <v>7</v>
      </c>
    </row>
    <row r="68" spans="1:8" x14ac:dyDescent="0.25">
      <c r="A68" t="s">
        <v>1226</v>
      </c>
      <c r="B68">
        <v>2015</v>
      </c>
      <c r="C68">
        <v>2</v>
      </c>
      <c r="D68">
        <v>10.86</v>
      </c>
      <c r="E68">
        <v>65.5</v>
      </c>
      <c r="F68">
        <v>0.16</v>
      </c>
      <c r="G68" t="s">
        <v>8</v>
      </c>
      <c r="H68">
        <v>7</v>
      </c>
    </row>
    <row r="69" spans="1:8" x14ac:dyDescent="0.25">
      <c r="A69" t="s">
        <v>1223</v>
      </c>
      <c r="B69">
        <v>2015</v>
      </c>
      <c r="C69">
        <v>2</v>
      </c>
      <c r="D69">
        <v>15.73</v>
      </c>
      <c r="E69">
        <v>60</v>
      </c>
      <c r="F69">
        <v>0.26</v>
      </c>
      <c r="G69" t="s">
        <v>8</v>
      </c>
      <c r="H69">
        <v>7</v>
      </c>
    </row>
    <row r="70" spans="1:8" x14ac:dyDescent="0.25">
      <c r="A70" t="s">
        <v>1017</v>
      </c>
      <c r="B70">
        <v>2015</v>
      </c>
      <c r="C70">
        <v>2</v>
      </c>
      <c r="D70">
        <v>258.20999999999998</v>
      </c>
      <c r="E70">
        <v>152.5</v>
      </c>
      <c r="F70">
        <v>1.69</v>
      </c>
      <c r="G70" t="s">
        <v>8</v>
      </c>
      <c r="H70">
        <v>7</v>
      </c>
    </row>
    <row r="71" spans="1:8" x14ac:dyDescent="0.25">
      <c r="A71" t="s">
        <v>1200</v>
      </c>
      <c r="B71">
        <v>2015</v>
      </c>
      <c r="C71">
        <v>2</v>
      </c>
      <c r="D71">
        <v>15.58</v>
      </c>
      <c r="E71">
        <v>15</v>
      </c>
      <c r="F71">
        <v>1.03</v>
      </c>
      <c r="G71" t="s">
        <v>8</v>
      </c>
      <c r="H71">
        <v>7</v>
      </c>
    </row>
    <row r="72" spans="1:8" x14ac:dyDescent="0.25">
      <c r="A72" t="s">
        <v>1190</v>
      </c>
      <c r="B72">
        <v>2015</v>
      </c>
      <c r="C72">
        <v>2</v>
      </c>
      <c r="D72">
        <v>130.12</v>
      </c>
      <c r="E72">
        <v>151</v>
      </c>
      <c r="F72">
        <v>0.86</v>
      </c>
      <c r="G72" t="s">
        <v>8</v>
      </c>
      <c r="H72">
        <v>7</v>
      </c>
    </row>
    <row r="73" spans="1:8" x14ac:dyDescent="0.25">
      <c r="A73" t="s">
        <v>1184</v>
      </c>
      <c r="B73">
        <v>2015</v>
      </c>
      <c r="C73">
        <v>2</v>
      </c>
      <c r="D73">
        <v>27.38</v>
      </c>
      <c r="E73">
        <v>131</v>
      </c>
      <c r="F73">
        <v>0.2</v>
      </c>
      <c r="G73" t="s">
        <v>8</v>
      </c>
      <c r="H73">
        <v>7</v>
      </c>
    </row>
    <row r="74" spans="1:8" x14ac:dyDescent="0.25">
      <c r="A74" t="s">
        <v>1201</v>
      </c>
      <c r="B74">
        <v>2015</v>
      </c>
      <c r="C74">
        <v>2</v>
      </c>
      <c r="D74">
        <v>109.19</v>
      </c>
      <c r="E74">
        <v>166.5</v>
      </c>
      <c r="F74">
        <v>0.65</v>
      </c>
      <c r="G74" t="s">
        <v>8</v>
      </c>
      <c r="H74">
        <v>7</v>
      </c>
    </row>
    <row r="75" spans="1:8" x14ac:dyDescent="0.25">
      <c r="A75" t="s">
        <v>1213</v>
      </c>
      <c r="B75">
        <v>2015</v>
      </c>
      <c r="C75">
        <v>2</v>
      </c>
      <c r="D75">
        <v>7.2</v>
      </c>
      <c r="E75">
        <v>45.5</v>
      </c>
      <c r="F75">
        <v>0.15</v>
      </c>
      <c r="G75" t="s">
        <v>8</v>
      </c>
      <c r="H75">
        <v>7</v>
      </c>
    </row>
    <row r="76" spans="1:8" x14ac:dyDescent="0.25">
      <c r="A76" t="s">
        <v>1212</v>
      </c>
      <c r="B76">
        <v>2015</v>
      </c>
      <c r="C76">
        <v>2</v>
      </c>
      <c r="D76">
        <v>0.45</v>
      </c>
      <c r="E76">
        <v>10</v>
      </c>
      <c r="F76">
        <v>0.04</v>
      </c>
      <c r="G76" t="s">
        <v>8</v>
      </c>
      <c r="H76">
        <v>7</v>
      </c>
    </row>
    <row r="77" spans="1:8" x14ac:dyDescent="0.25">
      <c r="A77" t="s">
        <v>1242</v>
      </c>
      <c r="B77">
        <v>2015</v>
      </c>
      <c r="C77">
        <v>2</v>
      </c>
      <c r="D77">
        <v>0.28000000000000003</v>
      </c>
      <c r="E77">
        <v>10</v>
      </c>
      <c r="F77">
        <v>0.02</v>
      </c>
      <c r="G77" t="s">
        <v>8</v>
      </c>
      <c r="H77">
        <v>7</v>
      </c>
    </row>
    <row r="78" spans="1:8" x14ac:dyDescent="0.25">
      <c r="A78" t="s">
        <v>1016</v>
      </c>
      <c r="B78">
        <v>2015</v>
      </c>
      <c r="C78">
        <v>2</v>
      </c>
      <c r="D78">
        <v>16.43</v>
      </c>
      <c r="E78">
        <v>28.5</v>
      </c>
      <c r="F78">
        <v>0.56999999999999995</v>
      </c>
      <c r="G78" t="s">
        <v>8</v>
      </c>
      <c r="H78">
        <v>7</v>
      </c>
    </row>
    <row r="79" spans="1:8" x14ac:dyDescent="0.25">
      <c r="A79" t="s">
        <v>1186</v>
      </c>
      <c r="B79">
        <v>2015</v>
      </c>
      <c r="C79">
        <v>2</v>
      </c>
      <c r="D79">
        <v>109.68</v>
      </c>
      <c r="E79">
        <v>176.5</v>
      </c>
      <c r="F79">
        <v>0.62</v>
      </c>
      <c r="G79" t="s">
        <v>8</v>
      </c>
      <c r="H79">
        <v>7</v>
      </c>
    </row>
    <row r="80" spans="1:8" x14ac:dyDescent="0.25">
      <c r="A80" t="s">
        <v>1196</v>
      </c>
      <c r="B80">
        <v>2015</v>
      </c>
      <c r="C80">
        <v>2</v>
      </c>
      <c r="D80">
        <v>15.24</v>
      </c>
      <c r="E80">
        <v>86.5</v>
      </c>
      <c r="F80">
        <v>0.17</v>
      </c>
      <c r="G80" t="s">
        <v>8</v>
      </c>
      <c r="H80">
        <v>7</v>
      </c>
    </row>
    <row r="81" spans="1:8" x14ac:dyDescent="0.25">
      <c r="A81" t="s">
        <v>1199</v>
      </c>
      <c r="B81">
        <v>2015</v>
      </c>
      <c r="C81">
        <v>2</v>
      </c>
      <c r="D81">
        <v>22.55</v>
      </c>
      <c r="E81">
        <v>105.5</v>
      </c>
      <c r="F81">
        <v>0.21</v>
      </c>
      <c r="G81" t="s">
        <v>8</v>
      </c>
      <c r="H81">
        <v>7</v>
      </c>
    </row>
    <row r="82" spans="1:8" x14ac:dyDescent="0.25">
      <c r="A82" t="s">
        <v>1185</v>
      </c>
      <c r="B82">
        <v>2015</v>
      </c>
      <c r="C82">
        <v>2</v>
      </c>
      <c r="D82">
        <v>31</v>
      </c>
      <c r="E82">
        <v>131</v>
      </c>
      <c r="F82">
        <v>0.23</v>
      </c>
      <c r="G82" t="s">
        <v>8</v>
      </c>
      <c r="H82">
        <v>7</v>
      </c>
    </row>
    <row r="83" spans="1:8" x14ac:dyDescent="0.25">
      <c r="A83" t="s">
        <v>1209</v>
      </c>
      <c r="B83">
        <v>2015</v>
      </c>
      <c r="C83">
        <v>2</v>
      </c>
      <c r="D83">
        <v>3.86</v>
      </c>
      <c r="E83">
        <v>70</v>
      </c>
      <c r="F83">
        <v>0.05</v>
      </c>
      <c r="G83" t="s">
        <v>8</v>
      </c>
      <c r="H83">
        <v>7</v>
      </c>
    </row>
    <row r="84" spans="1:8" x14ac:dyDescent="0.25">
      <c r="A84" t="s">
        <v>1012</v>
      </c>
      <c r="B84">
        <v>2015</v>
      </c>
      <c r="C84">
        <v>2</v>
      </c>
      <c r="D84">
        <v>13.74</v>
      </c>
      <c r="E84">
        <v>43.5</v>
      </c>
      <c r="F84">
        <v>0.31</v>
      </c>
      <c r="G84" t="s">
        <v>8</v>
      </c>
      <c r="H84">
        <v>7</v>
      </c>
    </row>
    <row r="85" spans="1:8" x14ac:dyDescent="0.25">
      <c r="A85" t="s">
        <v>1010</v>
      </c>
      <c r="B85">
        <v>2015</v>
      </c>
      <c r="C85">
        <v>2</v>
      </c>
      <c r="D85">
        <v>149.79</v>
      </c>
      <c r="E85">
        <v>156.5</v>
      </c>
      <c r="F85">
        <v>0.95</v>
      </c>
      <c r="G85" t="s">
        <v>8</v>
      </c>
      <c r="H85">
        <v>7</v>
      </c>
    </row>
    <row r="86" spans="1:8" x14ac:dyDescent="0.25">
      <c r="A86" t="s">
        <v>1206</v>
      </c>
      <c r="B86">
        <v>2015</v>
      </c>
      <c r="C86">
        <v>2</v>
      </c>
      <c r="D86">
        <v>11.79</v>
      </c>
      <c r="E86">
        <v>45.5</v>
      </c>
      <c r="F86">
        <v>0.25</v>
      </c>
      <c r="G86" t="s">
        <v>8</v>
      </c>
      <c r="H86">
        <v>7</v>
      </c>
    </row>
    <row r="87" spans="1:8" x14ac:dyDescent="0.25">
      <c r="A87" t="s">
        <v>1217</v>
      </c>
      <c r="B87">
        <v>2015</v>
      </c>
      <c r="C87">
        <v>2</v>
      </c>
      <c r="D87">
        <v>8.1300000000000008</v>
      </c>
      <c r="E87">
        <v>40</v>
      </c>
      <c r="F87">
        <v>0.2</v>
      </c>
      <c r="G87" t="s">
        <v>8</v>
      </c>
      <c r="H87">
        <v>7</v>
      </c>
    </row>
    <row r="88" spans="1:8" x14ac:dyDescent="0.25">
      <c r="A88" t="s">
        <v>1189</v>
      </c>
      <c r="B88">
        <v>2015</v>
      </c>
      <c r="C88">
        <v>2</v>
      </c>
      <c r="D88">
        <v>81.510000000000005</v>
      </c>
      <c r="E88">
        <v>150</v>
      </c>
      <c r="F88">
        <v>0.54</v>
      </c>
      <c r="G88" t="s">
        <v>8</v>
      </c>
      <c r="H88">
        <v>7</v>
      </c>
    </row>
    <row r="89" spans="1:8" x14ac:dyDescent="0.25">
      <c r="A89" t="s">
        <v>1237</v>
      </c>
      <c r="B89">
        <v>2015</v>
      </c>
      <c r="C89">
        <v>2</v>
      </c>
      <c r="D89">
        <v>0.15</v>
      </c>
      <c r="E89">
        <v>20</v>
      </c>
      <c r="F89">
        <v>0</v>
      </c>
      <c r="G89" t="s">
        <v>8</v>
      </c>
      <c r="H89">
        <v>7</v>
      </c>
    </row>
    <row r="90" spans="1:8" x14ac:dyDescent="0.25">
      <c r="A90" t="s">
        <v>1211</v>
      </c>
      <c r="B90">
        <v>2015</v>
      </c>
      <c r="C90">
        <v>2</v>
      </c>
      <c r="D90">
        <v>19.899999999999999</v>
      </c>
      <c r="E90">
        <v>20</v>
      </c>
      <c r="F90">
        <v>0.99</v>
      </c>
      <c r="G90" t="s">
        <v>8</v>
      </c>
      <c r="H90">
        <v>7</v>
      </c>
    </row>
    <row r="91" spans="1:8" x14ac:dyDescent="0.25">
      <c r="A91" t="s">
        <v>1198</v>
      </c>
      <c r="B91">
        <v>2015</v>
      </c>
      <c r="C91">
        <v>2</v>
      </c>
      <c r="D91">
        <v>45.9</v>
      </c>
      <c r="E91">
        <v>140</v>
      </c>
      <c r="F91">
        <v>0.32</v>
      </c>
      <c r="G91" t="s">
        <v>8</v>
      </c>
      <c r="H91">
        <v>7</v>
      </c>
    </row>
    <row r="92" spans="1:8" x14ac:dyDescent="0.25">
      <c r="A92" t="s">
        <v>146</v>
      </c>
      <c r="B92">
        <v>2015</v>
      </c>
      <c r="C92">
        <v>2</v>
      </c>
      <c r="D92">
        <v>7.96</v>
      </c>
      <c r="E92">
        <v>19</v>
      </c>
      <c r="F92">
        <v>0.41</v>
      </c>
      <c r="G92" t="s">
        <v>8</v>
      </c>
      <c r="H92">
        <v>7</v>
      </c>
    </row>
    <row r="93" spans="1:8" x14ac:dyDescent="0.25">
      <c r="A93" t="s">
        <v>1228</v>
      </c>
      <c r="B93">
        <v>2015</v>
      </c>
      <c r="C93">
        <v>2</v>
      </c>
      <c r="D93">
        <v>2.96</v>
      </c>
      <c r="E93">
        <v>15.5</v>
      </c>
      <c r="F93">
        <v>0.19</v>
      </c>
      <c r="G93" t="s">
        <v>8</v>
      </c>
      <c r="H93">
        <v>7</v>
      </c>
    </row>
    <row r="94" spans="1:8" x14ac:dyDescent="0.25">
      <c r="A94" t="s">
        <v>1230</v>
      </c>
      <c r="B94">
        <v>2015</v>
      </c>
      <c r="C94">
        <v>2</v>
      </c>
      <c r="D94">
        <v>0.33</v>
      </c>
      <c r="E94">
        <v>5.5</v>
      </c>
      <c r="F94">
        <v>0.06</v>
      </c>
      <c r="G94" t="s">
        <v>8</v>
      </c>
      <c r="H94">
        <v>7</v>
      </c>
    </row>
    <row r="95" spans="1:8" x14ac:dyDescent="0.25">
      <c r="A95" t="s">
        <v>1018</v>
      </c>
      <c r="B95">
        <v>2015</v>
      </c>
      <c r="C95">
        <v>2</v>
      </c>
      <c r="D95">
        <v>239.25</v>
      </c>
      <c r="E95">
        <v>176.5</v>
      </c>
      <c r="F95">
        <v>1.35</v>
      </c>
      <c r="G95" t="s">
        <v>8</v>
      </c>
      <c r="H95">
        <v>7</v>
      </c>
    </row>
    <row r="96" spans="1:8" x14ac:dyDescent="0.25">
      <c r="A96" t="s">
        <v>1193</v>
      </c>
      <c r="B96">
        <v>2015</v>
      </c>
      <c r="C96">
        <v>2</v>
      </c>
      <c r="D96">
        <v>40.799999999999997</v>
      </c>
      <c r="E96">
        <v>105.5</v>
      </c>
      <c r="F96">
        <v>0.38</v>
      </c>
      <c r="G96" t="s">
        <v>8</v>
      </c>
      <c r="H96">
        <v>7</v>
      </c>
    </row>
    <row r="97" spans="1:8" x14ac:dyDescent="0.25">
      <c r="A97" t="s">
        <v>1187</v>
      </c>
      <c r="B97">
        <v>2015</v>
      </c>
      <c r="C97">
        <v>2</v>
      </c>
      <c r="D97">
        <v>54.8</v>
      </c>
      <c r="E97">
        <v>131</v>
      </c>
      <c r="F97">
        <v>0.41</v>
      </c>
      <c r="G97" t="s">
        <v>8</v>
      </c>
      <c r="H97">
        <v>7</v>
      </c>
    </row>
    <row r="98" spans="1:8" x14ac:dyDescent="0.25">
      <c r="A98" t="s">
        <v>1222</v>
      </c>
      <c r="B98">
        <v>2015</v>
      </c>
      <c r="C98">
        <v>2</v>
      </c>
      <c r="D98">
        <v>59.31</v>
      </c>
      <c r="E98">
        <v>91</v>
      </c>
      <c r="F98">
        <v>0.65</v>
      </c>
      <c r="G98" t="s">
        <v>8</v>
      </c>
      <c r="H98">
        <v>7</v>
      </c>
    </row>
    <row r="99" spans="1:8" x14ac:dyDescent="0.25">
      <c r="A99" t="s">
        <v>1224</v>
      </c>
      <c r="B99">
        <v>2015</v>
      </c>
      <c r="C99">
        <v>2</v>
      </c>
      <c r="D99">
        <v>34.24</v>
      </c>
      <c r="E99">
        <v>101</v>
      </c>
      <c r="F99">
        <v>0.33</v>
      </c>
      <c r="G99" t="s">
        <v>8</v>
      </c>
      <c r="H99">
        <v>7</v>
      </c>
    </row>
    <row r="100" spans="1:8" x14ac:dyDescent="0.25">
      <c r="A100" t="s">
        <v>1232</v>
      </c>
      <c r="B100">
        <v>2015</v>
      </c>
      <c r="C100">
        <v>2</v>
      </c>
      <c r="D100">
        <v>46.71</v>
      </c>
      <c r="E100">
        <v>55.5</v>
      </c>
      <c r="F100">
        <v>0.84</v>
      </c>
      <c r="G100" t="s">
        <v>8</v>
      </c>
      <c r="H100">
        <v>7</v>
      </c>
    </row>
    <row r="101" spans="1:8" x14ac:dyDescent="0.25">
      <c r="A101" t="s">
        <v>1235</v>
      </c>
      <c r="B101">
        <v>2015</v>
      </c>
      <c r="C101">
        <v>2</v>
      </c>
      <c r="D101">
        <v>0.62</v>
      </c>
      <c r="E101">
        <v>21</v>
      </c>
      <c r="F101">
        <v>0.02</v>
      </c>
      <c r="G101" t="s">
        <v>8</v>
      </c>
      <c r="H101">
        <v>7</v>
      </c>
    </row>
    <row r="102" spans="1:8" x14ac:dyDescent="0.25">
      <c r="A102" t="s">
        <v>1030</v>
      </c>
      <c r="B102">
        <v>2015</v>
      </c>
      <c r="C102">
        <v>2</v>
      </c>
      <c r="D102">
        <v>5.19</v>
      </c>
      <c r="E102">
        <v>24.5</v>
      </c>
      <c r="F102">
        <v>0.21</v>
      </c>
      <c r="G102" t="s">
        <v>8</v>
      </c>
      <c r="H102">
        <v>7</v>
      </c>
    </row>
    <row r="103" spans="1:8" x14ac:dyDescent="0.25">
      <c r="A103" t="s">
        <v>1025</v>
      </c>
      <c r="B103">
        <v>2015</v>
      </c>
      <c r="C103">
        <v>2</v>
      </c>
      <c r="D103">
        <v>158.6</v>
      </c>
      <c r="E103">
        <v>176.5</v>
      </c>
      <c r="F103">
        <v>0.89</v>
      </c>
      <c r="G103" t="s">
        <v>8</v>
      </c>
      <c r="H103">
        <v>7</v>
      </c>
    </row>
    <row r="104" spans="1:8" x14ac:dyDescent="0.25">
      <c r="A104" t="s">
        <v>1207</v>
      </c>
      <c r="B104">
        <v>2015</v>
      </c>
      <c r="C104">
        <v>2</v>
      </c>
      <c r="D104">
        <v>39.65</v>
      </c>
      <c r="E104">
        <v>151</v>
      </c>
      <c r="F104">
        <v>0.26</v>
      </c>
      <c r="G104" t="s">
        <v>8</v>
      </c>
      <c r="H104">
        <v>7</v>
      </c>
    </row>
    <row r="105" spans="1:8" x14ac:dyDescent="0.25">
      <c r="A105" t="s">
        <v>1205</v>
      </c>
      <c r="B105">
        <v>2015</v>
      </c>
      <c r="C105">
        <v>2</v>
      </c>
      <c r="D105">
        <v>8.68</v>
      </c>
      <c r="E105">
        <v>65.5</v>
      </c>
      <c r="F105">
        <v>0.13</v>
      </c>
      <c r="G105" t="s">
        <v>8</v>
      </c>
      <c r="H105">
        <v>7</v>
      </c>
    </row>
    <row r="106" spans="1:8" x14ac:dyDescent="0.25">
      <c r="A106" t="s">
        <v>1238</v>
      </c>
      <c r="B106">
        <v>2015</v>
      </c>
      <c r="C106">
        <v>2</v>
      </c>
      <c r="D106">
        <v>1.05</v>
      </c>
      <c r="E106">
        <v>10</v>
      </c>
      <c r="F106">
        <v>0.1</v>
      </c>
      <c r="G106" t="s">
        <v>8</v>
      </c>
      <c r="H106">
        <v>7</v>
      </c>
    </row>
    <row r="107" spans="1:8" x14ac:dyDescent="0.25">
      <c r="A107" t="s">
        <v>1210</v>
      </c>
      <c r="B107">
        <v>2015</v>
      </c>
      <c r="C107">
        <v>2</v>
      </c>
      <c r="D107">
        <v>0</v>
      </c>
      <c r="E107">
        <v>5.5</v>
      </c>
      <c r="F107">
        <v>0</v>
      </c>
      <c r="G107" t="s">
        <v>8</v>
      </c>
      <c r="H107">
        <v>7</v>
      </c>
    </row>
    <row r="108" spans="1:8" x14ac:dyDescent="0.25">
      <c r="A108" t="s">
        <v>1233</v>
      </c>
      <c r="B108">
        <v>2015</v>
      </c>
      <c r="C108">
        <v>2</v>
      </c>
      <c r="D108">
        <v>0.17</v>
      </c>
      <c r="E108">
        <v>50</v>
      </c>
      <c r="F108">
        <v>0</v>
      </c>
      <c r="G108" t="s">
        <v>8</v>
      </c>
      <c r="H108">
        <v>7</v>
      </c>
    </row>
    <row r="109" spans="1:8" x14ac:dyDescent="0.25">
      <c r="A109" t="s">
        <v>1191</v>
      </c>
      <c r="B109">
        <v>2015</v>
      </c>
      <c r="C109">
        <v>2</v>
      </c>
      <c r="D109">
        <v>10.25</v>
      </c>
      <c r="E109">
        <v>28.5</v>
      </c>
      <c r="F109">
        <v>0.35</v>
      </c>
      <c r="G109" t="s">
        <v>8</v>
      </c>
      <c r="H109">
        <v>7</v>
      </c>
    </row>
    <row r="110" spans="1:8" x14ac:dyDescent="0.25">
      <c r="A110" t="s">
        <v>1192</v>
      </c>
      <c r="B110">
        <v>2015</v>
      </c>
      <c r="C110">
        <v>2</v>
      </c>
      <c r="D110">
        <v>0.06</v>
      </c>
      <c r="E110">
        <v>19</v>
      </c>
      <c r="F110">
        <v>0</v>
      </c>
      <c r="G110" t="s">
        <v>8</v>
      </c>
      <c r="H110">
        <v>7</v>
      </c>
    </row>
    <row r="111" spans="1:8" x14ac:dyDescent="0.25">
      <c r="A111" t="s">
        <v>1194</v>
      </c>
      <c r="B111">
        <v>2015</v>
      </c>
      <c r="C111">
        <v>2</v>
      </c>
      <c r="D111">
        <v>147.44999999999999</v>
      </c>
      <c r="E111">
        <v>156.5</v>
      </c>
      <c r="F111">
        <v>0.94</v>
      </c>
      <c r="G111" t="s">
        <v>8</v>
      </c>
      <c r="H111">
        <v>7</v>
      </c>
    </row>
    <row r="112" spans="1:8" x14ac:dyDescent="0.25">
      <c r="A112" t="s">
        <v>1031</v>
      </c>
      <c r="B112">
        <v>2015</v>
      </c>
      <c r="C112">
        <v>2</v>
      </c>
      <c r="D112">
        <v>169.85</v>
      </c>
      <c r="E112">
        <v>171</v>
      </c>
      <c r="F112">
        <v>0.99</v>
      </c>
      <c r="G112" t="s">
        <v>8</v>
      </c>
      <c r="H112">
        <v>7</v>
      </c>
    </row>
    <row r="113" spans="1:8" x14ac:dyDescent="0.25">
      <c r="A113" t="s">
        <v>1204</v>
      </c>
      <c r="B113">
        <v>2015</v>
      </c>
      <c r="C113">
        <v>2</v>
      </c>
      <c r="D113">
        <v>29.64</v>
      </c>
      <c r="E113">
        <v>121</v>
      </c>
      <c r="F113">
        <v>0.24</v>
      </c>
      <c r="G113" t="s">
        <v>8</v>
      </c>
      <c r="H113">
        <v>7</v>
      </c>
    </row>
    <row r="114" spans="1:8" x14ac:dyDescent="0.25">
      <c r="A114" t="s">
        <v>1208</v>
      </c>
      <c r="B114">
        <v>2015</v>
      </c>
      <c r="C114">
        <v>2</v>
      </c>
      <c r="D114">
        <v>26.38</v>
      </c>
      <c r="E114">
        <v>117</v>
      </c>
      <c r="F114">
        <v>0.22</v>
      </c>
      <c r="G114" t="s">
        <v>8</v>
      </c>
      <c r="H114">
        <v>7</v>
      </c>
    </row>
    <row r="115" spans="1:8" x14ac:dyDescent="0.25">
      <c r="A115" t="s">
        <v>1022</v>
      </c>
      <c r="B115">
        <v>2015</v>
      </c>
      <c r="C115">
        <v>2</v>
      </c>
      <c r="D115">
        <v>455.14</v>
      </c>
      <c r="E115">
        <v>176.5</v>
      </c>
      <c r="F115">
        <v>2.57</v>
      </c>
      <c r="G115" t="s">
        <v>8</v>
      </c>
      <c r="H115">
        <v>7</v>
      </c>
    </row>
    <row r="116" spans="1:8" x14ac:dyDescent="0.25">
      <c r="A116" t="s">
        <v>1215</v>
      </c>
      <c r="B116">
        <v>2015</v>
      </c>
      <c r="C116">
        <v>2</v>
      </c>
      <c r="D116">
        <v>94.16</v>
      </c>
      <c r="E116">
        <v>151</v>
      </c>
      <c r="F116">
        <v>0.62</v>
      </c>
      <c r="G116" t="s">
        <v>8</v>
      </c>
      <c r="H116">
        <v>7</v>
      </c>
    </row>
    <row r="117" spans="1:8" x14ac:dyDescent="0.25">
      <c r="A117" t="s">
        <v>1216</v>
      </c>
      <c r="B117">
        <v>2015</v>
      </c>
      <c r="C117">
        <v>2</v>
      </c>
      <c r="D117">
        <v>101.38</v>
      </c>
      <c r="E117">
        <v>121</v>
      </c>
      <c r="F117">
        <v>0.83</v>
      </c>
      <c r="G117" t="s">
        <v>8</v>
      </c>
      <c r="H117">
        <v>7</v>
      </c>
    </row>
    <row r="118" spans="1:8" x14ac:dyDescent="0.25">
      <c r="A118" t="s">
        <v>1219</v>
      </c>
      <c r="B118">
        <v>2015</v>
      </c>
      <c r="C118">
        <v>2</v>
      </c>
      <c r="D118">
        <v>32.799999999999997</v>
      </c>
      <c r="E118">
        <v>75.5</v>
      </c>
      <c r="F118">
        <v>0.43</v>
      </c>
      <c r="G118" t="s">
        <v>8</v>
      </c>
      <c r="H118">
        <v>7</v>
      </c>
    </row>
    <row r="119" spans="1:8" x14ac:dyDescent="0.25">
      <c r="A119" t="s">
        <v>1218</v>
      </c>
      <c r="B119">
        <v>2015</v>
      </c>
      <c r="C119">
        <v>2</v>
      </c>
      <c r="D119">
        <v>0.42</v>
      </c>
      <c r="E119">
        <v>10</v>
      </c>
      <c r="F119">
        <v>0.04</v>
      </c>
      <c r="G119" t="s">
        <v>8</v>
      </c>
      <c r="H119">
        <v>7</v>
      </c>
    </row>
    <row r="120" spans="1:8" x14ac:dyDescent="0.25">
      <c r="A120" t="s">
        <v>1221</v>
      </c>
      <c r="B120">
        <v>2015</v>
      </c>
      <c r="C120">
        <v>2</v>
      </c>
      <c r="D120">
        <v>6.82</v>
      </c>
      <c r="E120">
        <v>10</v>
      </c>
      <c r="F120">
        <v>0.68</v>
      </c>
      <c r="G120" t="s">
        <v>8</v>
      </c>
      <c r="H120">
        <v>7</v>
      </c>
    </row>
    <row r="121" spans="1:8" x14ac:dyDescent="0.25">
      <c r="A121" t="s">
        <v>1225</v>
      </c>
      <c r="B121">
        <v>2015</v>
      </c>
      <c r="C121">
        <v>2</v>
      </c>
      <c r="D121">
        <v>6.46</v>
      </c>
      <c r="E121">
        <v>20</v>
      </c>
      <c r="F121">
        <v>0.32</v>
      </c>
      <c r="G121" t="s">
        <v>8</v>
      </c>
      <c r="H121">
        <v>7</v>
      </c>
    </row>
    <row r="122" spans="1:8" x14ac:dyDescent="0.25">
      <c r="A122" t="s">
        <v>1231</v>
      </c>
      <c r="B122">
        <v>2015</v>
      </c>
      <c r="C122">
        <v>2</v>
      </c>
      <c r="D122">
        <v>5.37</v>
      </c>
      <c r="E122">
        <v>20</v>
      </c>
      <c r="F122">
        <v>0.26</v>
      </c>
      <c r="G122" t="s">
        <v>8</v>
      </c>
      <c r="H122">
        <v>7</v>
      </c>
    </row>
    <row r="123" spans="1:8" x14ac:dyDescent="0.25">
      <c r="A123" t="s">
        <v>1240</v>
      </c>
      <c r="B123">
        <v>2015</v>
      </c>
      <c r="C123">
        <v>2</v>
      </c>
      <c r="D123">
        <v>0.52</v>
      </c>
      <c r="E123">
        <v>10</v>
      </c>
      <c r="F123">
        <v>0.05</v>
      </c>
      <c r="G123" t="s">
        <v>8</v>
      </c>
      <c r="H123">
        <v>7</v>
      </c>
    </row>
    <row r="124" spans="1:8" x14ac:dyDescent="0.25">
      <c r="A124" t="s">
        <v>1197</v>
      </c>
      <c r="B124">
        <v>2015</v>
      </c>
      <c r="C124">
        <v>2</v>
      </c>
      <c r="D124">
        <v>25.49</v>
      </c>
      <c r="E124">
        <v>115.5</v>
      </c>
      <c r="F124">
        <v>0.22</v>
      </c>
      <c r="G124" t="s">
        <v>8</v>
      </c>
      <c r="H124">
        <v>7</v>
      </c>
    </row>
    <row r="125" spans="1:8" x14ac:dyDescent="0.25">
      <c r="A125" t="s">
        <v>1202</v>
      </c>
      <c r="B125">
        <v>2015</v>
      </c>
      <c r="C125">
        <v>2</v>
      </c>
      <c r="D125">
        <v>164.32</v>
      </c>
      <c r="E125">
        <v>176.5</v>
      </c>
      <c r="F125">
        <v>0.93</v>
      </c>
      <c r="G125" t="s">
        <v>8</v>
      </c>
      <c r="H125">
        <v>7</v>
      </c>
    </row>
    <row r="126" spans="1:8" x14ac:dyDescent="0.25">
      <c r="A126" t="s">
        <v>1021</v>
      </c>
      <c r="B126">
        <v>2015</v>
      </c>
      <c r="C126">
        <v>3</v>
      </c>
      <c r="D126">
        <v>76.5</v>
      </c>
      <c r="E126">
        <v>115.5</v>
      </c>
      <c r="F126">
        <v>0.66</v>
      </c>
      <c r="G126" t="s">
        <v>10</v>
      </c>
      <c r="H126">
        <v>8</v>
      </c>
    </row>
    <row r="127" spans="1:8" x14ac:dyDescent="0.25">
      <c r="A127" t="s">
        <v>1188</v>
      </c>
      <c r="B127">
        <v>2015</v>
      </c>
      <c r="C127">
        <v>3</v>
      </c>
      <c r="D127">
        <v>8.85</v>
      </c>
      <c r="E127">
        <v>30</v>
      </c>
      <c r="F127">
        <v>0.28999999999999998</v>
      </c>
      <c r="G127" t="s">
        <v>10</v>
      </c>
      <c r="H127">
        <v>8</v>
      </c>
    </row>
    <row r="128" spans="1:8" x14ac:dyDescent="0.25">
      <c r="A128" t="s">
        <v>1220</v>
      </c>
      <c r="B128">
        <v>2015</v>
      </c>
      <c r="C128">
        <v>3</v>
      </c>
      <c r="D128">
        <v>2.93</v>
      </c>
      <c r="E128">
        <v>25.5</v>
      </c>
      <c r="F128">
        <v>0.11</v>
      </c>
      <c r="G128" t="s">
        <v>10</v>
      </c>
      <c r="H128">
        <v>8</v>
      </c>
    </row>
    <row r="129" spans="1:8" x14ac:dyDescent="0.25">
      <c r="A129" t="s">
        <v>1227</v>
      </c>
      <c r="B129">
        <v>2015</v>
      </c>
      <c r="C129">
        <v>3</v>
      </c>
      <c r="D129">
        <v>2.44</v>
      </c>
      <c r="E129">
        <v>20</v>
      </c>
      <c r="F129">
        <v>0.12</v>
      </c>
      <c r="G129" t="s">
        <v>10</v>
      </c>
      <c r="H129">
        <v>8</v>
      </c>
    </row>
    <row r="130" spans="1:8" x14ac:dyDescent="0.25">
      <c r="A130" t="s">
        <v>1203</v>
      </c>
      <c r="B130">
        <v>2015</v>
      </c>
      <c r="C130">
        <v>3</v>
      </c>
      <c r="D130">
        <v>37.39</v>
      </c>
      <c r="E130">
        <v>91</v>
      </c>
      <c r="F130">
        <v>0.41</v>
      </c>
      <c r="G130" t="s">
        <v>10</v>
      </c>
      <c r="H130">
        <v>8</v>
      </c>
    </row>
    <row r="131" spans="1:8" x14ac:dyDescent="0.25">
      <c r="A131" t="s">
        <v>1229</v>
      </c>
      <c r="B131">
        <v>2015</v>
      </c>
      <c r="C131">
        <v>3</v>
      </c>
      <c r="D131">
        <v>4.74</v>
      </c>
      <c r="E131">
        <v>5.5</v>
      </c>
      <c r="F131">
        <v>0.86</v>
      </c>
      <c r="G131" t="s">
        <v>10</v>
      </c>
      <c r="H131">
        <v>8</v>
      </c>
    </row>
    <row r="132" spans="1:8" x14ac:dyDescent="0.25">
      <c r="A132" t="s">
        <v>1241</v>
      </c>
      <c r="B132">
        <v>2015</v>
      </c>
      <c r="C132">
        <v>3</v>
      </c>
      <c r="D132">
        <v>0.45</v>
      </c>
      <c r="E132">
        <v>10</v>
      </c>
      <c r="F132">
        <v>0.04</v>
      </c>
      <c r="G132" t="s">
        <v>10</v>
      </c>
      <c r="H132">
        <v>8</v>
      </c>
    </row>
    <row r="133" spans="1:8" x14ac:dyDescent="0.25">
      <c r="A133" t="s">
        <v>1195</v>
      </c>
      <c r="B133">
        <v>2015</v>
      </c>
      <c r="C133">
        <v>3</v>
      </c>
      <c r="D133">
        <v>28.13</v>
      </c>
      <c r="E133">
        <v>75.5</v>
      </c>
      <c r="F133">
        <v>0.37</v>
      </c>
      <c r="G133" t="s">
        <v>10</v>
      </c>
      <c r="H133">
        <v>8</v>
      </c>
    </row>
    <row r="134" spans="1:8" x14ac:dyDescent="0.25">
      <c r="A134" t="s">
        <v>1226</v>
      </c>
      <c r="B134">
        <v>2015</v>
      </c>
      <c r="C134">
        <v>3</v>
      </c>
      <c r="D134">
        <v>5.76</v>
      </c>
      <c r="E134">
        <v>35.5</v>
      </c>
      <c r="F134">
        <v>0.16</v>
      </c>
      <c r="G134" t="s">
        <v>10</v>
      </c>
      <c r="H134">
        <v>8</v>
      </c>
    </row>
    <row r="135" spans="1:8" x14ac:dyDescent="0.25">
      <c r="A135" t="s">
        <v>1223</v>
      </c>
      <c r="B135">
        <v>2015</v>
      </c>
      <c r="C135">
        <v>3</v>
      </c>
      <c r="D135">
        <v>3.16</v>
      </c>
      <c r="E135">
        <v>20</v>
      </c>
      <c r="F135">
        <v>0.15</v>
      </c>
      <c r="G135" t="s">
        <v>10</v>
      </c>
      <c r="H135">
        <v>8</v>
      </c>
    </row>
    <row r="136" spans="1:8" x14ac:dyDescent="0.25">
      <c r="A136" t="s">
        <v>1017</v>
      </c>
      <c r="B136">
        <v>2015</v>
      </c>
      <c r="C136">
        <v>3</v>
      </c>
      <c r="D136">
        <v>216.95</v>
      </c>
      <c r="E136">
        <v>173</v>
      </c>
      <c r="F136">
        <v>1.25</v>
      </c>
      <c r="G136" t="s">
        <v>10</v>
      </c>
      <c r="H136">
        <v>8</v>
      </c>
    </row>
    <row r="137" spans="1:8" x14ac:dyDescent="0.25">
      <c r="A137" t="s">
        <v>1200</v>
      </c>
      <c r="B137">
        <v>2015</v>
      </c>
      <c r="C137">
        <v>3</v>
      </c>
      <c r="D137">
        <v>1.04</v>
      </c>
      <c r="E137">
        <v>20.5</v>
      </c>
      <c r="F137">
        <v>0.05</v>
      </c>
      <c r="G137" t="s">
        <v>10</v>
      </c>
      <c r="H137">
        <v>8</v>
      </c>
    </row>
    <row r="138" spans="1:8" x14ac:dyDescent="0.25">
      <c r="A138" t="s">
        <v>1190</v>
      </c>
      <c r="B138">
        <v>2015</v>
      </c>
      <c r="C138">
        <v>3</v>
      </c>
      <c r="D138">
        <v>29.75</v>
      </c>
      <c r="E138">
        <v>155.5</v>
      </c>
      <c r="F138">
        <v>0.19</v>
      </c>
      <c r="G138" t="s">
        <v>10</v>
      </c>
      <c r="H138">
        <v>8</v>
      </c>
    </row>
    <row r="139" spans="1:8" x14ac:dyDescent="0.25">
      <c r="A139" t="s">
        <v>1184</v>
      </c>
      <c r="B139">
        <v>2015</v>
      </c>
      <c r="C139">
        <v>3</v>
      </c>
      <c r="D139">
        <v>8.85</v>
      </c>
      <c r="E139">
        <v>55.5</v>
      </c>
      <c r="F139">
        <v>0.15</v>
      </c>
      <c r="G139" t="s">
        <v>10</v>
      </c>
      <c r="H139">
        <v>8</v>
      </c>
    </row>
    <row r="140" spans="1:8" x14ac:dyDescent="0.25">
      <c r="A140" t="s">
        <v>1201</v>
      </c>
      <c r="B140">
        <v>2015</v>
      </c>
      <c r="C140">
        <v>3</v>
      </c>
      <c r="D140">
        <v>107.56</v>
      </c>
      <c r="E140">
        <v>196.5</v>
      </c>
      <c r="F140">
        <v>0.54</v>
      </c>
      <c r="G140" t="s">
        <v>10</v>
      </c>
      <c r="H140">
        <v>8</v>
      </c>
    </row>
    <row r="141" spans="1:8" x14ac:dyDescent="0.25">
      <c r="A141" t="s">
        <v>1213</v>
      </c>
      <c r="B141">
        <v>2015</v>
      </c>
      <c r="C141">
        <v>3</v>
      </c>
      <c r="D141">
        <v>28.49</v>
      </c>
      <c r="E141">
        <v>75.5</v>
      </c>
      <c r="F141">
        <v>0.37</v>
      </c>
      <c r="G141" t="s">
        <v>10</v>
      </c>
      <c r="H141">
        <v>8</v>
      </c>
    </row>
    <row r="142" spans="1:8" x14ac:dyDescent="0.25">
      <c r="A142" t="s">
        <v>1212</v>
      </c>
      <c r="B142">
        <v>2015</v>
      </c>
      <c r="C142">
        <v>3</v>
      </c>
      <c r="D142">
        <v>3.51</v>
      </c>
      <c r="E142">
        <v>30</v>
      </c>
      <c r="F142">
        <v>0.11</v>
      </c>
      <c r="G142" t="s">
        <v>10</v>
      </c>
      <c r="H142">
        <v>8</v>
      </c>
    </row>
    <row r="143" spans="1:8" x14ac:dyDescent="0.25">
      <c r="A143" t="s">
        <v>1214</v>
      </c>
      <c r="B143">
        <v>2015</v>
      </c>
      <c r="C143">
        <v>3</v>
      </c>
      <c r="D143">
        <v>4.53</v>
      </c>
      <c r="E143">
        <v>20</v>
      </c>
      <c r="F143">
        <v>0.22</v>
      </c>
      <c r="G143" t="s">
        <v>10</v>
      </c>
      <c r="H143">
        <v>8</v>
      </c>
    </row>
    <row r="144" spans="1:8" x14ac:dyDescent="0.25">
      <c r="A144" t="s">
        <v>1016</v>
      </c>
      <c r="B144">
        <v>2015</v>
      </c>
      <c r="C144">
        <v>3</v>
      </c>
      <c r="D144">
        <v>187.2</v>
      </c>
      <c r="E144">
        <v>176.5</v>
      </c>
      <c r="F144">
        <v>1.06</v>
      </c>
      <c r="G144" t="s">
        <v>10</v>
      </c>
      <c r="H144">
        <v>8</v>
      </c>
    </row>
    <row r="145" spans="1:8" x14ac:dyDescent="0.25">
      <c r="A145" t="s">
        <v>1186</v>
      </c>
      <c r="B145">
        <v>2015</v>
      </c>
      <c r="C145">
        <v>3</v>
      </c>
      <c r="D145">
        <v>41.67</v>
      </c>
      <c r="E145">
        <v>105.5</v>
      </c>
      <c r="F145">
        <v>0.39</v>
      </c>
      <c r="G145" t="s">
        <v>10</v>
      </c>
      <c r="H145">
        <v>8</v>
      </c>
    </row>
    <row r="146" spans="1:8" x14ac:dyDescent="0.25">
      <c r="A146" t="s">
        <v>1196</v>
      </c>
      <c r="B146">
        <v>2015</v>
      </c>
      <c r="C146">
        <v>3</v>
      </c>
      <c r="D146">
        <v>13.78</v>
      </c>
      <c r="E146">
        <v>40</v>
      </c>
      <c r="F146">
        <v>0.34</v>
      </c>
      <c r="G146" t="s">
        <v>10</v>
      </c>
      <c r="H146">
        <v>8</v>
      </c>
    </row>
    <row r="147" spans="1:8" x14ac:dyDescent="0.25">
      <c r="A147" t="s">
        <v>1199</v>
      </c>
      <c r="B147">
        <v>2015</v>
      </c>
      <c r="C147">
        <v>3</v>
      </c>
      <c r="D147">
        <v>44.58</v>
      </c>
      <c r="E147">
        <v>151</v>
      </c>
      <c r="F147">
        <v>0.28999999999999998</v>
      </c>
      <c r="G147" t="s">
        <v>10</v>
      </c>
      <c r="H147">
        <v>8</v>
      </c>
    </row>
    <row r="148" spans="1:8" x14ac:dyDescent="0.25">
      <c r="A148" t="s">
        <v>1185</v>
      </c>
      <c r="B148">
        <v>2015</v>
      </c>
      <c r="C148">
        <v>3</v>
      </c>
      <c r="D148">
        <v>14.95</v>
      </c>
      <c r="E148">
        <v>55.5</v>
      </c>
      <c r="F148">
        <v>0.26</v>
      </c>
      <c r="G148" t="s">
        <v>10</v>
      </c>
      <c r="H148">
        <v>8</v>
      </c>
    </row>
    <row r="149" spans="1:8" x14ac:dyDescent="0.25">
      <c r="A149" t="s">
        <v>1209</v>
      </c>
      <c r="B149">
        <v>2015</v>
      </c>
      <c r="C149">
        <v>3</v>
      </c>
      <c r="D149">
        <v>12.57</v>
      </c>
      <c r="E149">
        <v>40</v>
      </c>
      <c r="F149">
        <v>0.31</v>
      </c>
      <c r="G149" t="s">
        <v>10</v>
      </c>
      <c r="H149">
        <v>8</v>
      </c>
    </row>
    <row r="150" spans="1:8" x14ac:dyDescent="0.25">
      <c r="A150" t="s">
        <v>1012</v>
      </c>
      <c r="B150">
        <v>2015</v>
      </c>
      <c r="C150">
        <v>3</v>
      </c>
      <c r="D150">
        <v>154.22</v>
      </c>
      <c r="E150">
        <v>182</v>
      </c>
      <c r="F150">
        <v>0.84</v>
      </c>
      <c r="G150" t="s">
        <v>10</v>
      </c>
      <c r="H150">
        <v>8</v>
      </c>
    </row>
    <row r="151" spans="1:8" x14ac:dyDescent="0.25">
      <c r="A151" t="s">
        <v>1010</v>
      </c>
      <c r="B151">
        <v>2015</v>
      </c>
      <c r="C151">
        <v>3</v>
      </c>
      <c r="D151">
        <v>56.85</v>
      </c>
      <c r="E151">
        <v>185.5</v>
      </c>
      <c r="F151">
        <v>0.3</v>
      </c>
      <c r="G151" t="s">
        <v>10</v>
      </c>
      <c r="H151">
        <v>8</v>
      </c>
    </row>
    <row r="152" spans="1:8" x14ac:dyDescent="0.25">
      <c r="A152" t="s">
        <v>1206</v>
      </c>
      <c r="B152">
        <v>2015</v>
      </c>
      <c r="C152">
        <v>3</v>
      </c>
      <c r="D152">
        <v>0.71</v>
      </c>
      <c r="E152">
        <v>20</v>
      </c>
      <c r="F152">
        <v>0.03</v>
      </c>
      <c r="G152" t="s">
        <v>10</v>
      </c>
      <c r="H152">
        <v>8</v>
      </c>
    </row>
    <row r="153" spans="1:8" x14ac:dyDescent="0.25">
      <c r="A153" t="s">
        <v>1239</v>
      </c>
      <c r="B153">
        <v>2015</v>
      </c>
      <c r="C153">
        <v>3</v>
      </c>
      <c r="D153">
        <v>2.9</v>
      </c>
      <c r="E153">
        <v>20</v>
      </c>
      <c r="F153">
        <v>0.14000000000000001</v>
      </c>
      <c r="G153" t="s">
        <v>10</v>
      </c>
      <c r="H153">
        <v>8</v>
      </c>
    </row>
    <row r="154" spans="1:8" x14ac:dyDescent="0.25">
      <c r="A154" t="s">
        <v>1189</v>
      </c>
      <c r="B154">
        <v>2015</v>
      </c>
      <c r="C154">
        <v>3</v>
      </c>
      <c r="D154">
        <v>19.11</v>
      </c>
      <c r="E154">
        <v>70</v>
      </c>
      <c r="F154">
        <v>0.27</v>
      </c>
      <c r="G154" t="s">
        <v>10</v>
      </c>
      <c r="H154">
        <v>8</v>
      </c>
    </row>
    <row r="155" spans="1:8" x14ac:dyDescent="0.25">
      <c r="A155" t="s">
        <v>1024</v>
      </c>
      <c r="B155">
        <v>2015</v>
      </c>
      <c r="C155">
        <v>3</v>
      </c>
      <c r="D155">
        <v>0.02</v>
      </c>
      <c r="E155">
        <v>9.5</v>
      </c>
      <c r="F155">
        <v>0</v>
      </c>
      <c r="G155" t="s">
        <v>10</v>
      </c>
      <c r="H155">
        <v>8</v>
      </c>
    </row>
    <row r="156" spans="1:8" x14ac:dyDescent="0.25">
      <c r="A156" t="s">
        <v>1198</v>
      </c>
      <c r="B156">
        <v>2015</v>
      </c>
      <c r="C156">
        <v>3</v>
      </c>
      <c r="D156">
        <v>5.88</v>
      </c>
      <c r="E156">
        <v>90</v>
      </c>
      <c r="F156">
        <v>0.06</v>
      </c>
      <c r="G156" t="s">
        <v>10</v>
      </c>
      <c r="H156">
        <v>8</v>
      </c>
    </row>
    <row r="157" spans="1:8" x14ac:dyDescent="0.25">
      <c r="A157" t="s">
        <v>146</v>
      </c>
      <c r="B157">
        <v>2015</v>
      </c>
      <c r="C157">
        <v>3</v>
      </c>
      <c r="D157">
        <v>937.54</v>
      </c>
      <c r="E157">
        <v>193</v>
      </c>
      <c r="F157">
        <v>4.8499999999999996</v>
      </c>
      <c r="G157" t="s">
        <v>10</v>
      </c>
      <c r="H157">
        <v>8</v>
      </c>
    </row>
    <row r="158" spans="1:8" x14ac:dyDescent="0.25">
      <c r="A158" t="s">
        <v>1018</v>
      </c>
      <c r="B158">
        <v>2015</v>
      </c>
      <c r="C158">
        <v>3</v>
      </c>
      <c r="D158">
        <v>114.31</v>
      </c>
      <c r="E158">
        <v>196.5</v>
      </c>
      <c r="F158">
        <v>0.57999999999999996</v>
      </c>
      <c r="G158" t="s">
        <v>10</v>
      </c>
      <c r="H158">
        <v>8</v>
      </c>
    </row>
    <row r="159" spans="1:8" x14ac:dyDescent="0.25">
      <c r="A159" t="s">
        <v>1193</v>
      </c>
      <c r="B159">
        <v>2015</v>
      </c>
      <c r="C159">
        <v>3</v>
      </c>
      <c r="D159">
        <v>25.62</v>
      </c>
      <c r="E159">
        <v>80</v>
      </c>
      <c r="F159">
        <v>0.32</v>
      </c>
      <c r="G159" t="s">
        <v>10</v>
      </c>
      <c r="H159">
        <v>8</v>
      </c>
    </row>
    <row r="160" spans="1:8" x14ac:dyDescent="0.25">
      <c r="A160" t="s">
        <v>1187</v>
      </c>
      <c r="B160">
        <v>2015</v>
      </c>
      <c r="C160">
        <v>3</v>
      </c>
      <c r="D160">
        <v>21.14</v>
      </c>
      <c r="E160">
        <v>65.5</v>
      </c>
      <c r="F160">
        <v>0.32</v>
      </c>
      <c r="G160" t="s">
        <v>10</v>
      </c>
      <c r="H160">
        <v>8</v>
      </c>
    </row>
    <row r="161" spans="1:8" x14ac:dyDescent="0.25">
      <c r="A161" t="s">
        <v>1222</v>
      </c>
      <c r="B161">
        <v>2015</v>
      </c>
      <c r="C161">
        <v>3</v>
      </c>
      <c r="D161">
        <v>20.39</v>
      </c>
      <c r="E161">
        <v>41</v>
      </c>
      <c r="F161">
        <v>0.49</v>
      </c>
      <c r="G161" t="s">
        <v>10</v>
      </c>
      <c r="H161">
        <v>8</v>
      </c>
    </row>
    <row r="162" spans="1:8" x14ac:dyDescent="0.25">
      <c r="A162" t="s">
        <v>1224</v>
      </c>
      <c r="B162">
        <v>2015</v>
      </c>
      <c r="C162">
        <v>3</v>
      </c>
      <c r="D162">
        <v>28.56</v>
      </c>
      <c r="E162">
        <v>61</v>
      </c>
      <c r="F162">
        <v>0.46</v>
      </c>
      <c r="G162" t="s">
        <v>10</v>
      </c>
      <c r="H162">
        <v>8</v>
      </c>
    </row>
    <row r="163" spans="1:8" x14ac:dyDescent="0.25">
      <c r="A163" t="s">
        <v>1232</v>
      </c>
      <c r="B163">
        <v>2015</v>
      </c>
      <c r="C163">
        <v>3</v>
      </c>
      <c r="D163">
        <v>41.41</v>
      </c>
      <c r="E163">
        <v>91</v>
      </c>
      <c r="F163">
        <v>0.45</v>
      </c>
      <c r="G163" t="s">
        <v>10</v>
      </c>
      <c r="H163">
        <v>8</v>
      </c>
    </row>
    <row r="164" spans="1:8" x14ac:dyDescent="0.25">
      <c r="A164" t="s">
        <v>1235</v>
      </c>
      <c r="B164">
        <v>2015</v>
      </c>
      <c r="C164">
        <v>3</v>
      </c>
      <c r="D164">
        <v>49.51</v>
      </c>
      <c r="E164">
        <v>91</v>
      </c>
      <c r="F164">
        <v>0.54</v>
      </c>
      <c r="G164" t="s">
        <v>10</v>
      </c>
      <c r="H164">
        <v>8</v>
      </c>
    </row>
    <row r="165" spans="1:8" x14ac:dyDescent="0.25">
      <c r="A165" t="s">
        <v>1030</v>
      </c>
      <c r="B165">
        <v>2015</v>
      </c>
      <c r="C165">
        <v>3</v>
      </c>
      <c r="D165">
        <v>107.35</v>
      </c>
      <c r="E165">
        <v>159</v>
      </c>
      <c r="F165">
        <v>0.67</v>
      </c>
      <c r="G165" t="s">
        <v>10</v>
      </c>
      <c r="H165">
        <v>8</v>
      </c>
    </row>
    <row r="166" spans="1:8" x14ac:dyDescent="0.25">
      <c r="A166" t="s">
        <v>1025</v>
      </c>
      <c r="B166">
        <v>2015</v>
      </c>
      <c r="C166">
        <v>3</v>
      </c>
      <c r="D166">
        <v>236.62</v>
      </c>
      <c r="E166">
        <v>192</v>
      </c>
      <c r="F166">
        <v>1.23</v>
      </c>
      <c r="G166" t="s">
        <v>10</v>
      </c>
      <c r="H166">
        <v>8</v>
      </c>
    </row>
    <row r="167" spans="1:8" x14ac:dyDescent="0.25">
      <c r="A167" t="s">
        <v>1207</v>
      </c>
      <c r="B167">
        <v>2015</v>
      </c>
      <c r="C167">
        <v>3</v>
      </c>
      <c r="D167">
        <v>88.69</v>
      </c>
      <c r="E167">
        <v>176.5</v>
      </c>
      <c r="F167">
        <v>0.5</v>
      </c>
      <c r="G167" t="s">
        <v>10</v>
      </c>
      <c r="H167">
        <v>8</v>
      </c>
    </row>
    <row r="168" spans="1:8" x14ac:dyDescent="0.25">
      <c r="A168" t="s">
        <v>1205</v>
      </c>
      <c r="B168">
        <v>2015</v>
      </c>
      <c r="C168">
        <v>3</v>
      </c>
      <c r="D168">
        <v>32.53</v>
      </c>
      <c r="E168">
        <v>125.5</v>
      </c>
      <c r="F168">
        <v>0.25</v>
      </c>
      <c r="G168" t="s">
        <v>10</v>
      </c>
      <c r="H168">
        <v>8</v>
      </c>
    </row>
    <row r="169" spans="1:8" x14ac:dyDescent="0.25">
      <c r="A169" t="s">
        <v>1191</v>
      </c>
      <c r="B169">
        <v>2015</v>
      </c>
      <c r="C169">
        <v>3</v>
      </c>
      <c r="D169">
        <v>7.46</v>
      </c>
      <c r="E169">
        <v>20.5</v>
      </c>
      <c r="F169">
        <v>0.36</v>
      </c>
      <c r="G169" t="s">
        <v>10</v>
      </c>
      <c r="H169">
        <v>8</v>
      </c>
    </row>
    <row r="170" spans="1:8" x14ac:dyDescent="0.25">
      <c r="A170" t="s">
        <v>1194</v>
      </c>
      <c r="B170">
        <v>2015</v>
      </c>
      <c r="C170">
        <v>3</v>
      </c>
      <c r="D170">
        <v>27.56</v>
      </c>
      <c r="E170">
        <v>101</v>
      </c>
      <c r="F170">
        <v>0.27</v>
      </c>
      <c r="G170" t="s">
        <v>10</v>
      </c>
      <c r="H170">
        <v>8</v>
      </c>
    </row>
    <row r="171" spans="1:8" x14ac:dyDescent="0.25">
      <c r="A171" t="s">
        <v>1031</v>
      </c>
      <c r="B171">
        <v>2015</v>
      </c>
      <c r="C171">
        <v>3</v>
      </c>
      <c r="D171">
        <v>83.01</v>
      </c>
      <c r="E171">
        <v>191</v>
      </c>
      <c r="F171">
        <v>0.43</v>
      </c>
      <c r="G171" t="s">
        <v>10</v>
      </c>
      <c r="H171">
        <v>8</v>
      </c>
    </row>
    <row r="172" spans="1:8" x14ac:dyDescent="0.25">
      <c r="A172" t="s">
        <v>1204</v>
      </c>
      <c r="B172">
        <v>2015</v>
      </c>
      <c r="C172">
        <v>3</v>
      </c>
      <c r="D172">
        <v>9.25</v>
      </c>
      <c r="E172">
        <v>121</v>
      </c>
      <c r="F172">
        <v>7.0000000000000007E-2</v>
      </c>
      <c r="G172" t="s">
        <v>10</v>
      </c>
      <c r="H172">
        <v>8</v>
      </c>
    </row>
    <row r="173" spans="1:8" x14ac:dyDescent="0.25">
      <c r="A173" t="s">
        <v>1208</v>
      </c>
      <c r="B173">
        <v>2015</v>
      </c>
      <c r="C173">
        <v>3</v>
      </c>
      <c r="D173">
        <v>11.56</v>
      </c>
      <c r="E173">
        <v>121</v>
      </c>
      <c r="F173">
        <v>0.09</v>
      </c>
      <c r="G173" t="s">
        <v>10</v>
      </c>
      <c r="H173">
        <v>8</v>
      </c>
    </row>
    <row r="174" spans="1:8" x14ac:dyDescent="0.25">
      <c r="A174" t="s">
        <v>1022</v>
      </c>
      <c r="B174">
        <v>2015</v>
      </c>
      <c r="C174">
        <v>3</v>
      </c>
      <c r="D174">
        <v>276.04000000000002</v>
      </c>
      <c r="E174">
        <v>196.5</v>
      </c>
      <c r="F174">
        <v>1.4</v>
      </c>
      <c r="G174" t="s">
        <v>10</v>
      </c>
      <c r="H174">
        <v>8</v>
      </c>
    </row>
    <row r="175" spans="1:8" x14ac:dyDescent="0.25">
      <c r="A175" t="s">
        <v>1215</v>
      </c>
      <c r="B175">
        <v>2015</v>
      </c>
      <c r="C175">
        <v>3</v>
      </c>
      <c r="D175">
        <v>13.78</v>
      </c>
      <c r="E175">
        <v>75.5</v>
      </c>
      <c r="F175">
        <v>0.18</v>
      </c>
      <c r="G175" t="s">
        <v>10</v>
      </c>
      <c r="H175">
        <v>8</v>
      </c>
    </row>
    <row r="176" spans="1:8" x14ac:dyDescent="0.25">
      <c r="A176" t="s">
        <v>1216</v>
      </c>
      <c r="B176">
        <v>2015</v>
      </c>
      <c r="C176">
        <v>3</v>
      </c>
      <c r="D176">
        <v>32.5</v>
      </c>
      <c r="E176">
        <v>65.5</v>
      </c>
      <c r="F176">
        <v>0.49</v>
      </c>
      <c r="G176" t="s">
        <v>10</v>
      </c>
      <c r="H176">
        <v>8</v>
      </c>
    </row>
    <row r="177" spans="1:8" x14ac:dyDescent="0.25">
      <c r="A177" t="s">
        <v>1219</v>
      </c>
      <c r="B177">
        <v>2015</v>
      </c>
      <c r="C177">
        <v>3</v>
      </c>
      <c r="D177">
        <v>2.89</v>
      </c>
      <c r="E177">
        <v>30</v>
      </c>
      <c r="F177">
        <v>0.09</v>
      </c>
      <c r="G177" t="s">
        <v>10</v>
      </c>
      <c r="H177">
        <v>8</v>
      </c>
    </row>
    <row r="178" spans="1:8" x14ac:dyDescent="0.25">
      <c r="A178" t="s">
        <v>1218</v>
      </c>
      <c r="B178">
        <v>2015</v>
      </c>
      <c r="C178">
        <v>3</v>
      </c>
      <c r="D178">
        <v>18.68</v>
      </c>
      <c r="E178">
        <v>45.5</v>
      </c>
      <c r="F178">
        <v>0.41</v>
      </c>
      <c r="G178" t="s">
        <v>10</v>
      </c>
      <c r="H178">
        <v>8</v>
      </c>
    </row>
    <row r="179" spans="1:8" x14ac:dyDescent="0.25">
      <c r="A179" t="s">
        <v>1221</v>
      </c>
      <c r="B179">
        <v>2015</v>
      </c>
      <c r="C179">
        <v>3</v>
      </c>
      <c r="D179">
        <v>30.56</v>
      </c>
      <c r="E179">
        <v>40</v>
      </c>
      <c r="F179">
        <v>0.76</v>
      </c>
      <c r="G179" t="s">
        <v>10</v>
      </c>
      <c r="H179">
        <v>8</v>
      </c>
    </row>
    <row r="180" spans="1:8" x14ac:dyDescent="0.25">
      <c r="A180" t="s">
        <v>1225</v>
      </c>
      <c r="B180">
        <v>2015</v>
      </c>
      <c r="C180">
        <v>3</v>
      </c>
      <c r="D180">
        <v>5.94</v>
      </c>
      <c r="E180">
        <v>20</v>
      </c>
      <c r="F180">
        <v>0.28999999999999998</v>
      </c>
      <c r="G180" t="s">
        <v>10</v>
      </c>
      <c r="H180">
        <v>8</v>
      </c>
    </row>
    <row r="181" spans="1:8" x14ac:dyDescent="0.25">
      <c r="A181" t="s">
        <v>1231</v>
      </c>
      <c r="B181">
        <v>2015</v>
      </c>
      <c r="C181">
        <v>3</v>
      </c>
      <c r="D181">
        <v>1.1000000000000001</v>
      </c>
      <c r="E181">
        <v>20</v>
      </c>
      <c r="F181">
        <v>0.05</v>
      </c>
      <c r="G181" t="s">
        <v>10</v>
      </c>
      <c r="H181">
        <v>8</v>
      </c>
    </row>
    <row r="182" spans="1:8" x14ac:dyDescent="0.25">
      <c r="A182" t="s">
        <v>1234</v>
      </c>
      <c r="B182">
        <v>2015</v>
      </c>
      <c r="C182">
        <v>3</v>
      </c>
      <c r="D182">
        <v>11.67</v>
      </c>
      <c r="E182">
        <v>25.5</v>
      </c>
      <c r="F182">
        <v>0.45</v>
      </c>
      <c r="G182" t="s">
        <v>10</v>
      </c>
      <c r="H182">
        <v>8</v>
      </c>
    </row>
    <row r="183" spans="1:8" x14ac:dyDescent="0.25">
      <c r="A183" t="s">
        <v>1197</v>
      </c>
      <c r="B183">
        <v>2015</v>
      </c>
      <c r="C183">
        <v>3</v>
      </c>
      <c r="D183">
        <v>16.5</v>
      </c>
      <c r="E183">
        <v>55.5</v>
      </c>
      <c r="F183">
        <v>0.28999999999999998</v>
      </c>
      <c r="G183" t="s">
        <v>10</v>
      </c>
      <c r="H183">
        <v>8</v>
      </c>
    </row>
    <row r="184" spans="1:8" x14ac:dyDescent="0.25">
      <c r="A184" t="s">
        <v>1202</v>
      </c>
      <c r="B184">
        <v>2015</v>
      </c>
      <c r="C184">
        <v>3</v>
      </c>
      <c r="D184">
        <v>59.85</v>
      </c>
      <c r="E184">
        <v>105.5</v>
      </c>
      <c r="F184">
        <v>0.56000000000000005</v>
      </c>
      <c r="G184" t="s">
        <v>10</v>
      </c>
      <c r="H184">
        <v>8</v>
      </c>
    </row>
    <row r="185" spans="1:8" x14ac:dyDescent="0.25">
      <c r="A185" t="s">
        <v>1021</v>
      </c>
      <c r="B185">
        <v>2015</v>
      </c>
      <c r="C185">
        <v>4</v>
      </c>
      <c r="D185">
        <v>10.89</v>
      </c>
      <c r="E185">
        <v>40</v>
      </c>
      <c r="F185">
        <v>0.27</v>
      </c>
      <c r="G185" t="s">
        <v>5</v>
      </c>
      <c r="H185">
        <v>9</v>
      </c>
    </row>
    <row r="186" spans="1:8" x14ac:dyDescent="0.25">
      <c r="A186" t="s">
        <v>1188</v>
      </c>
      <c r="B186">
        <v>2015</v>
      </c>
      <c r="C186">
        <v>4</v>
      </c>
      <c r="D186">
        <v>5.75</v>
      </c>
      <c r="E186">
        <v>20</v>
      </c>
      <c r="F186">
        <v>0.28000000000000003</v>
      </c>
      <c r="G186" t="s">
        <v>5</v>
      </c>
      <c r="H186">
        <v>9</v>
      </c>
    </row>
    <row r="187" spans="1:8" x14ac:dyDescent="0.25">
      <c r="A187" t="s">
        <v>1220</v>
      </c>
      <c r="B187">
        <v>2015</v>
      </c>
      <c r="C187">
        <v>4</v>
      </c>
      <c r="D187">
        <v>3.81</v>
      </c>
      <c r="E187">
        <v>10</v>
      </c>
      <c r="F187">
        <v>0.38</v>
      </c>
      <c r="G187" t="s">
        <v>5</v>
      </c>
      <c r="H187">
        <v>9</v>
      </c>
    </row>
    <row r="188" spans="1:8" x14ac:dyDescent="0.25">
      <c r="A188" t="s">
        <v>1203</v>
      </c>
      <c r="B188">
        <v>2015</v>
      </c>
      <c r="C188">
        <v>4</v>
      </c>
      <c r="D188">
        <v>9.0500000000000007</v>
      </c>
      <c r="E188">
        <v>60</v>
      </c>
      <c r="F188">
        <v>0.15</v>
      </c>
      <c r="G188" t="s">
        <v>5</v>
      </c>
      <c r="H188">
        <v>9</v>
      </c>
    </row>
    <row r="189" spans="1:8" x14ac:dyDescent="0.25">
      <c r="A189" t="s">
        <v>1229</v>
      </c>
      <c r="B189">
        <v>2015</v>
      </c>
      <c r="C189">
        <v>4</v>
      </c>
      <c r="D189">
        <v>0.63</v>
      </c>
      <c r="E189">
        <v>10</v>
      </c>
      <c r="F189">
        <v>0.06</v>
      </c>
      <c r="G189" t="s">
        <v>5</v>
      </c>
      <c r="H189">
        <v>9</v>
      </c>
    </row>
    <row r="190" spans="1:8" x14ac:dyDescent="0.25">
      <c r="A190" t="s">
        <v>1195</v>
      </c>
      <c r="B190">
        <v>2015</v>
      </c>
      <c r="C190">
        <v>4</v>
      </c>
      <c r="D190">
        <v>0</v>
      </c>
      <c r="E190">
        <v>10</v>
      </c>
      <c r="F190">
        <v>0</v>
      </c>
      <c r="G190" t="s">
        <v>5</v>
      </c>
      <c r="H190">
        <v>9</v>
      </c>
    </row>
    <row r="191" spans="1:8" x14ac:dyDescent="0.25">
      <c r="A191" t="s">
        <v>1223</v>
      </c>
      <c r="B191">
        <v>2015</v>
      </c>
      <c r="C191">
        <v>4</v>
      </c>
      <c r="D191">
        <v>6.51</v>
      </c>
      <c r="E191">
        <v>25.5</v>
      </c>
      <c r="F191">
        <v>0.25</v>
      </c>
      <c r="G191" t="s">
        <v>5</v>
      </c>
      <c r="H191">
        <v>9</v>
      </c>
    </row>
    <row r="192" spans="1:8" x14ac:dyDescent="0.25">
      <c r="A192" t="s">
        <v>1017</v>
      </c>
      <c r="B192">
        <v>2015</v>
      </c>
      <c r="C192">
        <v>4</v>
      </c>
      <c r="D192">
        <v>132.88</v>
      </c>
      <c r="E192">
        <v>136</v>
      </c>
      <c r="F192">
        <v>0.97</v>
      </c>
      <c r="G192" t="s">
        <v>5</v>
      </c>
      <c r="H192">
        <v>9</v>
      </c>
    </row>
    <row r="193" spans="1:8" x14ac:dyDescent="0.25">
      <c r="A193" t="s">
        <v>1200</v>
      </c>
      <c r="B193">
        <v>2015</v>
      </c>
      <c r="C193">
        <v>4</v>
      </c>
      <c r="D193">
        <v>8.4499999999999993</v>
      </c>
      <c r="E193">
        <v>53</v>
      </c>
      <c r="F193">
        <v>0.15</v>
      </c>
      <c r="G193" t="s">
        <v>5</v>
      </c>
      <c r="H193">
        <v>9</v>
      </c>
    </row>
    <row r="194" spans="1:8" x14ac:dyDescent="0.25">
      <c r="A194" t="s">
        <v>1190</v>
      </c>
      <c r="B194">
        <v>2015</v>
      </c>
      <c r="C194">
        <v>4</v>
      </c>
      <c r="D194">
        <v>11.83</v>
      </c>
      <c r="E194">
        <v>80</v>
      </c>
      <c r="F194">
        <v>0.14000000000000001</v>
      </c>
      <c r="G194" t="s">
        <v>5</v>
      </c>
      <c r="H194">
        <v>9</v>
      </c>
    </row>
    <row r="195" spans="1:8" x14ac:dyDescent="0.25">
      <c r="A195" t="s">
        <v>1184</v>
      </c>
      <c r="B195">
        <v>2015</v>
      </c>
      <c r="C195">
        <v>4</v>
      </c>
      <c r="D195">
        <v>2.34</v>
      </c>
      <c r="E195">
        <v>10</v>
      </c>
      <c r="F195">
        <v>0.23</v>
      </c>
      <c r="G195" t="s">
        <v>5</v>
      </c>
      <c r="H195">
        <v>9</v>
      </c>
    </row>
    <row r="196" spans="1:8" x14ac:dyDescent="0.25">
      <c r="A196" t="s">
        <v>1201</v>
      </c>
      <c r="B196">
        <v>2015</v>
      </c>
      <c r="C196">
        <v>4</v>
      </c>
      <c r="D196">
        <v>12.83</v>
      </c>
      <c r="E196">
        <v>91</v>
      </c>
      <c r="F196">
        <v>0.14000000000000001</v>
      </c>
      <c r="G196" t="s">
        <v>5</v>
      </c>
      <c r="H196">
        <v>9</v>
      </c>
    </row>
    <row r="197" spans="1:8" x14ac:dyDescent="0.25">
      <c r="A197" t="s">
        <v>1213</v>
      </c>
      <c r="B197">
        <v>2015</v>
      </c>
      <c r="C197">
        <v>4</v>
      </c>
      <c r="D197">
        <v>1.2</v>
      </c>
      <c r="E197">
        <v>20</v>
      </c>
      <c r="F197">
        <v>0.06</v>
      </c>
      <c r="G197" t="s">
        <v>5</v>
      </c>
      <c r="H197">
        <v>9</v>
      </c>
    </row>
    <row r="198" spans="1:8" x14ac:dyDescent="0.25">
      <c r="A198" t="s">
        <v>1016</v>
      </c>
      <c r="B198">
        <v>2015</v>
      </c>
      <c r="C198">
        <v>4</v>
      </c>
      <c r="D198">
        <v>113.91</v>
      </c>
      <c r="E198">
        <v>134.5</v>
      </c>
      <c r="F198">
        <v>0.84</v>
      </c>
      <c r="G198" t="s">
        <v>5</v>
      </c>
      <c r="H198">
        <v>9</v>
      </c>
    </row>
    <row r="199" spans="1:8" x14ac:dyDescent="0.25">
      <c r="A199" t="s">
        <v>1186</v>
      </c>
      <c r="B199">
        <v>2015</v>
      </c>
      <c r="C199">
        <v>4</v>
      </c>
      <c r="D199">
        <v>45.77</v>
      </c>
      <c r="E199">
        <v>81</v>
      </c>
      <c r="F199">
        <v>0.56000000000000005</v>
      </c>
      <c r="G199" t="s">
        <v>5</v>
      </c>
      <c r="H199">
        <v>9</v>
      </c>
    </row>
    <row r="200" spans="1:8" x14ac:dyDescent="0.25">
      <c r="A200" t="s">
        <v>1199</v>
      </c>
      <c r="B200">
        <v>2015</v>
      </c>
      <c r="C200">
        <v>4</v>
      </c>
      <c r="D200">
        <v>8.41</v>
      </c>
      <c r="E200">
        <v>40</v>
      </c>
      <c r="F200">
        <v>0.21</v>
      </c>
      <c r="G200" t="s">
        <v>5</v>
      </c>
      <c r="H200">
        <v>9</v>
      </c>
    </row>
    <row r="201" spans="1:8" x14ac:dyDescent="0.25">
      <c r="A201" t="s">
        <v>1012</v>
      </c>
      <c r="B201">
        <v>2015</v>
      </c>
      <c r="C201">
        <v>4</v>
      </c>
      <c r="D201">
        <v>109.52</v>
      </c>
      <c r="E201">
        <v>125</v>
      </c>
      <c r="F201">
        <v>0.87</v>
      </c>
      <c r="G201" t="s">
        <v>5</v>
      </c>
      <c r="H201">
        <v>9</v>
      </c>
    </row>
    <row r="202" spans="1:8" x14ac:dyDescent="0.25">
      <c r="A202" t="s">
        <v>1010</v>
      </c>
      <c r="B202">
        <v>2015</v>
      </c>
      <c r="C202">
        <v>4</v>
      </c>
      <c r="D202">
        <v>39.21</v>
      </c>
      <c r="E202">
        <v>85.5</v>
      </c>
      <c r="F202">
        <v>0.45</v>
      </c>
      <c r="G202" t="s">
        <v>5</v>
      </c>
      <c r="H202">
        <v>9</v>
      </c>
    </row>
    <row r="203" spans="1:8" x14ac:dyDescent="0.25">
      <c r="A203" t="s">
        <v>1189</v>
      </c>
      <c r="B203">
        <v>2015</v>
      </c>
      <c r="C203">
        <v>4</v>
      </c>
      <c r="D203">
        <v>4.46</v>
      </c>
      <c r="E203">
        <v>45.5</v>
      </c>
      <c r="F203">
        <v>0.09</v>
      </c>
      <c r="G203" t="s">
        <v>5</v>
      </c>
      <c r="H203">
        <v>9</v>
      </c>
    </row>
    <row r="204" spans="1:8" x14ac:dyDescent="0.25">
      <c r="A204" t="s">
        <v>1024</v>
      </c>
      <c r="B204">
        <v>2015</v>
      </c>
      <c r="C204">
        <v>4</v>
      </c>
      <c r="D204">
        <v>2.38</v>
      </c>
      <c r="E204">
        <v>5.5</v>
      </c>
      <c r="F204">
        <v>0.43</v>
      </c>
      <c r="G204" t="s">
        <v>5</v>
      </c>
      <c r="H204">
        <v>9</v>
      </c>
    </row>
    <row r="205" spans="1:8" x14ac:dyDescent="0.25">
      <c r="A205" t="s">
        <v>1198</v>
      </c>
      <c r="B205">
        <v>2015</v>
      </c>
      <c r="C205">
        <v>4</v>
      </c>
      <c r="D205">
        <v>8.1999999999999993</v>
      </c>
      <c r="E205">
        <v>30</v>
      </c>
      <c r="F205">
        <v>0.27</v>
      </c>
      <c r="G205" t="s">
        <v>5</v>
      </c>
      <c r="H205">
        <v>9</v>
      </c>
    </row>
    <row r="206" spans="1:8" x14ac:dyDescent="0.25">
      <c r="A206" t="s">
        <v>146</v>
      </c>
      <c r="B206">
        <v>2015</v>
      </c>
      <c r="C206">
        <v>4</v>
      </c>
      <c r="D206">
        <v>1139.1600000000001</v>
      </c>
      <c r="E206">
        <v>159</v>
      </c>
      <c r="F206">
        <v>7.16</v>
      </c>
      <c r="G206" t="s">
        <v>5</v>
      </c>
      <c r="H206">
        <v>9</v>
      </c>
    </row>
    <row r="207" spans="1:8" x14ac:dyDescent="0.25">
      <c r="A207" t="s">
        <v>1018</v>
      </c>
      <c r="B207">
        <v>2015</v>
      </c>
      <c r="C207">
        <v>4</v>
      </c>
      <c r="D207">
        <v>32.020000000000003</v>
      </c>
      <c r="E207">
        <v>115.5</v>
      </c>
      <c r="F207">
        <v>0.27</v>
      </c>
      <c r="G207" t="s">
        <v>5</v>
      </c>
      <c r="H207">
        <v>9</v>
      </c>
    </row>
    <row r="208" spans="1:8" x14ac:dyDescent="0.25">
      <c r="A208" t="s">
        <v>1193</v>
      </c>
      <c r="B208">
        <v>2015</v>
      </c>
      <c r="C208">
        <v>4</v>
      </c>
      <c r="D208">
        <v>7.76</v>
      </c>
      <c r="E208">
        <v>40</v>
      </c>
      <c r="F208">
        <v>0.19</v>
      </c>
      <c r="G208" t="s">
        <v>5</v>
      </c>
      <c r="H208">
        <v>9</v>
      </c>
    </row>
    <row r="209" spans="1:8" x14ac:dyDescent="0.25">
      <c r="A209" t="s">
        <v>1224</v>
      </c>
      <c r="B209">
        <v>2015</v>
      </c>
      <c r="C209">
        <v>4</v>
      </c>
      <c r="D209">
        <v>0.56999999999999995</v>
      </c>
      <c r="E209">
        <v>20</v>
      </c>
      <c r="F209">
        <v>0.02</v>
      </c>
      <c r="G209" t="s">
        <v>5</v>
      </c>
      <c r="H209">
        <v>9</v>
      </c>
    </row>
    <row r="210" spans="1:8" x14ac:dyDescent="0.25">
      <c r="A210" t="s">
        <v>1232</v>
      </c>
      <c r="B210">
        <v>2015</v>
      </c>
      <c r="C210">
        <v>4</v>
      </c>
      <c r="D210">
        <v>10.37</v>
      </c>
      <c r="E210">
        <v>20</v>
      </c>
      <c r="F210">
        <v>0.51</v>
      </c>
      <c r="G210" t="s">
        <v>5</v>
      </c>
      <c r="H210">
        <v>9</v>
      </c>
    </row>
    <row r="211" spans="1:8" x14ac:dyDescent="0.25">
      <c r="A211" t="s">
        <v>1030</v>
      </c>
      <c r="B211">
        <v>2015</v>
      </c>
      <c r="C211">
        <v>4</v>
      </c>
      <c r="D211">
        <v>244.4</v>
      </c>
      <c r="E211">
        <v>159</v>
      </c>
      <c r="F211">
        <v>1.53</v>
      </c>
      <c r="G211" t="s">
        <v>5</v>
      </c>
      <c r="H211">
        <v>9</v>
      </c>
    </row>
    <row r="212" spans="1:8" x14ac:dyDescent="0.25">
      <c r="A212" t="s">
        <v>1025</v>
      </c>
      <c r="B212">
        <v>2015</v>
      </c>
      <c r="C212">
        <v>4</v>
      </c>
      <c r="D212">
        <v>237.5</v>
      </c>
      <c r="E212">
        <v>166.5</v>
      </c>
      <c r="F212">
        <v>1.42</v>
      </c>
      <c r="G212" t="s">
        <v>5</v>
      </c>
      <c r="H212">
        <v>9</v>
      </c>
    </row>
    <row r="213" spans="1:8" x14ac:dyDescent="0.25">
      <c r="A213" t="s">
        <v>1207</v>
      </c>
      <c r="B213">
        <v>2015</v>
      </c>
      <c r="C213">
        <v>4</v>
      </c>
      <c r="D213">
        <v>9.44</v>
      </c>
      <c r="E213">
        <v>60</v>
      </c>
      <c r="F213">
        <v>0.15</v>
      </c>
      <c r="G213" t="s">
        <v>5</v>
      </c>
      <c r="H213">
        <v>9</v>
      </c>
    </row>
    <row r="214" spans="1:8" x14ac:dyDescent="0.25">
      <c r="A214" t="s">
        <v>1205</v>
      </c>
      <c r="B214">
        <v>2015</v>
      </c>
      <c r="C214">
        <v>4</v>
      </c>
      <c r="D214">
        <v>12.98</v>
      </c>
      <c r="E214">
        <v>60</v>
      </c>
      <c r="F214">
        <v>0.21</v>
      </c>
      <c r="G214" t="s">
        <v>5</v>
      </c>
      <c r="H214">
        <v>9</v>
      </c>
    </row>
    <row r="215" spans="1:8" x14ac:dyDescent="0.25">
      <c r="A215" t="s">
        <v>1191</v>
      </c>
      <c r="B215">
        <v>2015</v>
      </c>
      <c r="C215">
        <v>4</v>
      </c>
      <c r="D215">
        <v>7.67</v>
      </c>
      <c r="E215">
        <v>49</v>
      </c>
      <c r="F215">
        <v>0.15</v>
      </c>
      <c r="G215" t="s">
        <v>5</v>
      </c>
      <c r="H215">
        <v>9</v>
      </c>
    </row>
    <row r="216" spans="1:8" x14ac:dyDescent="0.25">
      <c r="A216" t="s">
        <v>1192</v>
      </c>
      <c r="B216">
        <v>2015</v>
      </c>
      <c r="C216">
        <v>4</v>
      </c>
      <c r="D216">
        <v>1.85</v>
      </c>
      <c r="E216">
        <v>9.5</v>
      </c>
      <c r="F216">
        <v>0.19</v>
      </c>
      <c r="G216" t="s">
        <v>5</v>
      </c>
      <c r="H216">
        <v>9</v>
      </c>
    </row>
    <row r="217" spans="1:8" x14ac:dyDescent="0.25">
      <c r="A217" t="s">
        <v>1194</v>
      </c>
      <c r="B217">
        <v>2015</v>
      </c>
      <c r="C217">
        <v>4</v>
      </c>
      <c r="D217">
        <v>20</v>
      </c>
      <c r="E217">
        <v>75.5</v>
      </c>
      <c r="F217">
        <v>0.26</v>
      </c>
      <c r="G217" t="s">
        <v>5</v>
      </c>
      <c r="H217">
        <v>9</v>
      </c>
    </row>
    <row r="218" spans="1:8" x14ac:dyDescent="0.25">
      <c r="A218" t="s">
        <v>1031</v>
      </c>
      <c r="B218">
        <v>2015</v>
      </c>
      <c r="C218">
        <v>4</v>
      </c>
      <c r="D218">
        <v>23.8</v>
      </c>
      <c r="E218">
        <v>115.5</v>
      </c>
      <c r="F218">
        <v>0.2</v>
      </c>
      <c r="G218" t="s">
        <v>5</v>
      </c>
      <c r="H218">
        <v>9</v>
      </c>
    </row>
    <row r="219" spans="1:8" x14ac:dyDescent="0.25">
      <c r="A219" t="s">
        <v>1204</v>
      </c>
      <c r="B219">
        <v>2015</v>
      </c>
      <c r="C219">
        <v>4</v>
      </c>
      <c r="D219">
        <v>0.89</v>
      </c>
      <c r="E219">
        <v>10</v>
      </c>
      <c r="F219">
        <v>0.08</v>
      </c>
      <c r="G219" t="s">
        <v>5</v>
      </c>
      <c r="H219">
        <v>9</v>
      </c>
    </row>
    <row r="220" spans="1:8" x14ac:dyDescent="0.25">
      <c r="A220" t="s">
        <v>1208</v>
      </c>
      <c r="B220">
        <v>2015</v>
      </c>
      <c r="C220">
        <v>4</v>
      </c>
      <c r="D220">
        <v>17.5</v>
      </c>
      <c r="E220">
        <v>87</v>
      </c>
      <c r="F220">
        <v>0.2</v>
      </c>
      <c r="G220" t="s">
        <v>5</v>
      </c>
      <c r="H220">
        <v>9</v>
      </c>
    </row>
    <row r="221" spans="1:8" x14ac:dyDescent="0.25">
      <c r="A221" t="s">
        <v>1022</v>
      </c>
      <c r="B221">
        <v>2015</v>
      </c>
      <c r="C221">
        <v>4</v>
      </c>
      <c r="D221">
        <v>139.35</v>
      </c>
      <c r="E221">
        <v>166.5</v>
      </c>
      <c r="F221">
        <v>0.83</v>
      </c>
      <c r="G221" t="s">
        <v>5</v>
      </c>
      <c r="H221">
        <v>9</v>
      </c>
    </row>
    <row r="222" spans="1:8" x14ac:dyDescent="0.25">
      <c r="A222" t="s">
        <v>1215</v>
      </c>
      <c r="B222">
        <v>2015</v>
      </c>
      <c r="C222">
        <v>4</v>
      </c>
      <c r="D222">
        <v>7.78</v>
      </c>
      <c r="E222">
        <v>40</v>
      </c>
      <c r="F222">
        <v>0.19</v>
      </c>
      <c r="G222" t="s">
        <v>5</v>
      </c>
      <c r="H222">
        <v>9</v>
      </c>
    </row>
    <row r="223" spans="1:8" x14ac:dyDescent="0.25">
      <c r="A223" t="s">
        <v>1216</v>
      </c>
      <c r="B223">
        <v>2015</v>
      </c>
      <c r="C223">
        <v>4</v>
      </c>
      <c r="D223">
        <v>1.39</v>
      </c>
      <c r="E223">
        <v>20</v>
      </c>
      <c r="F223">
        <v>0.06</v>
      </c>
      <c r="G223" t="s">
        <v>5</v>
      </c>
      <c r="H223">
        <v>9</v>
      </c>
    </row>
    <row r="224" spans="1:8" x14ac:dyDescent="0.25">
      <c r="A224" t="s">
        <v>1219</v>
      </c>
      <c r="B224">
        <v>2015</v>
      </c>
      <c r="C224">
        <v>4</v>
      </c>
      <c r="D224">
        <v>8.2899999999999991</v>
      </c>
      <c r="E224">
        <v>40</v>
      </c>
      <c r="F224">
        <v>0.2</v>
      </c>
      <c r="G224" t="s">
        <v>5</v>
      </c>
      <c r="H224">
        <v>9</v>
      </c>
    </row>
    <row r="225" spans="1:8" x14ac:dyDescent="0.25">
      <c r="A225" t="s">
        <v>1218</v>
      </c>
      <c r="B225">
        <v>2015</v>
      </c>
      <c r="C225">
        <v>4</v>
      </c>
      <c r="D225">
        <v>3.1</v>
      </c>
      <c r="E225">
        <v>10</v>
      </c>
      <c r="F225">
        <v>0.31</v>
      </c>
      <c r="G225" t="s">
        <v>5</v>
      </c>
      <c r="H225">
        <v>9</v>
      </c>
    </row>
    <row r="226" spans="1:8" x14ac:dyDescent="0.25">
      <c r="A226" t="s">
        <v>1221</v>
      </c>
      <c r="B226">
        <v>2015</v>
      </c>
      <c r="C226">
        <v>4</v>
      </c>
      <c r="D226">
        <v>1.1200000000000001</v>
      </c>
      <c r="E226">
        <v>10</v>
      </c>
      <c r="F226">
        <v>0.11</v>
      </c>
      <c r="G226" t="s">
        <v>5</v>
      </c>
      <c r="H226">
        <v>9</v>
      </c>
    </row>
    <row r="227" spans="1:8" x14ac:dyDescent="0.25">
      <c r="A227" t="s">
        <v>1225</v>
      </c>
      <c r="B227">
        <v>2015</v>
      </c>
      <c r="C227">
        <v>4</v>
      </c>
      <c r="D227">
        <v>0</v>
      </c>
      <c r="E227">
        <v>10</v>
      </c>
      <c r="F227">
        <v>0</v>
      </c>
      <c r="G227" t="s">
        <v>5</v>
      </c>
      <c r="H227">
        <v>9</v>
      </c>
    </row>
    <row r="228" spans="1:8" x14ac:dyDescent="0.25">
      <c r="A228" t="s">
        <v>1231</v>
      </c>
      <c r="B228">
        <v>2015</v>
      </c>
      <c r="C228">
        <v>4</v>
      </c>
      <c r="D228">
        <v>0.05</v>
      </c>
      <c r="E228">
        <v>10</v>
      </c>
      <c r="F228">
        <v>0</v>
      </c>
      <c r="G228" t="s">
        <v>5</v>
      </c>
      <c r="H228">
        <v>9</v>
      </c>
    </row>
    <row r="229" spans="1:8" x14ac:dyDescent="0.25">
      <c r="A229" t="s">
        <v>1202</v>
      </c>
      <c r="B229">
        <v>2015</v>
      </c>
      <c r="C229">
        <v>4</v>
      </c>
      <c r="D229">
        <v>5.89</v>
      </c>
      <c r="E229">
        <v>25.5</v>
      </c>
      <c r="F229">
        <v>0.23</v>
      </c>
      <c r="G229" t="s">
        <v>5</v>
      </c>
      <c r="H229">
        <v>9</v>
      </c>
    </row>
    <row r="230" spans="1:8" x14ac:dyDescent="0.25">
      <c r="A230" t="s">
        <v>1203</v>
      </c>
      <c r="B230">
        <v>2015</v>
      </c>
      <c r="C230">
        <v>5</v>
      </c>
      <c r="D230">
        <v>16.86</v>
      </c>
      <c r="E230">
        <v>20</v>
      </c>
      <c r="F230">
        <v>0.84</v>
      </c>
      <c r="G230" t="s">
        <v>11</v>
      </c>
      <c r="H230">
        <v>10</v>
      </c>
    </row>
    <row r="231" spans="1:8" x14ac:dyDescent="0.25">
      <c r="A231" t="s">
        <v>1017</v>
      </c>
      <c r="B231">
        <v>2015</v>
      </c>
      <c r="C231">
        <v>5</v>
      </c>
      <c r="D231">
        <v>87.23</v>
      </c>
      <c r="E231">
        <v>98</v>
      </c>
      <c r="F231">
        <v>0.89</v>
      </c>
      <c r="G231" t="s">
        <v>11</v>
      </c>
      <c r="H231">
        <v>10</v>
      </c>
    </row>
    <row r="232" spans="1:8" x14ac:dyDescent="0.25">
      <c r="A232" t="s">
        <v>1200</v>
      </c>
      <c r="B232">
        <v>2015</v>
      </c>
      <c r="C232">
        <v>5</v>
      </c>
      <c r="D232">
        <v>19.149999999999999</v>
      </c>
      <c r="E232">
        <v>30</v>
      </c>
      <c r="F232">
        <v>0.63</v>
      </c>
      <c r="G232" t="s">
        <v>11</v>
      </c>
      <c r="H232">
        <v>10</v>
      </c>
    </row>
    <row r="233" spans="1:8" x14ac:dyDescent="0.25">
      <c r="A233" t="s">
        <v>1190</v>
      </c>
      <c r="B233">
        <v>2015</v>
      </c>
      <c r="C233">
        <v>5</v>
      </c>
      <c r="D233">
        <v>11.14</v>
      </c>
      <c r="E233">
        <v>105.5</v>
      </c>
      <c r="F233">
        <v>0.1</v>
      </c>
      <c r="G233" t="s">
        <v>11</v>
      </c>
      <c r="H233">
        <v>10</v>
      </c>
    </row>
    <row r="234" spans="1:8" x14ac:dyDescent="0.25">
      <c r="A234" t="s">
        <v>1184</v>
      </c>
      <c r="B234">
        <v>2015</v>
      </c>
      <c r="C234">
        <v>5</v>
      </c>
      <c r="D234">
        <v>3.76</v>
      </c>
      <c r="E234">
        <v>15.5</v>
      </c>
      <c r="F234">
        <v>0.24</v>
      </c>
      <c r="G234" t="s">
        <v>11</v>
      </c>
      <c r="H234">
        <v>10</v>
      </c>
    </row>
    <row r="235" spans="1:8" x14ac:dyDescent="0.25">
      <c r="A235" t="s">
        <v>1201</v>
      </c>
      <c r="B235">
        <v>2015</v>
      </c>
      <c r="C235">
        <v>5</v>
      </c>
      <c r="D235">
        <v>11.3</v>
      </c>
      <c r="E235">
        <v>85.5</v>
      </c>
      <c r="F235">
        <v>0.13</v>
      </c>
      <c r="G235" t="s">
        <v>11</v>
      </c>
      <c r="H235">
        <v>10</v>
      </c>
    </row>
    <row r="236" spans="1:8" x14ac:dyDescent="0.25">
      <c r="A236" t="s">
        <v>1016</v>
      </c>
      <c r="B236">
        <v>2015</v>
      </c>
      <c r="C236">
        <v>5</v>
      </c>
      <c r="D236">
        <v>224.51</v>
      </c>
      <c r="E236">
        <v>179.5</v>
      </c>
      <c r="F236">
        <v>1.25</v>
      </c>
      <c r="G236" t="s">
        <v>11</v>
      </c>
      <c r="H236">
        <v>10</v>
      </c>
    </row>
    <row r="237" spans="1:8" x14ac:dyDescent="0.25">
      <c r="A237" t="s">
        <v>1186</v>
      </c>
      <c r="B237">
        <v>2015</v>
      </c>
      <c r="C237">
        <v>5</v>
      </c>
      <c r="D237">
        <v>48.72</v>
      </c>
      <c r="E237">
        <v>95.5</v>
      </c>
      <c r="F237">
        <v>0.51</v>
      </c>
      <c r="G237" t="s">
        <v>11</v>
      </c>
      <c r="H237">
        <v>10</v>
      </c>
    </row>
    <row r="238" spans="1:8" x14ac:dyDescent="0.25">
      <c r="A238" t="s">
        <v>1196</v>
      </c>
      <c r="B238">
        <v>2015</v>
      </c>
      <c r="C238">
        <v>5</v>
      </c>
      <c r="D238">
        <v>23.82</v>
      </c>
      <c r="E238">
        <v>20</v>
      </c>
      <c r="F238">
        <v>1.19</v>
      </c>
      <c r="G238" t="s">
        <v>11</v>
      </c>
      <c r="H238">
        <v>10</v>
      </c>
    </row>
    <row r="239" spans="1:8" x14ac:dyDescent="0.25">
      <c r="A239" t="s">
        <v>1199</v>
      </c>
      <c r="B239">
        <v>2015</v>
      </c>
      <c r="C239">
        <v>5</v>
      </c>
      <c r="D239">
        <v>6.48</v>
      </c>
      <c r="E239">
        <v>5.5</v>
      </c>
      <c r="F239">
        <v>1.17</v>
      </c>
      <c r="G239" t="s">
        <v>11</v>
      </c>
      <c r="H239">
        <v>10</v>
      </c>
    </row>
    <row r="240" spans="1:8" x14ac:dyDescent="0.25">
      <c r="A240" t="s">
        <v>1012</v>
      </c>
      <c r="B240">
        <v>2015</v>
      </c>
      <c r="C240">
        <v>5</v>
      </c>
      <c r="D240">
        <v>139.78</v>
      </c>
      <c r="E240">
        <v>170</v>
      </c>
      <c r="F240">
        <v>0.82</v>
      </c>
      <c r="G240" t="s">
        <v>11</v>
      </c>
      <c r="H240">
        <v>10</v>
      </c>
    </row>
    <row r="241" spans="1:8" x14ac:dyDescent="0.25">
      <c r="A241" t="s">
        <v>1010</v>
      </c>
      <c r="B241">
        <v>2015</v>
      </c>
      <c r="C241">
        <v>5</v>
      </c>
      <c r="D241">
        <v>115.24</v>
      </c>
      <c r="E241">
        <v>156.5</v>
      </c>
      <c r="F241">
        <v>0.73</v>
      </c>
      <c r="G241" t="s">
        <v>11</v>
      </c>
      <c r="H241">
        <v>10</v>
      </c>
    </row>
    <row r="242" spans="1:8" x14ac:dyDescent="0.25">
      <c r="A242" t="s">
        <v>1217</v>
      </c>
      <c r="B242">
        <v>2015</v>
      </c>
      <c r="C242">
        <v>5</v>
      </c>
      <c r="D242">
        <v>1.86</v>
      </c>
      <c r="E242">
        <v>10</v>
      </c>
      <c r="F242">
        <v>0.18</v>
      </c>
      <c r="G242" t="s">
        <v>11</v>
      </c>
      <c r="H242">
        <v>10</v>
      </c>
    </row>
    <row r="243" spans="1:8" x14ac:dyDescent="0.25">
      <c r="A243" t="s">
        <v>1189</v>
      </c>
      <c r="B243">
        <v>2015</v>
      </c>
      <c r="C243">
        <v>5</v>
      </c>
      <c r="D243">
        <v>0.23</v>
      </c>
      <c r="E243">
        <v>10</v>
      </c>
      <c r="F243">
        <v>0.02</v>
      </c>
      <c r="G243" t="s">
        <v>11</v>
      </c>
      <c r="H243">
        <v>10</v>
      </c>
    </row>
    <row r="244" spans="1:8" x14ac:dyDescent="0.25">
      <c r="A244" t="s">
        <v>1024</v>
      </c>
      <c r="B244">
        <v>2015</v>
      </c>
      <c r="C244">
        <v>5</v>
      </c>
      <c r="D244">
        <v>7.84</v>
      </c>
      <c r="E244">
        <v>19</v>
      </c>
      <c r="F244">
        <v>0.41</v>
      </c>
      <c r="G244" t="s">
        <v>11</v>
      </c>
      <c r="H244">
        <v>10</v>
      </c>
    </row>
    <row r="245" spans="1:8" x14ac:dyDescent="0.25">
      <c r="A245" t="s">
        <v>146</v>
      </c>
      <c r="B245">
        <v>2015</v>
      </c>
      <c r="C245">
        <v>5</v>
      </c>
      <c r="D245">
        <v>1517.65</v>
      </c>
      <c r="E245">
        <v>179.5</v>
      </c>
      <c r="F245">
        <v>8.4499999999999993</v>
      </c>
      <c r="G245" t="s">
        <v>11</v>
      </c>
      <c r="H245">
        <v>10</v>
      </c>
    </row>
    <row r="246" spans="1:8" x14ac:dyDescent="0.25">
      <c r="A246" t="s">
        <v>1018</v>
      </c>
      <c r="B246">
        <v>2015</v>
      </c>
      <c r="C246">
        <v>5</v>
      </c>
      <c r="D246">
        <v>20.99</v>
      </c>
      <c r="E246">
        <v>71</v>
      </c>
      <c r="F246">
        <v>0.28999999999999998</v>
      </c>
      <c r="G246" t="s">
        <v>11</v>
      </c>
      <c r="H246">
        <v>10</v>
      </c>
    </row>
    <row r="247" spans="1:8" x14ac:dyDescent="0.25">
      <c r="A247" t="s">
        <v>1030</v>
      </c>
      <c r="B247">
        <v>2015</v>
      </c>
      <c r="C247">
        <v>5</v>
      </c>
      <c r="D247">
        <v>498.79</v>
      </c>
      <c r="E247">
        <v>179.5</v>
      </c>
      <c r="F247">
        <v>2.77</v>
      </c>
      <c r="G247" t="s">
        <v>11</v>
      </c>
      <c r="H247">
        <v>10</v>
      </c>
    </row>
    <row r="248" spans="1:8" x14ac:dyDescent="0.25">
      <c r="A248" t="s">
        <v>1025</v>
      </c>
      <c r="B248">
        <v>2015</v>
      </c>
      <c r="C248">
        <v>5</v>
      </c>
      <c r="D248">
        <v>232.28</v>
      </c>
      <c r="E248">
        <v>187.5</v>
      </c>
      <c r="F248">
        <v>1.23</v>
      </c>
      <c r="G248" t="s">
        <v>11</v>
      </c>
      <c r="H248">
        <v>10</v>
      </c>
    </row>
    <row r="249" spans="1:8" x14ac:dyDescent="0.25">
      <c r="A249" t="s">
        <v>1207</v>
      </c>
      <c r="B249">
        <v>2015</v>
      </c>
      <c r="C249">
        <v>5</v>
      </c>
      <c r="D249">
        <v>10.47</v>
      </c>
      <c r="E249">
        <v>25.5</v>
      </c>
      <c r="F249">
        <v>0.41</v>
      </c>
      <c r="G249" t="s">
        <v>11</v>
      </c>
      <c r="H249">
        <v>10</v>
      </c>
    </row>
    <row r="250" spans="1:8" x14ac:dyDescent="0.25">
      <c r="A250" t="s">
        <v>1205</v>
      </c>
      <c r="B250">
        <v>2015</v>
      </c>
      <c r="C250">
        <v>5</v>
      </c>
      <c r="D250">
        <v>7.65</v>
      </c>
      <c r="E250">
        <v>21</v>
      </c>
      <c r="F250">
        <v>0.36</v>
      </c>
      <c r="G250" t="s">
        <v>11</v>
      </c>
      <c r="H250">
        <v>10</v>
      </c>
    </row>
    <row r="251" spans="1:8" x14ac:dyDescent="0.25">
      <c r="A251" t="s">
        <v>1191</v>
      </c>
      <c r="B251">
        <v>2015</v>
      </c>
      <c r="C251">
        <v>5</v>
      </c>
      <c r="D251">
        <v>7.38</v>
      </c>
      <c r="E251">
        <v>39.5</v>
      </c>
      <c r="F251">
        <v>0.18</v>
      </c>
      <c r="G251" t="s">
        <v>11</v>
      </c>
      <c r="H251">
        <v>10</v>
      </c>
    </row>
    <row r="252" spans="1:8" x14ac:dyDescent="0.25">
      <c r="A252" t="s">
        <v>1194</v>
      </c>
      <c r="B252">
        <v>2015</v>
      </c>
      <c r="C252">
        <v>5</v>
      </c>
      <c r="D252">
        <v>22.13</v>
      </c>
      <c r="E252">
        <v>106.5</v>
      </c>
      <c r="F252">
        <v>0.2</v>
      </c>
      <c r="G252" t="s">
        <v>11</v>
      </c>
      <c r="H252">
        <v>10</v>
      </c>
    </row>
    <row r="253" spans="1:8" x14ac:dyDescent="0.25">
      <c r="A253" t="s">
        <v>1031</v>
      </c>
      <c r="B253">
        <v>2015</v>
      </c>
      <c r="C253">
        <v>5</v>
      </c>
      <c r="D253">
        <v>21.72</v>
      </c>
      <c r="E253">
        <v>85.5</v>
      </c>
      <c r="F253">
        <v>0.25</v>
      </c>
      <c r="G253" t="s">
        <v>11</v>
      </c>
      <c r="H253">
        <v>10</v>
      </c>
    </row>
    <row r="254" spans="1:8" x14ac:dyDescent="0.25">
      <c r="A254" t="s">
        <v>1204</v>
      </c>
      <c r="B254">
        <v>2015</v>
      </c>
      <c r="C254">
        <v>5</v>
      </c>
      <c r="D254">
        <v>3.41</v>
      </c>
      <c r="E254">
        <v>15.5</v>
      </c>
      <c r="F254">
        <v>0.22</v>
      </c>
      <c r="G254" t="s">
        <v>11</v>
      </c>
      <c r="H254">
        <v>10</v>
      </c>
    </row>
    <row r="255" spans="1:8" x14ac:dyDescent="0.25">
      <c r="A255" t="s">
        <v>1208</v>
      </c>
      <c r="B255">
        <v>2015</v>
      </c>
      <c r="C255">
        <v>5</v>
      </c>
      <c r="D255">
        <v>10.93</v>
      </c>
      <c r="E255">
        <v>45</v>
      </c>
      <c r="F255">
        <v>0.24</v>
      </c>
      <c r="G255" t="s">
        <v>11</v>
      </c>
      <c r="H255">
        <v>10</v>
      </c>
    </row>
    <row r="256" spans="1:8" x14ac:dyDescent="0.25">
      <c r="A256" t="s">
        <v>1022</v>
      </c>
      <c r="B256">
        <v>2015</v>
      </c>
      <c r="C256">
        <v>5</v>
      </c>
      <c r="D256">
        <v>92.34</v>
      </c>
      <c r="E256">
        <v>132</v>
      </c>
      <c r="F256">
        <v>0.69</v>
      </c>
      <c r="G256" t="s">
        <v>11</v>
      </c>
      <c r="H256">
        <v>10</v>
      </c>
    </row>
    <row r="257" spans="1:8" x14ac:dyDescent="0.25">
      <c r="A257" t="s">
        <v>1215</v>
      </c>
      <c r="B257">
        <v>2015</v>
      </c>
      <c r="C257">
        <v>5</v>
      </c>
      <c r="D257">
        <v>4.6100000000000003</v>
      </c>
      <c r="E257">
        <v>15.5</v>
      </c>
      <c r="F257">
        <v>0.28999999999999998</v>
      </c>
      <c r="G257" t="s">
        <v>11</v>
      </c>
      <c r="H257">
        <v>10</v>
      </c>
    </row>
    <row r="258" spans="1:8" x14ac:dyDescent="0.25">
      <c r="A258" t="s">
        <v>1216</v>
      </c>
      <c r="B258">
        <v>2015</v>
      </c>
      <c r="C258">
        <v>5</v>
      </c>
      <c r="D258">
        <v>0.95</v>
      </c>
      <c r="E258">
        <v>15.5</v>
      </c>
      <c r="F258">
        <v>0.06</v>
      </c>
      <c r="G258" t="s">
        <v>11</v>
      </c>
      <c r="H258">
        <v>10</v>
      </c>
    </row>
    <row r="259" spans="1:8" x14ac:dyDescent="0.25">
      <c r="A259" t="s">
        <v>1219</v>
      </c>
      <c r="B259">
        <v>2015</v>
      </c>
      <c r="C259">
        <v>5</v>
      </c>
      <c r="D259">
        <v>4.01</v>
      </c>
      <c r="E259">
        <v>35.5</v>
      </c>
      <c r="F259">
        <v>0.11</v>
      </c>
      <c r="G259" t="s">
        <v>11</v>
      </c>
      <c r="H259">
        <v>10</v>
      </c>
    </row>
    <row r="260" spans="1:8" x14ac:dyDescent="0.25">
      <c r="A260" t="s">
        <v>1218</v>
      </c>
      <c r="B260">
        <v>2015</v>
      </c>
      <c r="C260">
        <v>5</v>
      </c>
      <c r="D260">
        <v>6.14</v>
      </c>
      <c r="E260">
        <v>30</v>
      </c>
      <c r="F260">
        <v>0.2</v>
      </c>
      <c r="G260" t="s">
        <v>11</v>
      </c>
      <c r="H260">
        <v>10</v>
      </c>
    </row>
    <row r="261" spans="1:8" x14ac:dyDescent="0.25">
      <c r="A261" t="s">
        <v>1221</v>
      </c>
      <c r="B261">
        <v>2015</v>
      </c>
      <c r="C261">
        <v>5</v>
      </c>
      <c r="D261">
        <v>0.26</v>
      </c>
      <c r="E261">
        <v>5.5</v>
      </c>
      <c r="F261">
        <v>0.04</v>
      </c>
      <c r="G261" t="s">
        <v>11</v>
      </c>
      <c r="H261">
        <v>10</v>
      </c>
    </row>
    <row r="262" spans="1:8" x14ac:dyDescent="0.25">
      <c r="A262" t="s">
        <v>1225</v>
      </c>
      <c r="B262">
        <v>2015</v>
      </c>
      <c r="C262">
        <v>5</v>
      </c>
      <c r="D262">
        <v>1.78</v>
      </c>
      <c r="E262">
        <v>10</v>
      </c>
      <c r="F262">
        <v>0.17</v>
      </c>
      <c r="G262" t="s">
        <v>11</v>
      </c>
      <c r="H262">
        <v>10</v>
      </c>
    </row>
    <row r="263" spans="1:8" x14ac:dyDescent="0.25">
      <c r="A263" t="s">
        <v>1234</v>
      </c>
      <c r="B263">
        <v>2015</v>
      </c>
      <c r="C263">
        <v>5</v>
      </c>
      <c r="D263">
        <v>2.13</v>
      </c>
      <c r="E263">
        <v>20</v>
      </c>
      <c r="F263">
        <v>0.1</v>
      </c>
      <c r="G263" t="s">
        <v>11</v>
      </c>
      <c r="H263">
        <v>10</v>
      </c>
    </row>
    <row r="264" spans="1:8" x14ac:dyDescent="0.25">
      <c r="A264" t="s">
        <v>1197</v>
      </c>
      <c r="B264">
        <v>2015</v>
      </c>
      <c r="C264">
        <v>5</v>
      </c>
      <c r="D264">
        <v>4.3600000000000003</v>
      </c>
      <c r="E264">
        <v>20</v>
      </c>
      <c r="F264">
        <v>0.21</v>
      </c>
      <c r="G264" t="s">
        <v>11</v>
      </c>
      <c r="H264">
        <v>10</v>
      </c>
    </row>
    <row r="265" spans="1:8" x14ac:dyDescent="0.25">
      <c r="A265" t="s">
        <v>1202</v>
      </c>
      <c r="B265">
        <v>2015</v>
      </c>
      <c r="C265">
        <v>5</v>
      </c>
      <c r="D265">
        <v>8.18</v>
      </c>
      <c r="E265">
        <v>35.5</v>
      </c>
      <c r="F265">
        <v>0.23</v>
      </c>
      <c r="G265" t="s">
        <v>11</v>
      </c>
      <c r="H265">
        <v>10</v>
      </c>
    </row>
    <row r="266" spans="1:8" x14ac:dyDescent="0.25">
      <c r="A266" t="s">
        <v>1021</v>
      </c>
      <c r="B266">
        <v>2015</v>
      </c>
      <c r="C266">
        <v>6</v>
      </c>
      <c r="D266">
        <v>5.57</v>
      </c>
      <c r="E266">
        <v>25.5</v>
      </c>
      <c r="F266">
        <v>0.21</v>
      </c>
      <c r="G266" t="s">
        <v>13</v>
      </c>
      <c r="H266">
        <v>11</v>
      </c>
    </row>
    <row r="267" spans="1:8" x14ac:dyDescent="0.25">
      <c r="A267" t="s">
        <v>1188</v>
      </c>
      <c r="B267">
        <v>2015</v>
      </c>
      <c r="C267">
        <v>6</v>
      </c>
      <c r="D267">
        <v>0.96</v>
      </c>
      <c r="E267">
        <v>5.5</v>
      </c>
      <c r="F267">
        <v>0.17</v>
      </c>
      <c r="G267" t="s">
        <v>13</v>
      </c>
      <c r="H267">
        <v>11</v>
      </c>
    </row>
    <row r="268" spans="1:8" x14ac:dyDescent="0.25">
      <c r="A268" t="s">
        <v>1203</v>
      </c>
      <c r="B268">
        <v>2015</v>
      </c>
      <c r="C268">
        <v>6</v>
      </c>
      <c r="D268">
        <v>0.91</v>
      </c>
      <c r="E268">
        <v>15.5</v>
      </c>
      <c r="F268">
        <v>0.05</v>
      </c>
      <c r="G268" t="s">
        <v>13</v>
      </c>
      <c r="H268">
        <v>11</v>
      </c>
    </row>
    <row r="269" spans="1:8" x14ac:dyDescent="0.25">
      <c r="A269" t="s">
        <v>1195</v>
      </c>
      <c r="B269">
        <v>2015</v>
      </c>
      <c r="C269">
        <v>6</v>
      </c>
      <c r="D269">
        <v>12.29</v>
      </c>
      <c r="E269">
        <v>25.5</v>
      </c>
      <c r="F269">
        <v>0.48</v>
      </c>
      <c r="G269" t="s">
        <v>13</v>
      </c>
      <c r="H269">
        <v>11</v>
      </c>
    </row>
    <row r="270" spans="1:8" x14ac:dyDescent="0.25">
      <c r="A270" t="s">
        <v>1017</v>
      </c>
      <c r="B270">
        <v>2015</v>
      </c>
      <c r="C270">
        <v>6</v>
      </c>
      <c r="D270">
        <v>36.29</v>
      </c>
      <c r="E270">
        <v>62.5</v>
      </c>
      <c r="F270">
        <v>0.57999999999999996</v>
      </c>
      <c r="G270" t="s">
        <v>13</v>
      </c>
      <c r="H270">
        <v>11</v>
      </c>
    </row>
    <row r="271" spans="1:8" x14ac:dyDescent="0.25">
      <c r="A271" t="s">
        <v>1200</v>
      </c>
      <c r="B271">
        <v>2015</v>
      </c>
      <c r="C271">
        <v>6</v>
      </c>
      <c r="D271">
        <v>0.63</v>
      </c>
      <c r="E271">
        <v>5.5</v>
      </c>
      <c r="F271">
        <v>0.11</v>
      </c>
      <c r="G271" t="s">
        <v>13</v>
      </c>
      <c r="H271">
        <v>11</v>
      </c>
    </row>
    <row r="272" spans="1:8" x14ac:dyDescent="0.25">
      <c r="A272" t="s">
        <v>1190</v>
      </c>
      <c r="B272">
        <v>2015</v>
      </c>
      <c r="C272">
        <v>6</v>
      </c>
      <c r="D272">
        <v>16.260000000000002</v>
      </c>
      <c r="E272">
        <v>40</v>
      </c>
      <c r="F272">
        <v>0.4</v>
      </c>
      <c r="G272" t="s">
        <v>13</v>
      </c>
      <c r="H272">
        <v>11</v>
      </c>
    </row>
    <row r="273" spans="1:8" x14ac:dyDescent="0.25">
      <c r="A273" t="s">
        <v>1201</v>
      </c>
      <c r="B273">
        <v>2015</v>
      </c>
      <c r="C273">
        <v>6</v>
      </c>
      <c r="D273">
        <v>16.8</v>
      </c>
      <c r="E273">
        <v>35.5</v>
      </c>
      <c r="F273">
        <v>0.47</v>
      </c>
      <c r="G273" t="s">
        <v>13</v>
      </c>
      <c r="H273">
        <v>11</v>
      </c>
    </row>
    <row r="274" spans="1:8" x14ac:dyDescent="0.25">
      <c r="A274" t="s">
        <v>1016</v>
      </c>
      <c r="B274">
        <v>2015</v>
      </c>
      <c r="C274">
        <v>6</v>
      </c>
      <c r="D274">
        <v>269.63</v>
      </c>
      <c r="E274">
        <v>174</v>
      </c>
      <c r="F274">
        <v>1.54</v>
      </c>
      <c r="G274" t="s">
        <v>13</v>
      </c>
      <c r="H274">
        <v>11</v>
      </c>
    </row>
    <row r="275" spans="1:8" x14ac:dyDescent="0.25">
      <c r="A275" t="s">
        <v>1186</v>
      </c>
      <c r="B275">
        <v>2015</v>
      </c>
      <c r="C275">
        <v>6</v>
      </c>
      <c r="D275">
        <v>87.97</v>
      </c>
      <c r="E275">
        <v>111</v>
      </c>
      <c r="F275">
        <v>0.79</v>
      </c>
      <c r="G275" t="s">
        <v>13</v>
      </c>
      <c r="H275">
        <v>11</v>
      </c>
    </row>
    <row r="276" spans="1:8" x14ac:dyDescent="0.25">
      <c r="A276" t="s">
        <v>1196</v>
      </c>
      <c r="B276">
        <v>2015</v>
      </c>
      <c r="C276">
        <v>6</v>
      </c>
      <c r="D276">
        <v>27.84</v>
      </c>
      <c r="E276">
        <v>30</v>
      </c>
      <c r="F276">
        <v>0.92</v>
      </c>
      <c r="G276" t="s">
        <v>13</v>
      </c>
      <c r="H276">
        <v>11</v>
      </c>
    </row>
    <row r="277" spans="1:8" x14ac:dyDescent="0.25">
      <c r="A277" t="s">
        <v>1199</v>
      </c>
      <c r="B277">
        <v>2015</v>
      </c>
      <c r="C277">
        <v>6</v>
      </c>
      <c r="D277">
        <v>11.15</v>
      </c>
      <c r="E277">
        <v>20</v>
      </c>
      <c r="F277">
        <v>0.55000000000000004</v>
      </c>
      <c r="G277" t="s">
        <v>13</v>
      </c>
      <c r="H277">
        <v>11</v>
      </c>
    </row>
    <row r="278" spans="1:8" x14ac:dyDescent="0.25">
      <c r="A278" t="s">
        <v>1185</v>
      </c>
      <c r="B278">
        <v>2015</v>
      </c>
      <c r="C278">
        <v>6</v>
      </c>
      <c r="D278">
        <v>0.36</v>
      </c>
      <c r="E278">
        <v>10</v>
      </c>
      <c r="F278">
        <v>0.03</v>
      </c>
      <c r="G278" t="s">
        <v>13</v>
      </c>
      <c r="H278">
        <v>11</v>
      </c>
    </row>
    <row r="279" spans="1:8" x14ac:dyDescent="0.25">
      <c r="A279" t="s">
        <v>1209</v>
      </c>
      <c r="B279">
        <v>2015</v>
      </c>
      <c r="C279">
        <v>6</v>
      </c>
      <c r="D279">
        <v>6.38</v>
      </c>
      <c r="E279">
        <v>5.5</v>
      </c>
      <c r="F279">
        <v>1.1599999999999999</v>
      </c>
      <c r="G279" t="s">
        <v>13</v>
      </c>
      <c r="H279">
        <v>11</v>
      </c>
    </row>
    <row r="280" spans="1:8" x14ac:dyDescent="0.25">
      <c r="A280" t="s">
        <v>1012</v>
      </c>
      <c r="B280">
        <v>2015</v>
      </c>
      <c r="C280">
        <v>6</v>
      </c>
      <c r="D280">
        <v>117.41</v>
      </c>
      <c r="E280">
        <v>155</v>
      </c>
      <c r="F280">
        <v>0.75</v>
      </c>
      <c r="G280" t="s">
        <v>13</v>
      </c>
      <c r="H280">
        <v>11</v>
      </c>
    </row>
    <row r="281" spans="1:8" x14ac:dyDescent="0.25">
      <c r="A281" t="s">
        <v>1010</v>
      </c>
      <c r="B281">
        <v>2015</v>
      </c>
      <c r="C281">
        <v>6</v>
      </c>
      <c r="D281">
        <v>53.05</v>
      </c>
      <c r="E281">
        <v>101</v>
      </c>
      <c r="F281">
        <v>0.52</v>
      </c>
      <c r="G281" t="s">
        <v>13</v>
      </c>
      <c r="H281">
        <v>11</v>
      </c>
    </row>
    <row r="282" spans="1:8" x14ac:dyDescent="0.25">
      <c r="A282" t="s">
        <v>1217</v>
      </c>
      <c r="B282">
        <v>2015</v>
      </c>
      <c r="C282">
        <v>6</v>
      </c>
      <c r="D282">
        <v>3.09</v>
      </c>
      <c r="E282">
        <v>10</v>
      </c>
      <c r="F282">
        <v>0.3</v>
      </c>
      <c r="G282" t="s">
        <v>13</v>
      </c>
      <c r="H282">
        <v>11</v>
      </c>
    </row>
    <row r="283" spans="1:8" x14ac:dyDescent="0.25">
      <c r="A283" t="s">
        <v>1189</v>
      </c>
      <c r="B283">
        <v>2015</v>
      </c>
      <c r="C283">
        <v>6</v>
      </c>
      <c r="D283">
        <v>42.38</v>
      </c>
      <c r="E283">
        <v>105.5</v>
      </c>
      <c r="F283">
        <v>0.4</v>
      </c>
      <c r="G283" t="s">
        <v>13</v>
      </c>
      <c r="H283">
        <v>11</v>
      </c>
    </row>
    <row r="284" spans="1:8" x14ac:dyDescent="0.25">
      <c r="A284" t="s">
        <v>1198</v>
      </c>
      <c r="B284">
        <v>2015</v>
      </c>
      <c r="C284">
        <v>6</v>
      </c>
      <c r="D284">
        <v>5.5</v>
      </c>
      <c r="E284">
        <v>15.5</v>
      </c>
      <c r="F284">
        <v>0.35</v>
      </c>
      <c r="G284" t="s">
        <v>13</v>
      </c>
      <c r="H284">
        <v>11</v>
      </c>
    </row>
    <row r="285" spans="1:8" x14ac:dyDescent="0.25">
      <c r="A285" t="s">
        <v>146</v>
      </c>
      <c r="B285">
        <v>2015</v>
      </c>
      <c r="C285">
        <v>6</v>
      </c>
      <c r="D285">
        <v>1564.83</v>
      </c>
      <c r="E285">
        <v>183.5</v>
      </c>
      <c r="F285">
        <v>8.52</v>
      </c>
      <c r="G285" t="s">
        <v>13</v>
      </c>
      <c r="H285">
        <v>11</v>
      </c>
    </row>
    <row r="286" spans="1:8" x14ac:dyDescent="0.25">
      <c r="A286" t="s">
        <v>1018</v>
      </c>
      <c r="B286">
        <v>2015</v>
      </c>
      <c r="C286">
        <v>6</v>
      </c>
      <c r="D286">
        <v>9.36</v>
      </c>
      <c r="E286">
        <v>35.5</v>
      </c>
      <c r="F286">
        <v>0.26</v>
      </c>
      <c r="G286" t="s">
        <v>13</v>
      </c>
      <c r="H286">
        <v>11</v>
      </c>
    </row>
    <row r="287" spans="1:8" x14ac:dyDescent="0.25">
      <c r="A287" t="s">
        <v>1187</v>
      </c>
      <c r="B287">
        <v>2015</v>
      </c>
      <c r="C287">
        <v>6</v>
      </c>
      <c r="D287">
        <v>2.08</v>
      </c>
      <c r="E287">
        <v>5.5</v>
      </c>
      <c r="F287">
        <v>0.37</v>
      </c>
      <c r="G287" t="s">
        <v>13</v>
      </c>
      <c r="H287">
        <v>11</v>
      </c>
    </row>
    <row r="288" spans="1:8" x14ac:dyDescent="0.25">
      <c r="A288" t="s">
        <v>1222</v>
      </c>
      <c r="B288">
        <v>2015</v>
      </c>
      <c r="C288">
        <v>6</v>
      </c>
      <c r="D288">
        <v>3.95</v>
      </c>
      <c r="E288">
        <v>5.5</v>
      </c>
      <c r="F288">
        <v>0.71</v>
      </c>
      <c r="G288" t="s">
        <v>13</v>
      </c>
      <c r="H288">
        <v>11</v>
      </c>
    </row>
    <row r="289" spans="1:8" x14ac:dyDescent="0.25">
      <c r="A289" t="s">
        <v>1030</v>
      </c>
      <c r="B289">
        <v>2015</v>
      </c>
      <c r="C289">
        <v>6</v>
      </c>
      <c r="D289">
        <v>482.85</v>
      </c>
      <c r="E289">
        <v>183.5</v>
      </c>
      <c r="F289">
        <v>2.63</v>
      </c>
      <c r="G289" t="s">
        <v>13</v>
      </c>
      <c r="H289">
        <v>11</v>
      </c>
    </row>
    <row r="290" spans="1:8" x14ac:dyDescent="0.25">
      <c r="A290" t="s">
        <v>1025</v>
      </c>
      <c r="B290">
        <v>2015</v>
      </c>
      <c r="C290">
        <v>6</v>
      </c>
      <c r="D290">
        <v>227.16</v>
      </c>
      <c r="E290">
        <v>192</v>
      </c>
      <c r="F290">
        <v>1.18</v>
      </c>
      <c r="G290" t="s">
        <v>13</v>
      </c>
      <c r="H290">
        <v>11</v>
      </c>
    </row>
    <row r="291" spans="1:8" x14ac:dyDescent="0.25">
      <c r="A291" t="s">
        <v>1207</v>
      </c>
      <c r="B291">
        <v>2015</v>
      </c>
      <c r="C291">
        <v>6</v>
      </c>
      <c r="D291">
        <v>6.49</v>
      </c>
      <c r="E291">
        <v>21</v>
      </c>
      <c r="F291">
        <v>0.3</v>
      </c>
      <c r="G291" t="s">
        <v>13</v>
      </c>
      <c r="H291">
        <v>11</v>
      </c>
    </row>
    <row r="292" spans="1:8" x14ac:dyDescent="0.25">
      <c r="A292" t="s">
        <v>1205</v>
      </c>
      <c r="B292">
        <v>2015</v>
      </c>
      <c r="C292">
        <v>6</v>
      </c>
      <c r="D292">
        <v>1.8</v>
      </c>
      <c r="E292">
        <v>5.5</v>
      </c>
      <c r="F292">
        <v>0.32</v>
      </c>
      <c r="G292" t="s">
        <v>13</v>
      </c>
      <c r="H292">
        <v>11</v>
      </c>
    </row>
    <row r="293" spans="1:8" x14ac:dyDescent="0.25">
      <c r="A293" t="s">
        <v>1210</v>
      </c>
      <c r="B293">
        <v>2015</v>
      </c>
      <c r="C293">
        <v>6</v>
      </c>
      <c r="D293">
        <v>3.32</v>
      </c>
      <c r="E293">
        <v>5.5</v>
      </c>
      <c r="F293">
        <v>0.6</v>
      </c>
      <c r="G293" t="s">
        <v>13</v>
      </c>
      <c r="H293">
        <v>11</v>
      </c>
    </row>
    <row r="294" spans="1:8" x14ac:dyDescent="0.25">
      <c r="A294" t="s">
        <v>1191</v>
      </c>
      <c r="B294">
        <v>2015</v>
      </c>
      <c r="C294">
        <v>6</v>
      </c>
      <c r="D294">
        <v>9.69</v>
      </c>
      <c r="E294">
        <v>30</v>
      </c>
      <c r="F294">
        <v>0.32</v>
      </c>
      <c r="G294" t="s">
        <v>13</v>
      </c>
      <c r="H294">
        <v>11</v>
      </c>
    </row>
    <row r="295" spans="1:8" x14ac:dyDescent="0.25">
      <c r="A295" t="s">
        <v>1194</v>
      </c>
      <c r="B295">
        <v>2015</v>
      </c>
      <c r="C295">
        <v>6</v>
      </c>
      <c r="D295">
        <v>150.74</v>
      </c>
      <c r="E295">
        <v>41</v>
      </c>
      <c r="F295">
        <v>3.67</v>
      </c>
      <c r="G295" t="s">
        <v>13</v>
      </c>
      <c r="H295">
        <v>11</v>
      </c>
    </row>
    <row r="296" spans="1:8" x14ac:dyDescent="0.25">
      <c r="A296" t="s">
        <v>1031</v>
      </c>
      <c r="B296">
        <v>2015</v>
      </c>
      <c r="C296">
        <v>6</v>
      </c>
      <c r="D296">
        <v>49.26</v>
      </c>
      <c r="E296">
        <v>96.5</v>
      </c>
      <c r="F296">
        <v>0.51</v>
      </c>
      <c r="G296" t="s">
        <v>13</v>
      </c>
      <c r="H296">
        <v>11</v>
      </c>
    </row>
    <row r="297" spans="1:8" x14ac:dyDescent="0.25">
      <c r="A297" t="s">
        <v>1204</v>
      </c>
      <c r="B297">
        <v>2015</v>
      </c>
      <c r="C297">
        <v>6</v>
      </c>
      <c r="D297">
        <v>0.91</v>
      </c>
      <c r="E297">
        <v>10</v>
      </c>
      <c r="F297">
        <v>0.09</v>
      </c>
      <c r="G297" t="s">
        <v>13</v>
      </c>
      <c r="H297">
        <v>11</v>
      </c>
    </row>
    <row r="298" spans="1:8" x14ac:dyDescent="0.25">
      <c r="A298" t="s">
        <v>1208</v>
      </c>
      <c r="B298">
        <v>2015</v>
      </c>
      <c r="C298">
        <v>6</v>
      </c>
      <c r="D298">
        <v>3.73</v>
      </c>
      <c r="E298">
        <v>15</v>
      </c>
      <c r="F298">
        <v>0.24</v>
      </c>
      <c r="G298" t="s">
        <v>13</v>
      </c>
      <c r="H298">
        <v>11</v>
      </c>
    </row>
    <row r="299" spans="1:8" x14ac:dyDescent="0.25">
      <c r="A299" t="s">
        <v>1022</v>
      </c>
      <c r="B299">
        <v>2015</v>
      </c>
      <c r="C299">
        <v>6</v>
      </c>
      <c r="D299">
        <v>7.11</v>
      </c>
      <c r="E299">
        <v>10</v>
      </c>
      <c r="F299">
        <v>0.71</v>
      </c>
      <c r="G299" t="s">
        <v>13</v>
      </c>
      <c r="H299">
        <v>11</v>
      </c>
    </row>
    <row r="300" spans="1:8" x14ac:dyDescent="0.25">
      <c r="A300" t="s">
        <v>1215</v>
      </c>
      <c r="B300">
        <v>2015</v>
      </c>
      <c r="C300">
        <v>6</v>
      </c>
      <c r="D300">
        <v>0.24</v>
      </c>
      <c r="E300">
        <v>10</v>
      </c>
      <c r="F300">
        <v>0.02</v>
      </c>
      <c r="G300" t="s">
        <v>13</v>
      </c>
      <c r="H300">
        <v>11</v>
      </c>
    </row>
    <row r="301" spans="1:8" x14ac:dyDescent="0.25">
      <c r="A301" t="s">
        <v>1219</v>
      </c>
      <c r="B301">
        <v>2015</v>
      </c>
      <c r="C301">
        <v>6</v>
      </c>
      <c r="D301">
        <v>3.15</v>
      </c>
      <c r="E301">
        <v>10</v>
      </c>
      <c r="F301">
        <v>0.31</v>
      </c>
      <c r="G301" t="s">
        <v>13</v>
      </c>
      <c r="H301">
        <v>11</v>
      </c>
    </row>
    <row r="302" spans="1:8" x14ac:dyDescent="0.25">
      <c r="A302" t="s">
        <v>1218</v>
      </c>
      <c r="B302">
        <v>2015</v>
      </c>
      <c r="C302">
        <v>6</v>
      </c>
      <c r="D302">
        <v>2.97</v>
      </c>
      <c r="E302">
        <v>10</v>
      </c>
      <c r="F302">
        <v>0.28999999999999998</v>
      </c>
      <c r="G302" t="s">
        <v>13</v>
      </c>
      <c r="H302">
        <v>11</v>
      </c>
    </row>
    <row r="303" spans="1:8" x14ac:dyDescent="0.25">
      <c r="A303" t="s">
        <v>1197</v>
      </c>
      <c r="B303">
        <v>2015</v>
      </c>
      <c r="C303">
        <v>6</v>
      </c>
      <c r="D303">
        <v>3.12</v>
      </c>
      <c r="E303">
        <v>15.5</v>
      </c>
      <c r="F303">
        <v>0.2</v>
      </c>
      <c r="G303" t="s">
        <v>13</v>
      </c>
      <c r="H303">
        <v>11</v>
      </c>
    </row>
    <row r="304" spans="1:8" x14ac:dyDescent="0.25">
      <c r="A304" t="s">
        <v>1021</v>
      </c>
      <c r="B304">
        <v>2015</v>
      </c>
      <c r="C304">
        <v>7</v>
      </c>
      <c r="D304">
        <v>11.71</v>
      </c>
      <c r="E304">
        <v>35.5</v>
      </c>
      <c r="F304">
        <v>0.32</v>
      </c>
      <c r="G304" t="s">
        <v>14</v>
      </c>
      <c r="H304">
        <v>12</v>
      </c>
    </row>
    <row r="305" spans="1:8" x14ac:dyDescent="0.25">
      <c r="A305" t="s">
        <v>1220</v>
      </c>
      <c r="B305">
        <v>2015</v>
      </c>
      <c r="C305">
        <v>7</v>
      </c>
      <c r="D305">
        <v>0.81</v>
      </c>
      <c r="E305">
        <v>10</v>
      </c>
      <c r="F305">
        <v>0.08</v>
      </c>
      <c r="G305" t="s">
        <v>14</v>
      </c>
      <c r="H305">
        <v>12</v>
      </c>
    </row>
    <row r="306" spans="1:8" x14ac:dyDescent="0.25">
      <c r="A306" t="s">
        <v>1017</v>
      </c>
      <c r="B306">
        <v>2015</v>
      </c>
      <c r="C306">
        <v>7</v>
      </c>
      <c r="D306">
        <v>11.33</v>
      </c>
      <c r="E306">
        <v>20.5</v>
      </c>
      <c r="F306">
        <v>0.55000000000000004</v>
      </c>
      <c r="G306" t="s">
        <v>14</v>
      </c>
      <c r="H306">
        <v>12</v>
      </c>
    </row>
    <row r="307" spans="1:8" x14ac:dyDescent="0.25">
      <c r="A307" t="s">
        <v>1190</v>
      </c>
      <c r="B307">
        <v>2015</v>
      </c>
      <c r="C307">
        <v>7</v>
      </c>
      <c r="D307">
        <v>0.49</v>
      </c>
      <c r="E307">
        <v>10</v>
      </c>
      <c r="F307">
        <v>0.04</v>
      </c>
      <c r="G307" t="s">
        <v>14</v>
      </c>
      <c r="H307">
        <v>12</v>
      </c>
    </row>
    <row r="308" spans="1:8" x14ac:dyDescent="0.25">
      <c r="A308" t="s">
        <v>1201</v>
      </c>
      <c r="B308">
        <v>2015</v>
      </c>
      <c r="C308">
        <v>7</v>
      </c>
      <c r="D308">
        <v>5.64</v>
      </c>
      <c r="E308">
        <v>30</v>
      </c>
      <c r="F308">
        <v>0.18</v>
      </c>
      <c r="G308" t="s">
        <v>14</v>
      </c>
      <c r="H308">
        <v>12</v>
      </c>
    </row>
    <row r="309" spans="1:8" x14ac:dyDescent="0.25">
      <c r="A309" t="s">
        <v>1213</v>
      </c>
      <c r="B309">
        <v>2015</v>
      </c>
      <c r="C309">
        <v>7</v>
      </c>
      <c r="D309">
        <v>2.62</v>
      </c>
      <c r="E309">
        <v>15.5</v>
      </c>
      <c r="F309">
        <v>0.16</v>
      </c>
      <c r="G309" t="s">
        <v>14</v>
      </c>
      <c r="H309">
        <v>12</v>
      </c>
    </row>
    <row r="310" spans="1:8" x14ac:dyDescent="0.25">
      <c r="A310" t="s">
        <v>1016</v>
      </c>
      <c r="B310">
        <v>2015</v>
      </c>
      <c r="C310">
        <v>7</v>
      </c>
      <c r="D310">
        <v>316.13</v>
      </c>
      <c r="E310">
        <v>198.5</v>
      </c>
      <c r="F310">
        <v>1.59</v>
      </c>
      <c r="G310" t="s">
        <v>14</v>
      </c>
      <c r="H310">
        <v>12</v>
      </c>
    </row>
    <row r="311" spans="1:8" x14ac:dyDescent="0.25">
      <c r="A311" t="s">
        <v>1186</v>
      </c>
      <c r="B311">
        <v>2015</v>
      </c>
      <c r="C311">
        <v>7</v>
      </c>
      <c r="D311">
        <v>47.63</v>
      </c>
      <c r="E311">
        <v>111</v>
      </c>
      <c r="F311">
        <v>0.42</v>
      </c>
      <c r="G311" t="s">
        <v>14</v>
      </c>
      <c r="H311">
        <v>12</v>
      </c>
    </row>
    <row r="312" spans="1:8" x14ac:dyDescent="0.25">
      <c r="A312" t="s">
        <v>1199</v>
      </c>
      <c r="B312">
        <v>2015</v>
      </c>
      <c r="C312">
        <v>7</v>
      </c>
      <c r="D312">
        <v>20.22</v>
      </c>
      <c r="E312">
        <v>30</v>
      </c>
      <c r="F312">
        <v>0.67</v>
      </c>
      <c r="G312" t="s">
        <v>14</v>
      </c>
      <c r="H312">
        <v>12</v>
      </c>
    </row>
    <row r="313" spans="1:8" x14ac:dyDescent="0.25">
      <c r="A313" t="s">
        <v>1012</v>
      </c>
      <c r="B313">
        <v>2015</v>
      </c>
      <c r="C313">
        <v>7</v>
      </c>
      <c r="D313">
        <v>141.38999999999999</v>
      </c>
      <c r="E313">
        <v>193</v>
      </c>
      <c r="F313">
        <v>0.73</v>
      </c>
      <c r="G313" t="s">
        <v>14</v>
      </c>
      <c r="H313">
        <v>12</v>
      </c>
    </row>
    <row r="314" spans="1:8" x14ac:dyDescent="0.25">
      <c r="A314" t="s">
        <v>1010</v>
      </c>
      <c r="B314">
        <v>2015</v>
      </c>
      <c r="C314">
        <v>7</v>
      </c>
      <c r="D314">
        <v>57.91</v>
      </c>
      <c r="E314">
        <v>171</v>
      </c>
      <c r="F314">
        <v>0.33</v>
      </c>
      <c r="G314" t="s">
        <v>14</v>
      </c>
      <c r="H314">
        <v>12</v>
      </c>
    </row>
    <row r="315" spans="1:8" x14ac:dyDescent="0.25">
      <c r="A315" t="s">
        <v>1189</v>
      </c>
      <c r="B315">
        <v>2015</v>
      </c>
      <c r="C315">
        <v>7</v>
      </c>
      <c r="D315">
        <v>6.95</v>
      </c>
      <c r="E315">
        <v>50</v>
      </c>
      <c r="F315">
        <v>0.13</v>
      </c>
      <c r="G315" t="s">
        <v>14</v>
      </c>
      <c r="H315">
        <v>12</v>
      </c>
    </row>
    <row r="316" spans="1:8" x14ac:dyDescent="0.25">
      <c r="A316" t="s">
        <v>1211</v>
      </c>
      <c r="B316">
        <v>2015</v>
      </c>
      <c r="C316">
        <v>7</v>
      </c>
      <c r="D316">
        <v>0.56999999999999995</v>
      </c>
      <c r="E316">
        <v>5.5</v>
      </c>
      <c r="F316">
        <v>0.1</v>
      </c>
      <c r="G316" t="s">
        <v>14</v>
      </c>
      <c r="H316">
        <v>12</v>
      </c>
    </row>
    <row r="317" spans="1:8" x14ac:dyDescent="0.25">
      <c r="A317" t="s">
        <v>1198</v>
      </c>
      <c r="B317">
        <v>2015</v>
      </c>
      <c r="C317">
        <v>7</v>
      </c>
      <c r="D317">
        <v>0.49</v>
      </c>
      <c r="E317">
        <v>10</v>
      </c>
      <c r="F317">
        <v>0.04</v>
      </c>
      <c r="G317" t="s">
        <v>14</v>
      </c>
      <c r="H317">
        <v>12</v>
      </c>
    </row>
    <row r="318" spans="1:8" x14ac:dyDescent="0.25">
      <c r="A318" t="s">
        <v>146</v>
      </c>
      <c r="B318">
        <v>2015</v>
      </c>
      <c r="C318">
        <v>7</v>
      </c>
      <c r="D318">
        <v>1811.51</v>
      </c>
      <c r="E318">
        <v>198.5</v>
      </c>
      <c r="F318">
        <v>9.1199999999999992</v>
      </c>
      <c r="G318" t="s">
        <v>14</v>
      </c>
      <c r="H318">
        <v>12</v>
      </c>
    </row>
    <row r="319" spans="1:8" x14ac:dyDescent="0.25">
      <c r="A319" t="s">
        <v>1018</v>
      </c>
      <c r="B319">
        <v>2015</v>
      </c>
      <c r="C319">
        <v>7</v>
      </c>
      <c r="D319">
        <v>3.39</v>
      </c>
      <c r="E319">
        <v>20</v>
      </c>
      <c r="F319">
        <v>0.16</v>
      </c>
      <c r="G319" t="s">
        <v>14</v>
      </c>
      <c r="H319">
        <v>12</v>
      </c>
    </row>
    <row r="320" spans="1:8" x14ac:dyDescent="0.25">
      <c r="A320" t="s">
        <v>1187</v>
      </c>
      <c r="B320">
        <v>2015</v>
      </c>
      <c r="C320">
        <v>7</v>
      </c>
      <c r="D320">
        <v>15.72</v>
      </c>
      <c r="E320">
        <v>5.5</v>
      </c>
      <c r="F320">
        <v>2.85</v>
      </c>
      <c r="G320" t="s">
        <v>14</v>
      </c>
      <c r="H320">
        <v>12</v>
      </c>
    </row>
    <row r="321" spans="1:8" x14ac:dyDescent="0.25">
      <c r="A321" t="s">
        <v>1222</v>
      </c>
      <c r="B321">
        <v>2015</v>
      </c>
      <c r="C321">
        <v>7</v>
      </c>
      <c r="D321">
        <v>7.32</v>
      </c>
      <c r="E321">
        <v>5.5</v>
      </c>
      <c r="F321">
        <v>1.33</v>
      </c>
      <c r="G321" t="s">
        <v>14</v>
      </c>
      <c r="H321">
        <v>12</v>
      </c>
    </row>
    <row r="322" spans="1:8" x14ac:dyDescent="0.25">
      <c r="A322" t="s">
        <v>1232</v>
      </c>
      <c r="B322">
        <v>2015</v>
      </c>
      <c r="C322">
        <v>7</v>
      </c>
      <c r="D322">
        <v>0.15</v>
      </c>
      <c r="E322">
        <v>10</v>
      </c>
      <c r="F322">
        <v>0.01</v>
      </c>
      <c r="G322" t="s">
        <v>14</v>
      </c>
      <c r="H322">
        <v>12</v>
      </c>
    </row>
    <row r="323" spans="1:8" x14ac:dyDescent="0.25">
      <c r="A323" t="s">
        <v>1030</v>
      </c>
      <c r="B323">
        <v>2015</v>
      </c>
      <c r="C323">
        <v>7</v>
      </c>
      <c r="D323">
        <v>333.91</v>
      </c>
      <c r="E323">
        <v>182</v>
      </c>
      <c r="F323">
        <v>1.83</v>
      </c>
      <c r="G323" t="s">
        <v>14</v>
      </c>
      <c r="H323">
        <v>12</v>
      </c>
    </row>
    <row r="324" spans="1:8" x14ac:dyDescent="0.25">
      <c r="A324" t="s">
        <v>1025</v>
      </c>
      <c r="B324">
        <v>2015</v>
      </c>
      <c r="C324">
        <v>7</v>
      </c>
      <c r="D324">
        <v>379.79</v>
      </c>
      <c r="E324">
        <v>207.5</v>
      </c>
      <c r="F324">
        <v>1.83</v>
      </c>
      <c r="G324" t="s">
        <v>14</v>
      </c>
      <c r="H324">
        <v>12</v>
      </c>
    </row>
    <row r="325" spans="1:8" x14ac:dyDescent="0.25">
      <c r="A325" t="s">
        <v>1207</v>
      </c>
      <c r="B325">
        <v>2015</v>
      </c>
      <c r="C325">
        <v>7</v>
      </c>
      <c r="D325">
        <v>4.99</v>
      </c>
      <c r="E325">
        <v>35.5</v>
      </c>
      <c r="F325">
        <v>0.14000000000000001</v>
      </c>
      <c r="G325" t="s">
        <v>14</v>
      </c>
      <c r="H325">
        <v>12</v>
      </c>
    </row>
    <row r="326" spans="1:8" x14ac:dyDescent="0.25">
      <c r="A326" t="s">
        <v>1205</v>
      </c>
      <c r="B326">
        <v>2015</v>
      </c>
      <c r="C326">
        <v>7</v>
      </c>
      <c r="D326">
        <v>2.66</v>
      </c>
      <c r="E326">
        <v>41</v>
      </c>
      <c r="F326">
        <v>0.06</v>
      </c>
      <c r="G326" t="s">
        <v>14</v>
      </c>
      <c r="H326">
        <v>12</v>
      </c>
    </row>
    <row r="327" spans="1:8" x14ac:dyDescent="0.25">
      <c r="A327" t="s">
        <v>1191</v>
      </c>
      <c r="B327">
        <v>2015</v>
      </c>
      <c r="C327">
        <v>7</v>
      </c>
      <c r="D327">
        <v>1.43</v>
      </c>
      <c r="E327">
        <v>9.5</v>
      </c>
      <c r="F327">
        <v>0.15</v>
      </c>
      <c r="G327" t="s">
        <v>14</v>
      </c>
      <c r="H327">
        <v>12</v>
      </c>
    </row>
    <row r="328" spans="1:8" x14ac:dyDescent="0.25">
      <c r="A328" t="s">
        <v>1194</v>
      </c>
      <c r="B328">
        <v>2015</v>
      </c>
      <c r="C328">
        <v>7</v>
      </c>
      <c r="D328">
        <v>0.86</v>
      </c>
      <c r="E328">
        <v>5.5</v>
      </c>
      <c r="F328">
        <v>0.15</v>
      </c>
      <c r="G328" t="s">
        <v>14</v>
      </c>
      <c r="H328">
        <v>12</v>
      </c>
    </row>
    <row r="329" spans="1:8" x14ac:dyDescent="0.25">
      <c r="A329" t="s">
        <v>1031</v>
      </c>
      <c r="B329">
        <v>2015</v>
      </c>
      <c r="C329">
        <v>7</v>
      </c>
      <c r="D329">
        <v>10.01</v>
      </c>
      <c r="E329">
        <v>75.5</v>
      </c>
      <c r="F329">
        <v>0.13</v>
      </c>
      <c r="G329" t="s">
        <v>14</v>
      </c>
      <c r="H329">
        <v>12</v>
      </c>
    </row>
    <row r="330" spans="1:8" x14ac:dyDescent="0.25">
      <c r="A330" t="s">
        <v>1208</v>
      </c>
      <c r="B330">
        <v>2015</v>
      </c>
      <c r="C330">
        <v>7</v>
      </c>
      <c r="D330">
        <v>0.2</v>
      </c>
      <c r="E330">
        <v>15</v>
      </c>
      <c r="F330">
        <v>0.01</v>
      </c>
      <c r="G330" t="s">
        <v>14</v>
      </c>
      <c r="H330">
        <v>12</v>
      </c>
    </row>
    <row r="331" spans="1:8" x14ac:dyDescent="0.25">
      <c r="A331" t="s">
        <v>1022</v>
      </c>
      <c r="B331">
        <v>2015</v>
      </c>
      <c r="C331">
        <v>7</v>
      </c>
      <c r="D331">
        <v>16.940000000000001</v>
      </c>
      <c r="E331">
        <v>25.5</v>
      </c>
      <c r="F331">
        <v>0.66</v>
      </c>
      <c r="G331" t="s">
        <v>14</v>
      </c>
      <c r="H331">
        <v>12</v>
      </c>
    </row>
    <row r="332" spans="1:8" x14ac:dyDescent="0.25">
      <c r="A332" t="s">
        <v>1021</v>
      </c>
      <c r="B332">
        <v>2015</v>
      </c>
      <c r="C332">
        <v>8</v>
      </c>
      <c r="D332">
        <v>142.53</v>
      </c>
      <c r="E332">
        <v>156.5</v>
      </c>
      <c r="F332">
        <v>0.91</v>
      </c>
      <c r="G332" t="s">
        <v>7</v>
      </c>
      <c r="H332">
        <v>1</v>
      </c>
    </row>
    <row r="333" spans="1:8" x14ac:dyDescent="0.25">
      <c r="A333" t="s">
        <v>1188</v>
      </c>
      <c r="B333">
        <v>2015</v>
      </c>
      <c r="C333">
        <v>8</v>
      </c>
      <c r="D333">
        <v>67.75</v>
      </c>
      <c r="E333">
        <v>116.5</v>
      </c>
      <c r="F333">
        <v>0.57999999999999996</v>
      </c>
      <c r="G333" t="s">
        <v>7</v>
      </c>
      <c r="H333">
        <v>1</v>
      </c>
    </row>
    <row r="334" spans="1:8" x14ac:dyDescent="0.25">
      <c r="A334" t="s">
        <v>1220</v>
      </c>
      <c r="B334">
        <v>2015</v>
      </c>
      <c r="C334">
        <v>8</v>
      </c>
      <c r="D334">
        <v>5.3</v>
      </c>
      <c r="E334">
        <v>40</v>
      </c>
      <c r="F334">
        <v>0.13</v>
      </c>
      <c r="G334" t="s">
        <v>7</v>
      </c>
      <c r="H334">
        <v>1</v>
      </c>
    </row>
    <row r="335" spans="1:8" x14ac:dyDescent="0.25">
      <c r="A335" t="s">
        <v>1203</v>
      </c>
      <c r="B335">
        <v>2015</v>
      </c>
      <c r="C335">
        <v>8</v>
      </c>
      <c r="D335">
        <v>64.180000000000007</v>
      </c>
      <c r="E335">
        <v>162</v>
      </c>
      <c r="F335">
        <v>0.39</v>
      </c>
      <c r="G335" t="s">
        <v>7</v>
      </c>
      <c r="H335">
        <v>1</v>
      </c>
    </row>
    <row r="336" spans="1:8" x14ac:dyDescent="0.25">
      <c r="A336" t="s">
        <v>1195</v>
      </c>
      <c r="B336">
        <v>2015</v>
      </c>
      <c r="C336">
        <v>8</v>
      </c>
      <c r="D336">
        <v>47.33</v>
      </c>
      <c r="E336">
        <v>132</v>
      </c>
      <c r="F336">
        <v>0.35</v>
      </c>
      <c r="G336" t="s">
        <v>7</v>
      </c>
      <c r="H336">
        <v>1</v>
      </c>
    </row>
    <row r="337" spans="1:8" x14ac:dyDescent="0.25">
      <c r="A337" t="s">
        <v>1223</v>
      </c>
      <c r="B337">
        <v>2015</v>
      </c>
      <c r="C337">
        <v>8</v>
      </c>
      <c r="D337">
        <v>8.51</v>
      </c>
      <c r="E337">
        <v>31</v>
      </c>
      <c r="F337">
        <v>0.27</v>
      </c>
      <c r="G337" t="s">
        <v>7</v>
      </c>
      <c r="H337">
        <v>1</v>
      </c>
    </row>
    <row r="338" spans="1:8" x14ac:dyDescent="0.25">
      <c r="A338" t="s">
        <v>1017</v>
      </c>
      <c r="B338">
        <v>2015</v>
      </c>
      <c r="C338">
        <v>8</v>
      </c>
      <c r="D338">
        <v>133.99</v>
      </c>
      <c r="E338">
        <v>147</v>
      </c>
      <c r="F338">
        <v>0.91</v>
      </c>
      <c r="G338" t="s">
        <v>7</v>
      </c>
      <c r="H338">
        <v>1</v>
      </c>
    </row>
    <row r="339" spans="1:8" x14ac:dyDescent="0.25">
      <c r="A339" t="s">
        <v>1200</v>
      </c>
      <c r="B339">
        <v>2015</v>
      </c>
      <c r="C339">
        <v>8</v>
      </c>
      <c r="D339">
        <v>40.479999999999997</v>
      </c>
      <c r="E339">
        <v>107.5</v>
      </c>
      <c r="F339">
        <v>0.37</v>
      </c>
      <c r="G339" t="s">
        <v>7</v>
      </c>
      <c r="H339">
        <v>1</v>
      </c>
    </row>
    <row r="340" spans="1:8" x14ac:dyDescent="0.25">
      <c r="A340" t="s">
        <v>1190</v>
      </c>
      <c r="B340">
        <v>2015</v>
      </c>
      <c r="C340">
        <v>8</v>
      </c>
      <c r="D340">
        <v>34.31</v>
      </c>
      <c r="E340">
        <v>151</v>
      </c>
      <c r="F340">
        <v>0.22</v>
      </c>
      <c r="G340" t="s">
        <v>7</v>
      </c>
      <c r="H340">
        <v>1</v>
      </c>
    </row>
    <row r="341" spans="1:8" x14ac:dyDescent="0.25">
      <c r="A341" t="s">
        <v>1184</v>
      </c>
      <c r="B341">
        <v>2015</v>
      </c>
      <c r="C341">
        <v>8</v>
      </c>
      <c r="D341">
        <v>43.44</v>
      </c>
      <c r="E341">
        <v>126.5</v>
      </c>
      <c r="F341">
        <v>0.34</v>
      </c>
      <c r="G341" t="s">
        <v>7</v>
      </c>
      <c r="H341">
        <v>1</v>
      </c>
    </row>
    <row r="342" spans="1:8" x14ac:dyDescent="0.25">
      <c r="A342" t="s">
        <v>1201</v>
      </c>
      <c r="B342">
        <v>2015</v>
      </c>
      <c r="C342">
        <v>8</v>
      </c>
      <c r="D342">
        <v>119.78</v>
      </c>
      <c r="E342">
        <v>156.5</v>
      </c>
      <c r="F342">
        <v>0.76</v>
      </c>
      <c r="G342" t="s">
        <v>7</v>
      </c>
      <c r="H342">
        <v>1</v>
      </c>
    </row>
    <row r="343" spans="1:8" x14ac:dyDescent="0.25">
      <c r="A343" t="s">
        <v>1213</v>
      </c>
      <c r="B343">
        <v>2015</v>
      </c>
      <c r="C343">
        <v>8</v>
      </c>
      <c r="D343">
        <v>10.01</v>
      </c>
      <c r="E343">
        <v>65.5</v>
      </c>
      <c r="F343">
        <v>0.15</v>
      </c>
      <c r="G343" t="s">
        <v>7</v>
      </c>
      <c r="H343">
        <v>1</v>
      </c>
    </row>
    <row r="344" spans="1:8" x14ac:dyDescent="0.25">
      <c r="A344" t="s">
        <v>1212</v>
      </c>
      <c r="B344">
        <v>2015</v>
      </c>
      <c r="C344">
        <v>8</v>
      </c>
      <c r="D344">
        <v>5.5</v>
      </c>
      <c r="E344">
        <v>65.5</v>
      </c>
      <c r="F344">
        <v>0.08</v>
      </c>
      <c r="G344" t="s">
        <v>7</v>
      </c>
      <c r="H344">
        <v>1</v>
      </c>
    </row>
    <row r="345" spans="1:8" x14ac:dyDescent="0.25">
      <c r="A345" t="s">
        <v>1214</v>
      </c>
      <c r="B345">
        <v>2015</v>
      </c>
      <c r="C345">
        <v>8</v>
      </c>
      <c r="D345">
        <v>1.25</v>
      </c>
      <c r="E345">
        <v>15.5</v>
      </c>
      <c r="F345">
        <v>0.08</v>
      </c>
      <c r="G345" t="s">
        <v>7</v>
      </c>
      <c r="H345">
        <v>1</v>
      </c>
    </row>
    <row r="346" spans="1:8" x14ac:dyDescent="0.25">
      <c r="A346" t="s">
        <v>1186</v>
      </c>
      <c r="B346">
        <v>2015</v>
      </c>
      <c r="C346">
        <v>8</v>
      </c>
      <c r="D346">
        <v>90.56</v>
      </c>
      <c r="E346">
        <v>162</v>
      </c>
      <c r="F346">
        <v>0.55000000000000004</v>
      </c>
      <c r="G346" t="s">
        <v>7</v>
      </c>
      <c r="H346">
        <v>1</v>
      </c>
    </row>
    <row r="347" spans="1:8" x14ac:dyDescent="0.25">
      <c r="A347" t="s">
        <v>1196</v>
      </c>
      <c r="B347">
        <v>2015</v>
      </c>
      <c r="C347">
        <v>8</v>
      </c>
      <c r="D347">
        <v>54.21</v>
      </c>
      <c r="E347">
        <v>141</v>
      </c>
      <c r="F347">
        <v>0.38</v>
      </c>
      <c r="G347" t="s">
        <v>7</v>
      </c>
      <c r="H347">
        <v>1</v>
      </c>
    </row>
    <row r="348" spans="1:8" x14ac:dyDescent="0.25">
      <c r="A348" t="s">
        <v>1199</v>
      </c>
      <c r="B348">
        <v>2015</v>
      </c>
      <c r="C348">
        <v>8</v>
      </c>
      <c r="D348">
        <v>16.63</v>
      </c>
      <c r="E348">
        <v>40</v>
      </c>
      <c r="F348">
        <v>0.41</v>
      </c>
      <c r="G348" t="s">
        <v>7</v>
      </c>
      <c r="H348">
        <v>1</v>
      </c>
    </row>
    <row r="349" spans="1:8" x14ac:dyDescent="0.25">
      <c r="A349" t="s">
        <v>1185</v>
      </c>
      <c r="B349">
        <v>2015</v>
      </c>
      <c r="C349">
        <v>8</v>
      </c>
      <c r="D349">
        <v>47.08</v>
      </c>
      <c r="E349">
        <v>126.5</v>
      </c>
      <c r="F349">
        <v>0.37</v>
      </c>
      <c r="G349" t="s">
        <v>7</v>
      </c>
      <c r="H349">
        <v>1</v>
      </c>
    </row>
    <row r="350" spans="1:8" x14ac:dyDescent="0.25">
      <c r="A350" t="s">
        <v>1209</v>
      </c>
      <c r="B350">
        <v>2015</v>
      </c>
      <c r="C350">
        <v>8</v>
      </c>
      <c r="D350">
        <v>8.99</v>
      </c>
      <c r="E350">
        <v>45.5</v>
      </c>
      <c r="F350">
        <v>0.19</v>
      </c>
      <c r="G350" t="s">
        <v>7</v>
      </c>
      <c r="H350">
        <v>1</v>
      </c>
    </row>
    <row r="351" spans="1:8" x14ac:dyDescent="0.25">
      <c r="A351" t="s">
        <v>1010</v>
      </c>
      <c r="B351">
        <v>2015</v>
      </c>
      <c r="C351">
        <v>8</v>
      </c>
      <c r="D351">
        <v>225.96</v>
      </c>
      <c r="E351">
        <v>172</v>
      </c>
      <c r="F351">
        <v>1.31</v>
      </c>
      <c r="G351" t="s">
        <v>7</v>
      </c>
      <c r="H351">
        <v>1</v>
      </c>
    </row>
    <row r="352" spans="1:8" x14ac:dyDescent="0.25">
      <c r="A352" t="s">
        <v>1206</v>
      </c>
      <c r="B352">
        <v>2015</v>
      </c>
      <c r="C352">
        <v>8</v>
      </c>
      <c r="D352">
        <v>9.1199999999999992</v>
      </c>
      <c r="E352">
        <v>35.5</v>
      </c>
      <c r="F352">
        <v>0.25</v>
      </c>
      <c r="G352" t="s">
        <v>7</v>
      </c>
      <c r="H352">
        <v>1</v>
      </c>
    </row>
    <row r="353" spans="1:8" x14ac:dyDescent="0.25">
      <c r="A353" t="s">
        <v>1217</v>
      </c>
      <c r="B353">
        <v>2015</v>
      </c>
      <c r="C353">
        <v>8</v>
      </c>
      <c r="D353">
        <v>3.41</v>
      </c>
      <c r="E353">
        <v>25.5</v>
      </c>
      <c r="F353">
        <v>0.13</v>
      </c>
      <c r="G353" t="s">
        <v>7</v>
      </c>
      <c r="H353">
        <v>1</v>
      </c>
    </row>
    <row r="354" spans="1:8" x14ac:dyDescent="0.25">
      <c r="A354" t="s">
        <v>1189</v>
      </c>
      <c r="B354">
        <v>2015</v>
      </c>
      <c r="C354">
        <v>8</v>
      </c>
      <c r="D354">
        <v>134.25</v>
      </c>
      <c r="E354">
        <v>166.5</v>
      </c>
      <c r="F354">
        <v>0.8</v>
      </c>
      <c r="G354" t="s">
        <v>7</v>
      </c>
      <c r="H354">
        <v>1</v>
      </c>
    </row>
    <row r="355" spans="1:8" x14ac:dyDescent="0.25">
      <c r="A355" t="s">
        <v>1211</v>
      </c>
      <c r="B355">
        <v>2015</v>
      </c>
      <c r="C355">
        <v>8</v>
      </c>
      <c r="D355">
        <v>2.52</v>
      </c>
      <c r="E355">
        <v>30</v>
      </c>
      <c r="F355">
        <v>0.08</v>
      </c>
      <c r="G355" t="s">
        <v>7</v>
      </c>
      <c r="H355">
        <v>1</v>
      </c>
    </row>
    <row r="356" spans="1:8" x14ac:dyDescent="0.25">
      <c r="A356" t="s">
        <v>1198</v>
      </c>
      <c r="B356">
        <v>2015</v>
      </c>
      <c r="C356">
        <v>8</v>
      </c>
      <c r="D356">
        <v>33.049999999999997</v>
      </c>
      <c r="E356">
        <v>126.5</v>
      </c>
      <c r="F356">
        <v>0.26</v>
      </c>
      <c r="G356" t="s">
        <v>7</v>
      </c>
      <c r="H356">
        <v>1</v>
      </c>
    </row>
    <row r="357" spans="1:8" x14ac:dyDescent="0.25">
      <c r="A357" t="s">
        <v>1018</v>
      </c>
      <c r="B357">
        <v>2015</v>
      </c>
      <c r="C357">
        <v>8</v>
      </c>
      <c r="D357">
        <v>307.85000000000002</v>
      </c>
      <c r="E357">
        <v>172</v>
      </c>
      <c r="F357">
        <v>1.78</v>
      </c>
      <c r="G357" t="s">
        <v>7</v>
      </c>
      <c r="H357">
        <v>1</v>
      </c>
    </row>
    <row r="358" spans="1:8" x14ac:dyDescent="0.25">
      <c r="A358" t="s">
        <v>1193</v>
      </c>
      <c r="B358">
        <v>2015</v>
      </c>
      <c r="C358">
        <v>8</v>
      </c>
      <c r="D358">
        <v>194.27</v>
      </c>
      <c r="E358">
        <v>166.5</v>
      </c>
      <c r="F358">
        <v>1.1599999999999999</v>
      </c>
      <c r="G358" t="s">
        <v>7</v>
      </c>
      <c r="H358">
        <v>1</v>
      </c>
    </row>
    <row r="359" spans="1:8" x14ac:dyDescent="0.25">
      <c r="A359" t="s">
        <v>1187</v>
      </c>
      <c r="B359">
        <v>2015</v>
      </c>
      <c r="C359">
        <v>8</v>
      </c>
      <c r="D359">
        <v>100.36</v>
      </c>
      <c r="E359">
        <v>116.5</v>
      </c>
      <c r="F359">
        <v>0.86</v>
      </c>
      <c r="G359" t="s">
        <v>7</v>
      </c>
      <c r="H359">
        <v>1</v>
      </c>
    </row>
    <row r="360" spans="1:8" x14ac:dyDescent="0.25">
      <c r="A360" t="s">
        <v>1222</v>
      </c>
      <c r="B360">
        <v>2015</v>
      </c>
      <c r="C360">
        <v>8</v>
      </c>
      <c r="D360">
        <v>18</v>
      </c>
      <c r="E360">
        <v>55.5</v>
      </c>
      <c r="F360">
        <v>0.32</v>
      </c>
      <c r="G360" t="s">
        <v>7</v>
      </c>
      <c r="H360">
        <v>1</v>
      </c>
    </row>
    <row r="361" spans="1:8" x14ac:dyDescent="0.25">
      <c r="A361" t="s">
        <v>1224</v>
      </c>
      <c r="B361">
        <v>2015</v>
      </c>
      <c r="C361">
        <v>8</v>
      </c>
      <c r="D361">
        <v>2.46</v>
      </c>
      <c r="E361">
        <v>11</v>
      </c>
      <c r="F361">
        <v>0.22</v>
      </c>
      <c r="G361" t="s">
        <v>7</v>
      </c>
      <c r="H361">
        <v>1</v>
      </c>
    </row>
    <row r="362" spans="1:8" x14ac:dyDescent="0.25">
      <c r="A362" t="s">
        <v>1025</v>
      </c>
      <c r="B362">
        <v>2015</v>
      </c>
      <c r="C362">
        <v>8</v>
      </c>
      <c r="D362">
        <v>166.64</v>
      </c>
      <c r="E362">
        <v>172</v>
      </c>
      <c r="F362">
        <v>0.96</v>
      </c>
      <c r="G362" t="s">
        <v>7</v>
      </c>
      <c r="H362">
        <v>1</v>
      </c>
    </row>
    <row r="363" spans="1:8" x14ac:dyDescent="0.25">
      <c r="A363" t="s">
        <v>1207</v>
      </c>
      <c r="B363">
        <v>2015</v>
      </c>
      <c r="C363">
        <v>8</v>
      </c>
      <c r="D363">
        <v>38.79</v>
      </c>
      <c r="E363">
        <v>62</v>
      </c>
      <c r="F363">
        <v>0.62</v>
      </c>
      <c r="G363" t="s">
        <v>7</v>
      </c>
      <c r="H363">
        <v>1</v>
      </c>
    </row>
    <row r="364" spans="1:8" x14ac:dyDescent="0.25">
      <c r="A364" t="s">
        <v>1205</v>
      </c>
      <c r="B364">
        <v>2015</v>
      </c>
      <c r="C364">
        <v>8</v>
      </c>
      <c r="D364">
        <v>9.75</v>
      </c>
      <c r="E364">
        <v>81</v>
      </c>
      <c r="F364">
        <v>0.12</v>
      </c>
      <c r="G364" t="s">
        <v>7</v>
      </c>
      <c r="H364">
        <v>1</v>
      </c>
    </row>
    <row r="365" spans="1:8" x14ac:dyDescent="0.25">
      <c r="A365" t="s">
        <v>1210</v>
      </c>
      <c r="B365">
        <v>2015</v>
      </c>
      <c r="C365">
        <v>8</v>
      </c>
      <c r="D365">
        <v>2.5099999999999998</v>
      </c>
      <c r="E365">
        <v>30</v>
      </c>
      <c r="F365">
        <v>0.08</v>
      </c>
      <c r="G365" t="s">
        <v>7</v>
      </c>
      <c r="H365">
        <v>1</v>
      </c>
    </row>
    <row r="366" spans="1:8" x14ac:dyDescent="0.25">
      <c r="A366" t="s">
        <v>1191</v>
      </c>
      <c r="B366">
        <v>2015</v>
      </c>
      <c r="C366">
        <v>8</v>
      </c>
      <c r="D366">
        <v>6.72</v>
      </c>
      <c r="E366">
        <v>60</v>
      </c>
      <c r="F366">
        <v>0.11</v>
      </c>
      <c r="G366" t="s">
        <v>7</v>
      </c>
      <c r="H366">
        <v>1</v>
      </c>
    </row>
    <row r="367" spans="1:8" x14ac:dyDescent="0.25">
      <c r="A367" t="s">
        <v>1192</v>
      </c>
      <c r="B367">
        <v>2015</v>
      </c>
      <c r="C367">
        <v>8</v>
      </c>
      <c r="D367">
        <v>2.81</v>
      </c>
      <c r="E367">
        <v>54.5</v>
      </c>
      <c r="F367">
        <v>0.05</v>
      </c>
      <c r="G367" t="s">
        <v>7</v>
      </c>
      <c r="H367">
        <v>1</v>
      </c>
    </row>
    <row r="368" spans="1:8" x14ac:dyDescent="0.25">
      <c r="A368" t="s">
        <v>1194</v>
      </c>
      <c r="B368">
        <v>2015</v>
      </c>
      <c r="C368">
        <v>8</v>
      </c>
      <c r="D368">
        <v>77.38</v>
      </c>
      <c r="E368">
        <v>132</v>
      </c>
      <c r="F368">
        <v>0.57999999999999996</v>
      </c>
      <c r="G368" t="s">
        <v>7</v>
      </c>
      <c r="H368">
        <v>1</v>
      </c>
    </row>
    <row r="369" spans="1:8" x14ac:dyDescent="0.25">
      <c r="A369" t="s">
        <v>1031</v>
      </c>
      <c r="B369">
        <v>2015</v>
      </c>
      <c r="C369">
        <v>8</v>
      </c>
      <c r="D369">
        <v>201.23</v>
      </c>
      <c r="E369">
        <v>172</v>
      </c>
      <c r="F369">
        <v>1.1599999999999999</v>
      </c>
      <c r="G369" t="s">
        <v>7</v>
      </c>
      <c r="H369">
        <v>1</v>
      </c>
    </row>
    <row r="370" spans="1:8" x14ac:dyDescent="0.25">
      <c r="A370" t="s">
        <v>1204</v>
      </c>
      <c r="B370">
        <v>2015</v>
      </c>
      <c r="C370">
        <v>8</v>
      </c>
      <c r="D370">
        <v>12.25</v>
      </c>
      <c r="E370">
        <v>91</v>
      </c>
      <c r="F370">
        <v>0.13</v>
      </c>
      <c r="G370" t="s">
        <v>7</v>
      </c>
      <c r="H370">
        <v>1</v>
      </c>
    </row>
    <row r="371" spans="1:8" x14ac:dyDescent="0.25">
      <c r="A371" t="s">
        <v>1208</v>
      </c>
      <c r="B371">
        <v>2015</v>
      </c>
      <c r="C371">
        <v>8</v>
      </c>
      <c r="D371">
        <v>9.64</v>
      </c>
      <c r="E371">
        <v>35.5</v>
      </c>
      <c r="F371">
        <v>0.27</v>
      </c>
      <c r="G371" t="s">
        <v>7</v>
      </c>
      <c r="H371">
        <v>1</v>
      </c>
    </row>
    <row r="372" spans="1:8" x14ac:dyDescent="0.25">
      <c r="A372" t="s">
        <v>1022</v>
      </c>
      <c r="B372">
        <v>2015</v>
      </c>
      <c r="C372">
        <v>8</v>
      </c>
      <c r="D372">
        <v>200.53</v>
      </c>
      <c r="E372">
        <v>172</v>
      </c>
      <c r="F372">
        <v>1.1599999999999999</v>
      </c>
      <c r="G372" t="s">
        <v>7</v>
      </c>
      <c r="H372">
        <v>1</v>
      </c>
    </row>
    <row r="373" spans="1:8" x14ac:dyDescent="0.25">
      <c r="A373" t="s">
        <v>1215</v>
      </c>
      <c r="B373">
        <v>2015</v>
      </c>
      <c r="C373">
        <v>8</v>
      </c>
      <c r="D373">
        <v>20.59</v>
      </c>
      <c r="E373">
        <v>81</v>
      </c>
      <c r="F373">
        <v>0.25</v>
      </c>
      <c r="G373" t="s">
        <v>7</v>
      </c>
      <c r="H373">
        <v>1</v>
      </c>
    </row>
    <row r="374" spans="1:8" x14ac:dyDescent="0.25">
      <c r="A374" t="s">
        <v>1216</v>
      </c>
      <c r="B374">
        <v>2015</v>
      </c>
      <c r="C374">
        <v>8</v>
      </c>
      <c r="D374">
        <v>14.31</v>
      </c>
      <c r="E374">
        <v>51</v>
      </c>
      <c r="F374">
        <v>0.28000000000000003</v>
      </c>
      <c r="G374" t="s">
        <v>7</v>
      </c>
      <c r="H374">
        <v>1</v>
      </c>
    </row>
    <row r="375" spans="1:8" x14ac:dyDescent="0.25">
      <c r="A375" t="s">
        <v>1219</v>
      </c>
      <c r="B375">
        <v>2015</v>
      </c>
      <c r="C375">
        <v>8</v>
      </c>
      <c r="D375">
        <v>28.72</v>
      </c>
      <c r="E375">
        <v>65.5</v>
      </c>
      <c r="F375">
        <v>0.43</v>
      </c>
      <c r="G375" t="s">
        <v>7</v>
      </c>
      <c r="H375">
        <v>1</v>
      </c>
    </row>
    <row r="376" spans="1:8" x14ac:dyDescent="0.25">
      <c r="A376" t="s">
        <v>1218</v>
      </c>
      <c r="B376">
        <v>2015</v>
      </c>
      <c r="C376">
        <v>8</v>
      </c>
      <c r="D376">
        <v>30.06</v>
      </c>
      <c r="E376">
        <v>61</v>
      </c>
      <c r="F376">
        <v>0.49</v>
      </c>
      <c r="G376" t="s">
        <v>7</v>
      </c>
      <c r="H376">
        <v>1</v>
      </c>
    </row>
    <row r="377" spans="1:8" x14ac:dyDescent="0.25">
      <c r="A377" t="s">
        <v>1221</v>
      </c>
      <c r="B377">
        <v>2015</v>
      </c>
      <c r="C377">
        <v>8</v>
      </c>
      <c r="D377">
        <v>15.54</v>
      </c>
      <c r="E377">
        <v>40</v>
      </c>
      <c r="F377">
        <v>0.38</v>
      </c>
      <c r="G377" t="s">
        <v>7</v>
      </c>
      <c r="H377">
        <v>1</v>
      </c>
    </row>
    <row r="378" spans="1:8" x14ac:dyDescent="0.25">
      <c r="A378" t="s">
        <v>1197</v>
      </c>
      <c r="B378">
        <v>2015</v>
      </c>
      <c r="C378">
        <v>8</v>
      </c>
      <c r="D378">
        <v>24.45</v>
      </c>
      <c r="E378">
        <v>116.5</v>
      </c>
      <c r="F378">
        <v>0.2</v>
      </c>
      <c r="G378" t="s">
        <v>7</v>
      </c>
      <c r="H378">
        <v>1</v>
      </c>
    </row>
    <row r="379" spans="1:8" x14ac:dyDescent="0.25">
      <c r="A379" t="s">
        <v>1202</v>
      </c>
      <c r="B379">
        <v>2015</v>
      </c>
      <c r="C379">
        <v>8</v>
      </c>
      <c r="D379">
        <v>20.21</v>
      </c>
      <c r="E379">
        <v>95.5</v>
      </c>
      <c r="F379">
        <v>0.21</v>
      </c>
      <c r="G379" t="s">
        <v>7</v>
      </c>
      <c r="H379">
        <v>1</v>
      </c>
    </row>
    <row r="380" spans="1:8" x14ac:dyDescent="0.25">
      <c r="A380" t="s">
        <v>1021</v>
      </c>
      <c r="B380">
        <v>2015</v>
      </c>
      <c r="C380">
        <v>9</v>
      </c>
      <c r="D380">
        <v>132.96</v>
      </c>
      <c r="E380">
        <v>202</v>
      </c>
      <c r="F380">
        <v>0.65</v>
      </c>
      <c r="G380" t="s">
        <v>15</v>
      </c>
      <c r="H380">
        <v>2</v>
      </c>
    </row>
    <row r="381" spans="1:8" x14ac:dyDescent="0.25">
      <c r="A381" t="s">
        <v>1188</v>
      </c>
      <c r="B381">
        <v>2015</v>
      </c>
      <c r="C381">
        <v>9</v>
      </c>
      <c r="D381">
        <v>26.2</v>
      </c>
      <c r="E381">
        <v>131</v>
      </c>
      <c r="F381">
        <v>0.2</v>
      </c>
      <c r="G381" t="s">
        <v>15</v>
      </c>
      <c r="H381">
        <v>2</v>
      </c>
    </row>
    <row r="382" spans="1:8" x14ac:dyDescent="0.25">
      <c r="A382" t="s">
        <v>1220</v>
      </c>
      <c r="B382">
        <v>2015</v>
      </c>
      <c r="C382">
        <v>9</v>
      </c>
      <c r="D382">
        <v>2.1</v>
      </c>
      <c r="E382">
        <v>25.5</v>
      </c>
      <c r="F382">
        <v>0.08</v>
      </c>
      <c r="G382" t="s">
        <v>15</v>
      </c>
      <c r="H382">
        <v>2</v>
      </c>
    </row>
    <row r="383" spans="1:8" x14ac:dyDescent="0.25">
      <c r="A383" t="s">
        <v>1227</v>
      </c>
      <c r="B383">
        <v>2015</v>
      </c>
      <c r="C383">
        <v>9</v>
      </c>
      <c r="D383">
        <v>0.02</v>
      </c>
      <c r="E383">
        <v>5.5</v>
      </c>
      <c r="F383">
        <v>0</v>
      </c>
      <c r="G383" t="s">
        <v>15</v>
      </c>
      <c r="H383">
        <v>2</v>
      </c>
    </row>
    <row r="384" spans="1:8" x14ac:dyDescent="0.25">
      <c r="A384" t="s">
        <v>1203</v>
      </c>
      <c r="B384">
        <v>2015</v>
      </c>
      <c r="C384">
        <v>9</v>
      </c>
      <c r="D384">
        <v>63.49</v>
      </c>
      <c r="E384">
        <v>181</v>
      </c>
      <c r="F384">
        <v>0.35</v>
      </c>
      <c r="G384" t="s">
        <v>15</v>
      </c>
      <c r="H384">
        <v>2</v>
      </c>
    </row>
    <row r="385" spans="1:8" x14ac:dyDescent="0.25">
      <c r="A385" t="s">
        <v>1229</v>
      </c>
      <c r="B385">
        <v>2015</v>
      </c>
      <c r="C385">
        <v>9</v>
      </c>
      <c r="D385">
        <v>16.22</v>
      </c>
      <c r="E385">
        <v>61</v>
      </c>
      <c r="F385">
        <v>0.26</v>
      </c>
      <c r="G385" t="s">
        <v>15</v>
      </c>
      <c r="H385">
        <v>2</v>
      </c>
    </row>
    <row r="386" spans="1:8" x14ac:dyDescent="0.25">
      <c r="A386" t="s">
        <v>1195</v>
      </c>
      <c r="B386">
        <v>2015</v>
      </c>
      <c r="C386">
        <v>9</v>
      </c>
      <c r="D386">
        <v>47.35</v>
      </c>
      <c r="E386">
        <v>171</v>
      </c>
      <c r="F386">
        <v>0.27</v>
      </c>
      <c r="G386" t="s">
        <v>15</v>
      </c>
      <c r="H386">
        <v>2</v>
      </c>
    </row>
    <row r="387" spans="1:8" x14ac:dyDescent="0.25">
      <c r="A387" t="s">
        <v>1226</v>
      </c>
      <c r="B387">
        <v>2015</v>
      </c>
      <c r="C387">
        <v>9</v>
      </c>
      <c r="D387">
        <v>0.46</v>
      </c>
      <c r="E387">
        <v>30</v>
      </c>
      <c r="F387">
        <v>0.01</v>
      </c>
      <c r="G387" t="s">
        <v>15</v>
      </c>
      <c r="H387">
        <v>2</v>
      </c>
    </row>
    <row r="388" spans="1:8" x14ac:dyDescent="0.25">
      <c r="A388" t="s">
        <v>1223</v>
      </c>
      <c r="B388">
        <v>2015</v>
      </c>
      <c r="C388">
        <v>9</v>
      </c>
      <c r="D388">
        <v>36.869999999999997</v>
      </c>
      <c r="E388">
        <v>111</v>
      </c>
      <c r="F388">
        <v>0.33</v>
      </c>
      <c r="G388" t="s">
        <v>15</v>
      </c>
      <c r="H388">
        <v>2</v>
      </c>
    </row>
    <row r="389" spans="1:8" x14ac:dyDescent="0.25">
      <c r="A389" t="s">
        <v>1017</v>
      </c>
      <c r="B389">
        <v>2015</v>
      </c>
      <c r="C389">
        <v>9</v>
      </c>
      <c r="D389">
        <v>175.38</v>
      </c>
      <c r="E389">
        <v>162</v>
      </c>
      <c r="F389">
        <v>1.08</v>
      </c>
      <c r="G389" t="s">
        <v>15</v>
      </c>
      <c r="H389">
        <v>2</v>
      </c>
    </row>
    <row r="390" spans="1:8" x14ac:dyDescent="0.25">
      <c r="A390" t="s">
        <v>1200</v>
      </c>
      <c r="B390">
        <v>2015</v>
      </c>
      <c r="C390">
        <v>9</v>
      </c>
      <c r="D390">
        <v>23.45</v>
      </c>
      <c r="E390">
        <v>109</v>
      </c>
      <c r="F390">
        <v>0.21</v>
      </c>
      <c r="G390" t="s">
        <v>15</v>
      </c>
      <c r="H390">
        <v>2</v>
      </c>
    </row>
    <row r="391" spans="1:8" x14ac:dyDescent="0.25">
      <c r="A391" t="s">
        <v>1190</v>
      </c>
      <c r="B391">
        <v>2015</v>
      </c>
      <c r="C391">
        <v>9</v>
      </c>
      <c r="D391">
        <v>76.489999999999995</v>
      </c>
      <c r="E391">
        <v>192</v>
      </c>
      <c r="F391">
        <v>0.39</v>
      </c>
      <c r="G391" t="s">
        <v>15</v>
      </c>
      <c r="H391">
        <v>2</v>
      </c>
    </row>
    <row r="392" spans="1:8" x14ac:dyDescent="0.25">
      <c r="A392" t="s">
        <v>1184</v>
      </c>
      <c r="B392">
        <v>2015</v>
      </c>
      <c r="C392">
        <v>9</v>
      </c>
      <c r="D392">
        <v>38.68</v>
      </c>
      <c r="E392">
        <v>151</v>
      </c>
      <c r="F392">
        <v>0.25</v>
      </c>
      <c r="G392" t="s">
        <v>15</v>
      </c>
      <c r="H392">
        <v>2</v>
      </c>
    </row>
    <row r="393" spans="1:8" x14ac:dyDescent="0.25">
      <c r="A393" t="s">
        <v>1201</v>
      </c>
      <c r="B393">
        <v>2015</v>
      </c>
      <c r="C393">
        <v>9</v>
      </c>
      <c r="D393">
        <v>106.21</v>
      </c>
      <c r="E393">
        <v>192</v>
      </c>
      <c r="F393">
        <v>0.55000000000000004</v>
      </c>
      <c r="G393" t="s">
        <v>15</v>
      </c>
      <c r="H393">
        <v>2</v>
      </c>
    </row>
    <row r="394" spans="1:8" x14ac:dyDescent="0.25">
      <c r="A394" t="s">
        <v>1213</v>
      </c>
      <c r="B394">
        <v>2015</v>
      </c>
      <c r="C394">
        <v>9</v>
      </c>
      <c r="D394">
        <v>67.349999999999994</v>
      </c>
      <c r="E394">
        <v>162</v>
      </c>
      <c r="F394">
        <v>0.41</v>
      </c>
      <c r="G394" t="s">
        <v>15</v>
      </c>
      <c r="H394">
        <v>2</v>
      </c>
    </row>
    <row r="395" spans="1:8" x14ac:dyDescent="0.25">
      <c r="A395" t="s">
        <v>1212</v>
      </c>
      <c r="B395">
        <v>2015</v>
      </c>
      <c r="C395">
        <v>9</v>
      </c>
      <c r="D395">
        <v>10.56</v>
      </c>
      <c r="E395">
        <v>40</v>
      </c>
      <c r="F395">
        <v>0.26</v>
      </c>
      <c r="G395" t="s">
        <v>15</v>
      </c>
      <c r="H395">
        <v>2</v>
      </c>
    </row>
    <row r="396" spans="1:8" x14ac:dyDescent="0.25">
      <c r="A396" t="s">
        <v>1214</v>
      </c>
      <c r="B396">
        <v>2015</v>
      </c>
      <c r="C396">
        <v>9</v>
      </c>
      <c r="D396">
        <v>1.91</v>
      </c>
      <c r="E396">
        <v>20</v>
      </c>
      <c r="F396">
        <v>0.09</v>
      </c>
      <c r="G396" t="s">
        <v>15</v>
      </c>
      <c r="H396">
        <v>2</v>
      </c>
    </row>
    <row r="397" spans="1:8" x14ac:dyDescent="0.25">
      <c r="A397" t="s">
        <v>1186</v>
      </c>
      <c r="B397">
        <v>2015</v>
      </c>
      <c r="C397">
        <v>9</v>
      </c>
      <c r="D397">
        <v>125.61</v>
      </c>
      <c r="E397">
        <v>202</v>
      </c>
      <c r="F397">
        <v>0.62</v>
      </c>
      <c r="G397" t="s">
        <v>15</v>
      </c>
      <c r="H397">
        <v>2</v>
      </c>
    </row>
    <row r="398" spans="1:8" x14ac:dyDescent="0.25">
      <c r="A398" t="s">
        <v>1196</v>
      </c>
      <c r="B398">
        <v>2015</v>
      </c>
      <c r="C398">
        <v>9</v>
      </c>
      <c r="D398">
        <v>57.66</v>
      </c>
      <c r="E398">
        <v>125.5</v>
      </c>
      <c r="F398">
        <v>0.45</v>
      </c>
      <c r="G398" t="s">
        <v>15</v>
      </c>
      <c r="H398">
        <v>2</v>
      </c>
    </row>
    <row r="399" spans="1:8" x14ac:dyDescent="0.25">
      <c r="A399" t="s">
        <v>1199</v>
      </c>
      <c r="B399">
        <v>2015</v>
      </c>
      <c r="C399">
        <v>9</v>
      </c>
      <c r="D399">
        <v>1.78</v>
      </c>
      <c r="E399">
        <v>10</v>
      </c>
      <c r="F399">
        <v>0.17</v>
      </c>
      <c r="G399" t="s">
        <v>15</v>
      </c>
      <c r="H399">
        <v>2</v>
      </c>
    </row>
    <row r="400" spans="1:8" x14ac:dyDescent="0.25">
      <c r="A400" t="s">
        <v>1185</v>
      </c>
      <c r="B400">
        <v>2015</v>
      </c>
      <c r="C400">
        <v>9</v>
      </c>
      <c r="D400">
        <v>31.54</v>
      </c>
      <c r="E400">
        <v>151</v>
      </c>
      <c r="F400">
        <v>0.2</v>
      </c>
      <c r="G400" t="s">
        <v>15</v>
      </c>
      <c r="H400">
        <v>2</v>
      </c>
    </row>
    <row r="401" spans="1:8" x14ac:dyDescent="0.25">
      <c r="A401" t="s">
        <v>1209</v>
      </c>
      <c r="B401">
        <v>2015</v>
      </c>
      <c r="C401">
        <v>9</v>
      </c>
      <c r="D401">
        <v>108.79</v>
      </c>
      <c r="E401">
        <v>31</v>
      </c>
      <c r="F401">
        <v>3.5</v>
      </c>
      <c r="G401" t="s">
        <v>15</v>
      </c>
      <c r="H401">
        <v>2</v>
      </c>
    </row>
    <row r="402" spans="1:8" x14ac:dyDescent="0.25">
      <c r="A402" t="s">
        <v>1010</v>
      </c>
      <c r="B402">
        <v>2015</v>
      </c>
      <c r="C402">
        <v>9</v>
      </c>
      <c r="D402">
        <v>287.83999999999997</v>
      </c>
      <c r="E402">
        <v>202</v>
      </c>
      <c r="F402">
        <v>1.42</v>
      </c>
      <c r="G402" t="s">
        <v>15</v>
      </c>
      <c r="H402">
        <v>2</v>
      </c>
    </row>
    <row r="403" spans="1:8" x14ac:dyDescent="0.25">
      <c r="A403" t="s">
        <v>1206</v>
      </c>
      <c r="B403">
        <v>2015</v>
      </c>
      <c r="C403">
        <v>9</v>
      </c>
      <c r="D403">
        <v>12.15</v>
      </c>
      <c r="E403">
        <v>55.5</v>
      </c>
      <c r="F403">
        <v>0.21</v>
      </c>
      <c r="G403" t="s">
        <v>15</v>
      </c>
      <c r="H403">
        <v>2</v>
      </c>
    </row>
    <row r="404" spans="1:8" x14ac:dyDescent="0.25">
      <c r="A404" t="s">
        <v>1217</v>
      </c>
      <c r="B404">
        <v>2015</v>
      </c>
      <c r="C404">
        <v>9</v>
      </c>
      <c r="D404">
        <v>43.9</v>
      </c>
      <c r="E404">
        <v>80</v>
      </c>
      <c r="F404">
        <v>0.54</v>
      </c>
      <c r="G404" t="s">
        <v>15</v>
      </c>
      <c r="H404">
        <v>2</v>
      </c>
    </row>
    <row r="405" spans="1:8" x14ac:dyDescent="0.25">
      <c r="A405" t="s">
        <v>1189</v>
      </c>
      <c r="B405">
        <v>2015</v>
      </c>
      <c r="C405">
        <v>9</v>
      </c>
      <c r="D405">
        <v>80.84</v>
      </c>
      <c r="E405">
        <v>176.5</v>
      </c>
      <c r="F405">
        <v>0.45</v>
      </c>
      <c r="G405" t="s">
        <v>15</v>
      </c>
      <c r="H405">
        <v>2</v>
      </c>
    </row>
    <row r="406" spans="1:8" x14ac:dyDescent="0.25">
      <c r="A406" t="s">
        <v>1211</v>
      </c>
      <c r="B406">
        <v>2015</v>
      </c>
      <c r="C406">
        <v>9</v>
      </c>
      <c r="D406">
        <v>16.739999999999998</v>
      </c>
      <c r="E406">
        <v>41</v>
      </c>
      <c r="F406">
        <v>0.4</v>
      </c>
      <c r="G406" t="s">
        <v>15</v>
      </c>
      <c r="H406">
        <v>2</v>
      </c>
    </row>
    <row r="407" spans="1:8" x14ac:dyDescent="0.25">
      <c r="A407" t="s">
        <v>1198</v>
      </c>
      <c r="B407">
        <v>2015</v>
      </c>
      <c r="C407">
        <v>9</v>
      </c>
      <c r="D407">
        <v>137.24</v>
      </c>
      <c r="E407">
        <v>172</v>
      </c>
      <c r="F407">
        <v>0.79</v>
      </c>
      <c r="G407" t="s">
        <v>15</v>
      </c>
      <c r="H407">
        <v>2</v>
      </c>
    </row>
    <row r="408" spans="1:8" x14ac:dyDescent="0.25">
      <c r="A408" t="s">
        <v>1228</v>
      </c>
      <c r="B408">
        <v>2015</v>
      </c>
      <c r="C408">
        <v>9</v>
      </c>
      <c r="D408">
        <v>13.38</v>
      </c>
      <c r="E408">
        <v>80</v>
      </c>
      <c r="F408">
        <v>0.16</v>
      </c>
      <c r="G408" t="s">
        <v>15</v>
      </c>
      <c r="H408">
        <v>2</v>
      </c>
    </row>
    <row r="409" spans="1:8" x14ac:dyDescent="0.25">
      <c r="A409" t="s">
        <v>1230</v>
      </c>
      <c r="B409">
        <v>2015</v>
      </c>
      <c r="C409">
        <v>9</v>
      </c>
      <c r="D409">
        <v>0.02</v>
      </c>
      <c r="E409">
        <v>10</v>
      </c>
      <c r="F409">
        <v>0</v>
      </c>
      <c r="G409" t="s">
        <v>15</v>
      </c>
      <c r="H409">
        <v>2</v>
      </c>
    </row>
    <row r="410" spans="1:8" x14ac:dyDescent="0.25">
      <c r="A410" t="s">
        <v>1018</v>
      </c>
      <c r="B410">
        <v>2015</v>
      </c>
      <c r="C410">
        <v>9</v>
      </c>
      <c r="D410">
        <v>208.25</v>
      </c>
      <c r="E410">
        <v>202</v>
      </c>
      <c r="F410">
        <v>1.03</v>
      </c>
      <c r="G410" t="s">
        <v>15</v>
      </c>
      <c r="H410">
        <v>2</v>
      </c>
    </row>
    <row r="411" spans="1:8" x14ac:dyDescent="0.25">
      <c r="A411" t="s">
        <v>1193</v>
      </c>
      <c r="B411">
        <v>2015</v>
      </c>
      <c r="C411">
        <v>9</v>
      </c>
      <c r="D411">
        <v>148.21</v>
      </c>
      <c r="E411">
        <v>191</v>
      </c>
      <c r="F411">
        <v>0.77</v>
      </c>
      <c r="G411" t="s">
        <v>15</v>
      </c>
      <c r="H411">
        <v>2</v>
      </c>
    </row>
    <row r="412" spans="1:8" x14ac:dyDescent="0.25">
      <c r="A412" t="s">
        <v>1187</v>
      </c>
      <c r="B412">
        <v>2015</v>
      </c>
      <c r="C412">
        <v>9</v>
      </c>
      <c r="D412">
        <v>118.05</v>
      </c>
      <c r="E412">
        <v>192</v>
      </c>
      <c r="F412">
        <v>0.61</v>
      </c>
      <c r="G412" t="s">
        <v>15</v>
      </c>
      <c r="H412">
        <v>2</v>
      </c>
    </row>
    <row r="413" spans="1:8" x14ac:dyDescent="0.25">
      <c r="A413" t="s">
        <v>1222</v>
      </c>
      <c r="B413">
        <v>2015</v>
      </c>
      <c r="C413">
        <v>9</v>
      </c>
      <c r="D413">
        <v>86.92</v>
      </c>
      <c r="E413">
        <v>131</v>
      </c>
      <c r="F413">
        <v>0.66</v>
      </c>
      <c r="G413" t="s">
        <v>15</v>
      </c>
      <c r="H413">
        <v>2</v>
      </c>
    </row>
    <row r="414" spans="1:8" x14ac:dyDescent="0.25">
      <c r="A414" t="s">
        <v>1224</v>
      </c>
      <c r="B414">
        <v>2015</v>
      </c>
      <c r="C414">
        <v>9</v>
      </c>
      <c r="D414">
        <v>9.14</v>
      </c>
      <c r="E414">
        <v>30</v>
      </c>
      <c r="F414">
        <v>0.3</v>
      </c>
      <c r="G414" t="s">
        <v>15</v>
      </c>
      <c r="H414">
        <v>2</v>
      </c>
    </row>
    <row r="415" spans="1:8" x14ac:dyDescent="0.25">
      <c r="A415" t="s">
        <v>1232</v>
      </c>
      <c r="B415">
        <v>2015</v>
      </c>
      <c r="C415">
        <v>9</v>
      </c>
      <c r="D415">
        <v>1.5</v>
      </c>
      <c r="E415">
        <v>15.5</v>
      </c>
      <c r="F415">
        <v>0.09</v>
      </c>
      <c r="G415" t="s">
        <v>15</v>
      </c>
      <c r="H415">
        <v>2</v>
      </c>
    </row>
    <row r="416" spans="1:8" x14ac:dyDescent="0.25">
      <c r="A416" t="s">
        <v>1025</v>
      </c>
      <c r="B416">
        <v>2015</v>
      </c>
      <c r="C416">
        <v>9</v>
      </c>
      <c r="D416">
        <v>128.31</v>
      </c>
      <c r="E416">
        <v>192</v>
      </c>
      <c r="F416">
        <v>0.66</v>
      </c>
      <c r="G416" t="s">
        <v>15</v>
      </c>
      <c r="H416">
        <v>2</v>
      </c>
    </row>
    <row r="417" spans="1:8" x14ac:dyDescent="0.25">
      <c r="A417" t="s">
        <v>1207</v>
      </c>
      <c r="B417">
        <v>2015</v>
      </c>
      <c r="C417">
        <v>9</v>
      </c>
      <c r="D417">
        <v>56.82</v>
      </c>
      <c r="E417">
        <v>192</v>
      </c>
      <c r="F417">
        <v>0.28999999999999998</v>
      </c>
      <c r="G417" t="s">
        <v>15</v>
      </c>
      <c r="H417">
        <v>2</v>
      </c>
    </row>
    <row r="418" spans="1:8" x14ac:dyDescent="0.25">
      <c r="A418" t="s">
        <v>1205</v>
      </c>
      <c r="B418">
        <v>2015</v>
      </c>
      <c r="C418">
        <v>9</v>
      </c>
      <c r="D418">
        <v>52.98</v>
      </c>
      <c r="E418">
        <v>156.5</v>
      </c>
      <c r="F418">
        <v>0.33</v>
      </c>
      <c r="G418" t="s">
        <v>15</v>
      </c>
      <c r="H418">
        <v>2</v>
      </c>
    </row>
    <row r="419" spans="1:8" x14ac:dyDescent="0.25">
      <c r="A419" t="s">
        <v>1210</v>
      </c>
      <c r="B419">
        <v>2015</v>
      </c>
      <c r="C419">
        <v>9</v>
      </c>
      <c r="D419">
        <v>5.0599999999999996</v>
      </c>
      <c r="E419">
        <v>55.5</v>
      </c>
      <c r="F419">
        <v>0.09</v>
      </c>
      <c r="G419" t="s">
        <v>15</v>
      </c>
      <c r="H419">
        <v>2</v>
      </c>
    </row>
    <row r="420" spans="1:8" x14ac:dyDescent="0.25">
      <c r="A420" t="s">
        <v>1191</v>
      </c>
      <c r="B420">
        <v>2015</v>
      </c>
      <c r="C420">
        <v>9</v>
      </c>
      <c r="D420">
        <v>23.6</v>
      </c>
      <c r="E420">
        <v>46.5</v>
      </c>
      <c r="F420">
        <v>0.5</v>
      </c>
      <c r="G420" t="s">
        <v>15</v>
      </c>
      <c r="H420">
        <v>2</v>
      </c>
    </row>
    <row r="421" spans="1:8" x14ac:dyDescent="0.25">
      <c r="A421" t="s">
        <v>1192</v>
      </c>
      <c r="B421">
        <v>2015</v>
      </c>
      <c r="C421">
        <v>9</v>
      </c>
      <c r="D421">
        <v>3.57</v>
      </c>
      <c r="E421">
        <v>35.5</v>
      </c>
      <c r="F421">
        <v>0.1</v>
      </c>
      <c r="G421" t="s">
        <v>15</v>
      </c>
      <c r="H421">
        <v>2</v>
      </c>
    </row>
    <row r="422" spans="1:8" x14ac:dyDescent="0.25">
      <c r="A422" t="s">
        <v>1194</v>
      </c>
      <c r="B422">
        <v>2015</v>
      </c>
      <c r="C422">
        <v>9</v>
      </c>
      <c r="D422">
        <v>60.18</v>
      </c>
      <c r="E422">
        <v>186.5</v>
      </c>
      <c r="F422">
        <v>0.32</v>
      </c>
      <c r="G422" t="s">
        <v>15</v>
      </c>
      <c r="H422">
        <v>2</v>
      </c>
    </row>
    <row r="423" spans="1:8" x14ac:dyDescent="0.25">
      <c r="A423" t="s">
        <v>1031</v>
      </c>
      <c r="B423">
        <v>2015</v>
      </c>
      <c r="C423">
        <v>9</v>
      </c>
      <c r="D423">
        <v>220.05</v>
      </c>
      <c r="E423">
        <v>202</v>
      </c>
      <c r="F423">
        <v>1.08</v>
      </c>
      <c r="G423" t="s">
        <v>15</v>
      </c>
      <c r="H423">
        <v>2</v>
      </c>
    </row>
    <row r="424" spans="1:8" x14ac:dyDescent="0.25">
      <c r="A424" t="s">
        <v>1204</v>
      </c>
      <c r="B424">
        <v>2015</v>
      </c>
      <c r="C424">
        <v>9</v>
      </c>
      <c r="D424">
        <v>15</v>
      </c>
      <c r="E424">
        <v>65.5</v>
      </c>
      <c r="F424">
        <v>0.22</v>
      </c>
      <c r="G424" t="s">
        <v>15</v>
      </c>
      <c r="H424">
        <v>2</v>
      </c>
    </row>
    <row r="425" spans="1:8" x14ac:dyDescent="0.25">
      <c r="A425" t="s">
        <v>1208</v>
      </c>
      <c r="B425">
        <v>2015</v>
      </c>
      <c r="C425">
        <v>9</v>
      </c>
      <c r="D425">
        <v>16.239999999999998</v>
      </c>
      <c r="E425">
        <v>73.5</v>
      </c>
      <c r="F425">
        <v>0.22</v>
      </c>
      <c r="G425" t="s">
        <v>15</v>
      </c>
      <c r="H425">
        <v>2</v>
      </c>
    </row>
    <row r="426" spans="1:8" x14ac:dyDescent="0.25">
      <c r="A426" t="s">
        <v>1022</v>
      </c>
      <c r="B426">
        <v>2015</v>
      </c>
      <c r="C426">
        <v>9</v>
      </c>
      <c r="D426">
        <v>232.92</v>
      </c>
      <c r="E426">
        <v>202</v>
      </c>
      <c r="F426">
        <v>1.1499999999999999</v>
      </c>
      <c r="G426" t="s">
        <v>15</v>
      </c>
      <c r="H426">
        <v>2</v>
      </c>
    </row>
    <row r="427" spans="1:8" x14ac:dyDescent="0.25">
      <c r="A427" t="s">
        <v>1215</v>
      </c>
      <c r="B427">
        <v>2015</v>
      </c>
      <c r="C427">
        <v>9</v>
      </c>
      <c r="D427">
        <v>85.52</v>
      </c>
      <c r="E427">
        <v>186.5</v>
      </c>
      <c r="F427">
        <v>0.45</v>
      </c>
      <c r="G427" t="s">
        <v>15</v>
      </c>
      <c r="H427">
        <v>2</v>
      </c>
    </row>
    <row r="428" spans="1:8" x14ac:dyDescent="0.25">
      <c r="A428" t="s">
        <v>1216</v>
      </c>
      <c r="B428">
        <v>2015</v>
      </c>
      <c r="C428">
        <v>9</v>
      </c>
      <c r="D428">
        <v>79.099999999999994</v>
      </c>
      <c r="E428">
        <v>156.5</v>
      </c>
      <c r="F428">
        <v>0.5</v>
      </c>
      <c r="G428" t="s">
        <v>15</v>
      </c>
      <c r="H428">
        <v>2</v>
      </c>
    </row>
    <row r="429" spans="1:8" x14ac:dyDescent="0.25">
      <c r="A429" t="s">
        <v>1219</v>
      </c>
      <c r="B429">
        <v>2015</v>
      </c>
      <c r="C429">
        <v>9</v>
      </c>
      <c r="D429">
        <v>39.29</v>
      </c>
      <c r="E429">
        <v>141</v>
      </c>
      <c r="F429">
        <v>0.27</v>
      </c>
      <c r="G429" t="s">
        <v>15</v>
      </c>
      <c r="H429">
        <v>2</v>
      </c>
    </row>
    <row r="430" spans="1:8" x14ac:dyDescent="0.25">
      <c r="A430" t="s">
        <v>1218</v>
      </c>
      <c r="B430">
        <v>2015</v>
      </c>
      <c r="C430">
        <v>9</v>
      </c>
      <c r="D430">
        <v>17.940000000000001</v>
      </c>
      <c r="E430">
        <v>101</v>
      </c>
      <c r="F430">
        <v>0.17</v>
      </c>
      <c r="G430" t="s">
        <v>15</v>
      </c>
      <c r="H430">
        <v>2</v>
      </c>
    </row>
    <row r="431" spans="1:8" x14ac:dyDescent="0.25">
      <c r="A431" t="s">
        <v>1221</v>
      </c>
      <c r="B431">
        <v>2015</v>
      </c>
      <c r="C431">
        <v>9</v>
      </c>
      <c r="D431">
        <v>11.85</v>
      </c>
      <c r="E431">
        <v>50</v>
      </c>
      <c r="F431">
        <v>0.23</v>
      </c>
      <c r="G431" t="s">
        <v>15</v>
      </c>
      <c r="H431">
        <v>2</v>
      </c>
    </row>
    <row r="432" spans="1:8" x14ac:dyDescent="0.25">
      <c r="A432" t="s">
        <v>1225</v>
      </c>
      <c r="B432">
        <v>2015</v>
      </c>
      <c r="C432">
        <v>9</v>
      </c>
      <c r="D432">
        <v>4.18</v>
      </c>
      <c r="E432">
        <v>30</v>
      </c>
      <c r="F432">
        <v>0.13</v>
      </c>
      <c r="G432" t="s">
        <v>15</v>
      </c>
      <c r="H432">
        <v>2</v>
      </c>
    </row>
    <row r="433" spans="1:8" x14ac:dyDescent="0.25">
      <c r="A433" t="s">
        <v>1231</v>
      </c>
      <c r="B433">
        <v>2015</v>
      </c>
      <c r="C433">
        <v>9</v>
      </c>
      <c r="D433">
        <v>0.08</v>
      </c>
      <c r="E433">
        <v>10</v>
      </c>
      <c r="F433">
        <v>0</v>
      </c>
      <c r="G433" t="s">
        <v>15</v>
      </c>
      <c r="H433">
        <v>2</v>
      </c>
    </row>
    <row r="434" spans="1:8" x14ac:dyDescent="0.25">
      <c r="A434" t="s">
        <v>1197</v>
      </c>
      <c r="B434">
        <v>2015</v>
      </c>
      <c r="C434">
        <v>9</v>
      </c>
      <c r="D434">
        <v>28.99</v>
      </c>
      <c r="E434">
        <v>125.5</v>
      </c>
      <c r="F434">
        <v>0.23</v>
      </c>
      <c r="G434" t="s">
        <v>15</v>
      </c>
      <c r="H434">
        <v>2</v>
      </c>
    </row>
    <row r="435" spans="1:8" x14ac:dyDescent="0.25">
      <c r="A435" t="s">
        <v>1202</v>
      </c>
      <c r="B435">
        <v>2015</v>
      </c>
      <c r="C435">
        <v>9</v>
      </c>
      <c r="D435">
        <v>29.48</v>
      </c>
      <c r="E435">
        <v>141</v>
      </c>
      <c r="F435">
        <v>0.2</v>
      </c>
      <c r="G435" t="s">
        <v>15</v>
      </c>
      <c r="H435">
        <v>2</v>
      </c>
    </row>
    <row r="436" spans="1:8" x14ac:dyDescent="0.25">
      <c r="A436" t="s">
        <v>1021</v>
      </c>
      <c r="B436">
        <v>2015</v>
      </c>
      <c r="C436">
        <v>10</v>
      </c>
      <c r="D436">
        <v>110.59</v>
      </c>
      <c r="E436">
        <v>182</v>
      </c>
      <c r="F436">
        <v>0.6</v>
      </c>
      <c r="G436" t="s">
        <v>6</v>
      </c>
      <c r="H436">
        <v>3</v>
      </c>
    </row>
    <row r="437" spans="1:8" x14ac:dyDescent="0.25">
      <c r="A437" t="s">
        <v>1188</v>
      </c>
      <c r="B437">
        <v>2015</v>
      </c>
      <c r="C437">
        <v>10</v>
      </c>
      <c r="D437">
        <v>51.39</v>
      </c>
      <c r="E437">
        <v>142</v>
      </c>
      <c r="F437">
        <v>0.36</v>
      </c>
      <c r="G437" t="s">
        <v>6</v>
      </c>
      <c r="H437">
        <v>3</v>
      </c>
    </row>
    <row r="438" spans="1:8" x14ac:dyDescent="0.25">
      <c r="A438" t="s">
        <v>1220</v>
      </c>
      <c r="B438">
        <v>2015</v>
      </c>
      <c r="C438">
        <v>10</v>
      </c>
      <c r="D438">
        <v>2.69</v>
      </c>
      <c r="E438">
        <v>15.5</v>
      </c>
      <c r="F438">
        <v>0.17</v>
      </c>
      <c r="G438" t="s">
        <v>6</v>
      </c>
      <c r="H438">
        <v>3</v>
      </c>
    </row>
    <row r="439" spans="1:8" x14ac:dyDescent="0.25">
      <c r="A439" t="s">
        <v>1227</v>
      </c>
      <c r="B439">
        <v>2015</v>
      </c>
      <c r="C439">
        <v>10</v>
      </c>
      <c r="D439">
        <v>0.36</v>
      </c>
      <c r="E439">
        <v>5.5</v>
      </c>
      <c r="F439">
        <v>0.06</v>
      </c>
      <c r="G439" t="s">
        <v>6</v>
      </c>
      <c r="H439">
        <v>3</v>
      </c>
    </row>
    <row r="440" spans="1:8" x14ac:dyDescent="0.25">
      <c r="A440" t="s">
        <v>1203</v>
      </c>
      <c r="B440">
        <v>2015</v>
      </c>
      <c r="C440">
        <v>10</v>
      </c>
      <c r="D440">
        <v>47.15</v>
      </c>
      <c r="E440">
        <v>157.5</v>
      </c>
      <c r="F440">
        <v>0.28999999999999998</v>
      </c>
      <c r="G440" t="s">
        <v>6</v>
      </c>
      <c r="H440">
        <v>3</v>
      </c>
    </row>
    <row r="441" spans="1:8" x14ac:dyDescent="0.25">
      <c r="A441" t="s">
        <v>1229</v>
      </c>
      <c r="B441">
        <v>2015</v>
      </c>
      <c r="C441">
        <v>10</v>
      </c>
      <c r="D441">
        <v>8.65</v>
      </c>
      <c r="E441">
        <v>55.5</v>
      </c>
      <c r="F441">
        <v>0.15</v>
      </c>
      <c r="G441" t="s">
        <v>6</v>
      </c>
      <c r="H441">
        <v>3</v>
      </c>
    </row>
    <row r="442" spans="1:8" x14ac:dyDescent="0.25">
      <c r="A442" t="s">
        <v>1195</v>
      </c>
      <c r="B442">
        <v>2015</v>
      </c>
      <c r="C442">
        <v>10</v>
      </c>
      <c r="D442">
        <v>36.74</v>
      </c>
      <c r="E442">
        <v>101</v>
      </c>
      <c r="F442">
        <v>0.36</v>
      </c>
      <c r="G442" t="s">
        <v>6</v>
      </c>
      <c r="H442">
        <v>3</v>
      </c>
    </row>
    <row r="443" spans="1:8" x14ac:dyDescent="0.25">
      <c r="A443" t="s">
        <v>1226</v>
      </c>
      <c r="B443">
        <v>2015</v>
      </c>
      <c r="C443">
        <v>10</v>
      </c>
      <c r="D443">
        <v>3.32</v>
      </c>
      <c r="E443">
        <v>35.5</v>
      </c>
      <c r="F443">
        <v>0.09</v>
      </c>
      <c r="G443" t="s">
        <v>6</v>
      </c>
      <c r="H443">
        <v>3</v>
      </c>
    </row>
    <row r="444" spans="1:8" x14ac:dyDescent="0.25">
      <c r="A444" t="s">
        <v>1223</v>
      </c>
      <c r="B444">
        <v>2015</v>
      </c>
      <c r="C444">
        <v>10</v>
      </c>
      <c r="D444">
        <v>27.55</v>
      </c>
      <c r="E444">
        <v>90</v>
      </c>
      <c r="F444">
        <v>0.3</v>
      </c>
      <c r="G444" t="s">
        <v>6</v>
      </c>
      <c r="H444">
        <v>3</v>
      </c>
    </row>
    <row r="445" spans="1:8" x14ac:dyDescent="0.25">
      <c r="A445" t="s">
        <v>1017</v>
      </c>
      <c r="B445">
        <v>2015</v>
      </c>
      <c r="C445">
        <v>10</v>
      </c>
      <c r="D445">
        <v>165.88</v>
      </c>
      <c r="E445">
        <v>171.5</v>
      </c>
      <c r="F445">
        <v>0.96</v>
      </c>
      <c r="G445" t="s">
        <v>6</v>
      </c>
      <c r="H445">
        <v>3</v>
      </c>
    </row>
    <row r="446" spans="1:8" x14ac:dyDescent="0.25">
      <c r="A446" t="s">
        <v>1200</v>
      </c>
      <c r="B446">
        <v>2015</v>
      </c>
      <c r="C446">
        <v>10</v>
      </c>
      <c r="D446">
        <v>32.200000000000003</v>
      </c>
      <c r="E446">
        <v>49</v>
      </c>
      <c r="F446">
        <v>0.65</v>
      </c>
      <c r="G446" t="s">
        <v>6</v>
      </c>
      <c r="H446">
        <v>3</v>
      </c>
    </row>
    <row r="447" spans="1:8" x14ac:dyDescent="0.25">
      <c r="A447" t="s">
        <v>1190</v>
      </c>
      <c r="B447">
        <v>2015</v>
      </c>
      <c r="C447">
        <v>10</v>
      </c>
      <c r="D447">
        <v>49.95</v>
      </c>
      <c r="E447">
        <v>162</v>
      </c>
      <c r="F447">
        <v>0.3</v>
      </c>
      <c r="G447" t="s">
        <v>6</v>
      </c>
      <c r="H447">
        <v>3</v>
      </c>
    </row>
    <row r="448" spans="1:8" x14ac:dyDescent="0.25">
      <c r="A448" t="s">
        <v>1184</v>
      </c>
      <c r="B448">
        <v>2015</v>
      </c>
      <c r="C448">
        <v>10</v>
      </c>
      <c r="D448">
        <v>26.18</v>
      </c>
      <c r="E448">
        <v>106.5</v>
      </c>
      <c r="F448">
        <v>0.24</v>
      </c>
      <c r="G448" t="s">
        <v>6</v>
      </c>
      <c r="H448">
        <v>3</v>
      </c>
    </row>
    <row r="449" spans="1:8" x14ac:dyDescent="0.25">
      <c r="A449" t="s">
        <v>1201</v>
      </c>
      <c r="B449">
        <v>2015</v>
      </c>
      <c r="C449">
        <v>10</v>
      </c>
      <c r="D449">
        <v>81.25</v>
      </c>
      <c r="E449">
        <v>187.5</v>
      </c>
      <c r="F449">
        <v>0.43</v>
      </c>
      <c r="G449" t="s">
        <v>6</v>
      </c>
      <c r="H449">
        <v>3</v>
      </c>
    </row>
    <row r="450" spans="1:8" x14ac:dyDescent="0.25">
      <c r="A450" t="s">
        <v>1213</v>
      </c>
      <c r="B450">
        <v>2015</v>
      </c>
      <c r="C450">
        <v>10</v>
      </c>
      <c r="D450">
        <v>87.54</v>
      </c>
      <c r="E450">
        <v>156.5</v>
      </c>
      <c r="F450">
        <v>0.55000000000000004</v>
      </c>
      <c r="G450" t="s">
        <v>6</v>
      </c>
      <c r="H450">
        <v>3</v>
      </c>
    </row>
    <row r="451" spans="1:8" x14ac:dyDescent="0.25">
      <c r="A451" t="s">
        <v>1212</v>
      </c>
      <c r="B451">
        <v>2015</v>
      </c>
      <c r="C451">
        <v>10</v>
      </c>
      <c r="D451">
        <v>1.66</v>
      </c>
      <c r="E451">
        <v>20</v>
      </c>
      <c r="F451">
        <v>0.08</v>
      </c>
      <c r="G451" t="s">
        <v>6</v>
      </c>
      <c r="H451">
        <v>3</v>
      </c>
    </row>
    <row r="452" spans="1:8" x14ac:dyDescent="0.25">
      <c r="A452" t="s">
        <v>1214</v>
      </c>
      <c r="B452">
        <v>2015</v>
      </c>
      <c r="C452">
        <v>10</v>
      </c>
      <c r="D452">
        <v>0.44</v>
      </c>
      <c r="E452">
        <v>10</v>
      </c>
      <c r="F452">
        <v>0.04</v>
      </c>
      <c r="G452" t="s">
        <v>6</v>
      </c>
      <c r="H452">
        <v>3</v>
      </c>
    </row>
    <row r="453" spans="1:8" x14ac:dyDescent="0.25">
      <c r="A453" t="s">
        <v>1186</v>
      </c>
      <c r="B453">
        <v>2015</v>
      </c>
      <c r="C453">
        <v>10</v>
      </c>
      <c r="D453">
        <v>107.88</v>
      </c>
      <c r="E453">
        <v>197.5</v>
      </c>
      <c r="F453">
        <v>0.54</v>
      </c>
      <c r="G453" t="s">
        <v>6</v>
      </c>
      <c r="H453">
        <v>3</v>
      </c>
    </row>
    <row r="454" spans="1:8" x14ac:dyDescent="0.25">
      <c r="A454" t="s">
        <v>1196</v>
      </c>
      <c r="B454">
        <v>2015</v>
      </c>
      <c r="C454">
        <v>10</v>
      </c>
      <c r="D454">
        <v>45.9</v>
      </c>
      <c r="E454">
        <v>121</v>
      </c>
      <c r="F454">
        <v>0.37</v>
      </c>
      <c r="G454" t="s">
        <v>6</v>
      </c>
      <c r="H454">
        <v>3</v>
      </c>
    </row>
    <row r="455" spans="1:8" x14ac:dyDescent="0.25">
      <c r="A455" t="s">
        <v>1199</v>
      </c>
      <c r="B455">
        <v>2015</v>
      </c>
      <c r="C455">
        <v>10</v>
      </c>
      <c r="D455">
        <v>11.92</v>
      </c>
      <c r="E455">
        <v>20</v>
      </c>
      <c r="F455">
        <v>0.59</v>
      </c>
      <c r="G455" t="s">
        <v>6</v>
      </c>
      <c r="H455">
        <v>3</v>
      </c>
    </row>
    <row r="456" spans="1:8" x14ac:dyDescent="0.25">
      <c r="A456" t="s">
        <v>1185</v>
      </c>
      <c r="B456">
        <v>2015</v>
      </c>
      <c r="C456">
        <v>10</v>
      </c>
      <c r="D456">
        <v>28.52</v>
      </c>
      <c r="E456">
        <v>122</v>
      </c>
      <c r="F456">
        <v>0.23</v>
      </c>
      <c r="G456" t="s">
        <v>6</v>
      </c>
      <c r="H456">
        <v>3</v>
      </c>
    </row>
    <row r="457" spans="1:8" x14ac:dyDescent="0.25">
      <c r="A457" t="s">
        <v>1209</v>
      </c>
      <c r="B457">
        <v>2015</v>
      </c>
      <c r="C457">
        <v>10</v>
      </c>
      <c r="D457">
        <v>24.88</v>
      </c>
      <c r="E457">
        <v>81</v>
      </c>
      <c r="F457">
        <v>0.3</v>
      </c>
      <c r="G457" t="s">
        <v>6</v>
      </c>
      <c r="H457">
        <v>3</v>
      </c>
    </row>
    <row r="458" spans="1:8" x14ac:dyDescent="0.25">
      <c r="A458" t="s">
        <v>1010</v>
      </c>
      <c r="B458">
        <v>2015</v>
      </c>
      <c r="C458">
        <v>10</v>
      </c>
      <c r="D458">
        <v>272.52</v>
      </c>
      <c r="E458">
        <v>192</v>
      </c>
      <c r="F458">
        <v>1.41</v>
      </c>
      <c r="G458" t="s">
        <v>6</v>
      </c>
      <c r="H458">
        <v>3</v>
      </c>
    </row>
    <row r="459" spans="1:8" x14ac:dyDescent="0.25">
      <c r="A459" t="s">
        <v>1206</v>
      </c>
      <c r="B459">
        <v>2015</v>
      </c>
      <c r="C459">
        <v>10</v>
      </c>
      <c r="D459">
        <v>22.8</v>
      </c>
      <c r="E459">
        <v>50</v>
      </c>
      <c r="F459">
        <v>0.45</v>
      </c>
      <c r="G459" t="s">
        <v>6</v>
      </c>
      <c r="H459">
        <v>3</v>
      </c>
    </row>
    <row r="460" spans="1:8" x14ac:dyDescent="0.25">
      <c r="A460" t="s">
        <v>1217</v>
      </c>
      <c r="B460">
        <v>2015</v>
      </c>
      <c r="C460">
        <v>10</v>
      </c>
      <c r="D460">
        <v>17.12</v>
      </c>
      <c r="E460">
        <v>60</v>
      </c>
      <c r="F460">
        <v>0.28000000000000003</v>
      </c>
      <c r="G460" t="s">
        <v>6</v>
      </c>
      <c r="H460">
        <v>3</v>
      </c>
    </row>
    <row r="461" spans="1:8" x14ac:dyDescent="0.25">
      <c r="A461" t="s">
        <v>1189</v>
      </c>
      <c r="B461">
        <v>2015</v>
      </c>
      <c r="C461">
        <v>10</v>
      </c>
      <c r="D461">
        <v>74.510000000000005</v>
      </c>
      <c r="E461">
        <v>176.5</v>
      </c>
      <c r="F461">
        <v>0.42</v>
      </c>
      <c r="G461" t="s">
        <v>6</v>
      </c>
      <c r="H461">
        <v>3</v>
      </c>
    </row>
    <row r="462" spans="1:8" x14ac:dyDescent="0.25">
      <c r="A462" t="s">
        <v>1211</v>
      </c>
      <c r="B462">
        <v>2015</v>
      </c>
      <c r="C462">
        <v>10</v>
      </c>
      <c r="D462">
        <v>16.239999999999998</v>
      </c>
      <c r="E462">
        <v>76.5</v>
      </c>
      <c r="F462">
        <v>0.21</v>
      </c>
      <c r="G462" t="s">
        <v>6</v>
      </c>
      <c r="H462">
        <v>3</v>
      </c>
    </row>
    <row r="463" spans="1:8" x14ac:dyDescent="0.25">
      <c r="A463" t="s">
        <v>1198</v>
      </c>
      <c r="B463">
        <v>2015</v>
      </c>
      <c r="C463">
        <v>10</v>
      </c>
      <c r="D463">
        <v>50.69</v>
      </c>
      <c r="E463">
        <v>166.5</v>
      </c>
      <c r="F463">
        <v>0.3</v>
      </c>
      <c r="G463" t="s">
        <v>6</v>
      </c>
      <c r="H463">
        <v>3</v>
      </c>
    </row>
    <row r="464" spans="1:8" x14ac:dyDescent="0.25">
      <c r="A464" t="s">
        <v>1228</v>
      </c>
      <c r="B464">
        <v>2015</v>
      </c>
      <c r="C464">
        <v>10</v>
      </c>
      <c r="D464">
        <v>5.45</v>
      </c>
      <c r="E464">
        <v>20</v>
      </c>
      <c r="F464">
        <v>0.27</v>
      </c>
      <c r="G464" t="s">
        <v>6</v>
      </c>
      <c r="H464">
        <v>3</v>
      </c>
    </row>
    <row r="465" spans="1:8" x14ac:dyDescent="0.25">
      <c r="A465" t="s">
        <v>1018</v>
      </c>
      <c r="B465">
        <v>2015</v>
      </c>
      <c r="C465">
        <v>10</v>
      </c>
      <c r="D465">
        <v>135.94</v>
      </c>
      <c r="E465">
        <v>197.5</v>
      </c>
      <c r="F465">
        <v>0.68</v>
      </c>
      <c r="G465" t="s">
        <v>6</v>
      </c>
      <c r="H465">
        <v>3</v>
      </c>
    </row>
    <row r="466" spans="1:8" x14ac:dyDescent="0.25">
      <c r="A466" t="s">
        <v>1193</v>
      </c>
      <c r="B466">
        <v>2015</v>
      </c>
      <c r="C466">
        <v>10</v>
      </c>
      <c r="D466">
        <v>146.99</v>
      </c>
      <c r="E466">
        <v>197.5</v>
      </c>
      <c r="F466">
        <v>0.74</v>
      </c>
      <c r="G466" t="s">
        <v>6</v>
      </c>
      <c r="H466">
        <v>3</v>
      </c>
    </row>
    <row r="467" spans="1:8" x14ac:dyDescent="0.25">
      <c r="A467" t="s">
        <v>1187</v>
      </c>
      <c r="B467">
        <v>2015</v>
      </c>
      <c r="C467">
        <v>10</v>
      </c>
      <c r="D467">
        <v>104.48</v>
      </c>
      <c r="E467">
        <v>171</v>
      </c>
      <c r="F467">
        <v>0.61</v>
      </c>
      <c r="G467" t="s">
        <v>6</v>
      </c>
      <c r="H467">
        <v>3</v>
      </c>
    </row>
    <row r="468" spans="1:8" x14ac:dyDescent="0.25">
      <c r="A468" t="s">
        <v>1222</v>
      </c>
      <c r="B468">
        <v>2015</v>
      </c>
      <c r="C468">
        <v>10</v>
      </c>
      <c r="D468">
        <v>174.96</v>
      </c>
      <c r="E468">
        <v>116.5</v>
      </c>
      <c r="F468">
        <v>1.5</v>
      </c>
      <c r="G468" t="s">
        <v>6</v>
      </c>
      <c r="H468">
        <v>3</v>
      </c>
    </row>
    <row r="469" spans="1:8" x14ac:dyDescent="0.25">
      <c r="A469" t="s">
        <v>1224</v>
      </c>
      <c r="B469">
        <v>2015</v>
      </c>
      <c r="C469">
        <v>10</v>
      </c>
      <c r="D469">
        <v>40.21</v>
      </c>
      <c r="E469">
        <v>91</v>
      </c>
      <c r="F469">
        <v>0.44</v>
      </c>
      <c r="G469" t="s">
        <v>6</v>
      </c>
      <c r="H469">
        <v>3</v>
      </c>
    </row>
    <row r="470" spans="1:8" x14ac:dyDescent="0.25">
      <c r="A470" t="s">
        <v>1232</v>
      </c>
      <c r="B470">
        <v>2015</v>
      </c>
      <c r="C470">
        <v>10</v>
      </c>
      <c r="D470">
        <v>20.93</v>
      </c>
      <c r="E470">
        <v>55.5</v>
      </c>
      <c r="F470">
        <v>0.37</v>
      </c>
      <c r="G470" t="s">
        <v>6</v>
      </c>
      <c r="H470">
        <v>3</v>
      </c>
    </row>
    <row r="471" spans="1:8" x14ac:dyDescent="0.25">
      <c r="A471" t="s">
        <v>1235</v>
      </c>
      <c r="B471">
        <v>2015</v>
      </c>
      <c r="C471">
        <v>10</v>
      </c>
      <c r="D471">
        <v>9.27</v>
      </c>
      <c r="E471">
        <v>25.5</v>
      </c>
      <c r="F471">
        <v>0.36</v>
      </c>
      <c r="G471" t="s">
        <v>6</v>
      </c>
      <c r="H471">
        <v>3</v>
      </c>
    </row>
    <row r="472" spans="1:8" x14ac:dyDescent="0.25">
      <c r="A472" t="s">
        <v>1025</v>
      </c>
      <c r="B472">
        <v>2015</v>
      </c>
      <c r="C472">
        <v>10</v>
      </c>
      <c r="D472">
        <v>195.62</v>
      </c>
      <c r="E472">
        <v>197.5</v>
      </c>
      <c r="F472">
        <v>0.99</v>
      </c>
      <c r="G472" t="s">
        <v>6</v>
      </c>
      <c r="H472">
        <v>3</v>
      </c>
    </row>
    <row r="473" spans="1:8" x14ac:dyDescent="0.25">
      <c r="A473" t="s">
        <v>1207</v>
      </c>
      <c r="B473">
        <v>2015</v>
      </c>
      <c r="C473">
        <v>10</v>
      </c>
      <c r="D473">
        <v>87.96</v>
      </c>
      <c r="E473">
        <v>187.5</v>
      </c>
      <c r="F473">
        <v>0.46</v>
      </c>
      <c r="G473" t="s">
        <v>6</v>
      </c>
      <c r="H473">
        <v>3</v>
      </c>
    </row>
    <row r="474" spans="1:8" x14ac:dyDescent="0.25">
      <c r="A474" t="s">
        <v>1205</v>
      </c>
      <c r="B474">
        <v>2015</v>
      </c>
      <c r="C474">
        <v>10</v>
      </c>
      <c r="D474">
        <v>19.22</v>
      </c>
      <c r="E474">
        <v>101</v>
      </c>
      <c r="F474">
        <v>0.19</v>
      </c>
      <c r="G474" t="s">
        <v>6</v>
      </c>
      <c r="H474">
        <v>3</v>
      </c>
    </row>
    <row r="475" spans="1:8" x14ac:dyDescent="0.25">
      <c r="A475" t="s">
        <v>1210</v>
      </c>
      <c r="B475">
        <v>2015</v>
      </c>
      <c r="C475">
        <v>10</v>
      </c>
      <c r="D475">
        <v>20.43</v>
      </c>
      <c r="E475">
        <v>92</v>
      </c>
      <c r="F475">
        <v>0.22</v>
      </c>
      <c r="G475" t="s">
        <v>6</v>
      </c>
      <c r="H475">
        <v>3</v>
      </c>
    </row>
    <row r="476" spans="1:8" x14ac:dyDescent="0.25">
      <c r="A476" t="s">
        <v>1233</v>
      </c>
      <c r="B476">
        <v>2015</v>
      </c>
      <c r="C476">
        <v>10</v>
      </c>
      <c r="D476">
        <v>2.1800000000000002</v>
      </c>
      <c r="E476">
        <v>20</v>
      </c>
      <c r="F476">
        <v>0.1</v>
      </c>
      <c r="G476" t="s">
        <v>6</v>
      </c>
      <c r="H476">
        <v>3</v>
      </c>
    </row>
    <row r="477" spans="1:8" x14ac:dyDescent="0.25">
      <c r="A477" t="s">
        <v>1191</v>
      </c>
      <c r="B477">
        <v>2015</v>
      </c>
      <c r="C477">
        <v>10</v>
      </c>
      <c r="D477">
        <v>11.84</v>
      </c>
      <c r="E477">
        <v>24.5</v>
      </c>
      <c r="F477">
        <v>0.48</v>
      </c>
      <c r="G477" t="s">
        <v>6</v>
      </c>
      <c r="H477">
        <v>3</v>
      </c>
    </row>
    <row r="478" spans="1:8" x14ac:dyDescent="0.25">
      <c r="A478" t="s">
        <v>1192</v>
      </c>
      <c r="B478">
        <v>2015</v>
      </c>
      <c r="C478">
        <v>10</v>
      </c>
      <c r="D478">
        <v>0.08</v>
      </c>
      <c r="E478">
        <v>15</v>
      </c>
      <c r="F478">
        <v>0</v>
      </c>
      <c r="G478" t="s">
        <v>6</v>
      </c>
      <c r="H478">
        <v>3</v>
      </c>
    </row>
    <row r="479" spans="1:8" x14ac:dyDescent="0.25">
      <c r="A479" t="s">
        <v>1194</v>
      </c>
      <c r="B479">
        <v>2015</v>
      </c>
      <c r="C479">
        <v>10</v>
      </c>
      <c r="D479">
        <v>67.819999999999993</v>
      </c>
      <c r="E479">
        <v>187.5</v>
      </c>
      <c r="F479">
        <v>0.36</v>
      </c>
      <c r="G479" t="s">
        <v>6</v>
      </c>
      <c r="H479">
        <v>3</v>
      </c>
    </row>
    <row r="480" spans="1:8" x14ac:dyDescent="0.25">
      <c r="A480" t="s">
        <v>1031</v>
      </c>
      <c r="B480">
        <v>2015</v>
      </c>
      <c r="C480">
        <v>10</v>
      </c>
      <c r="D480">
        <v>182.13</v>
      </c>
      <c r="E480">
        <v>197.5</v>
      </c>
      <c r="F480">
        <v>0.92</v>
      </c>
      <c r="G480" t="s">
        <v>6</v>
      </c>
      <c r="H480">
        <v>3</v>
      </c>
    </row>
    <row r="481" spans="1:8" x14ac:dyDescent="0.25">
      <c r="A481" t="s">
        <v>1204</v>
      </c>
      <c r="B481">
        <v>2015</v>
      </c>
      <c r="C481">
        <v>10</v>
      </c>
      <c r="D481">
        <v>9.8000000000000007</v>
      </c>
      <c r="E481">
        <v>95.5</v>
      </c>
      <c r="F481">
        <v>0.1</v>
      </c>
      <c r="G481" t="s">
        <v>6</v>
      </c>
      <c r="H481">
        <v>3</v>
      </c>
    </row>
    <row r="482" spans="1:8" x14ac:dyDescent="0.25">
      <c r="A482" t="s">
        <v>1208</v>
      </c>
      <c r="B482">
        <v>2015</v>
      </c>
      <c r="C482">
        <v>10</v>
      </c>
      <c r="D482">
        <v>14.81</v>
      </c>
      <c r="E482">
        <v>96.5</v>
      </c>
      <c r="F482">
        <v>0.15</v>
      </c>
      <c r="G482" t="s">
        <v>6</v>
      </c>
      <c r="H482">
        <v>3</v>
      </c>
    </row>
    <row r="483" spans="1:8" x14ac:dyDescent="0.25">
      <c r="A483" t="s">
        <v>1022</v>
      </c>
      <c r="B483">
        <v>2015</v>
      </c>
      <c r="C483">
        <v>10</v>
      </c>
      <c r="D483">
        <v>211.51</v>
      </c>
      <c r="E483">
        <v>187.5</v>
      </c>
      <c r="F483">
        <v>1.1200000000000001</v>
      </c>
      <c r="G483" t="s">
        <v>6</v>
      </c>
      <c r="H483">
        <v>3</v>
      </c>
    </row>
    <row r="484" spans="1:8" x14ac:dyDescent="0.25">
      <c r="A484" t="s">
        <v>1215</v>
      </c>
      <c r="B484">
        <v>2015</v>
      </c>
      <c r="C484">
        <v>10</v>
      </c>
      <c r="D484">
        <v>58.75</v>
      </c>
      <c r="E484">
        <v>166.5</v>
      </c>
      <c r="F484">
        <v>0.35</v>
      </c>
      <c r="G484" t="s">
        <v>6</v>
      </c>
      <c r="H484">
        <v>3</v>
      </c>
    </row>
    <row r="485" spans="1:8" x14ac:dyDescent="0.25">
      <c r="A485" t="s">
        <v>1216</v>
      </c>
      <c r="B485">
        <v>2015</v>
      </c>
      <c r="C485">
        <v>10</v>
      </c>
      <c r="D485">
        <v>279.06</v>
      </c>
      <c r="E485">
        <v>187.5</v>
      </c>
      <c r="F485">
        <v>1.48</v>
      </c>
      <c r="G485" t="s">
        <v>6</v>
      </c>
      <c r="H485">
        <v>3</v>
      </c>
    </row>
    <row r="486" spans="1:8" x14ac:dyDescent="0.25">
      <c r="A486" t="s">
        <v>1219</v>
      </c>
      <c r="B486">
        <v>2015</v>
      </c>
      <c r="C486">
        <v>10</v>
      </c>
      <c r="D486">
        <v>18.21</v>
      </c>
      <c r="E486">
        <v>105.5</v>
      </c>
      <c r="F486">
        <v>0.17</v>
      </c>
      <c r="G486" t="s">
        <v>6</v>
      </c>
      <c r="H486">
        <v>3</v>
      </c>
    </row>
    <row r="487" spans="1:8" x14ac:dyDescent="0.25">
      <c r="A487" t="s">
        <v>1218</v>
      </c>
      <c r="B487">
        <v>2015</v>
      </c>
      <c r="C487">
        <v>10</v>
      </c>
      <c r="D487">
        <v>17.739999999999998</v>
      </c>
      <c r="E487">
        <v>61</v>
      </c>
      <c r="F487">
        <v>0.28999999999999998</v>
      </c>
      <c r="G487" t="s">
        <v>6</v>
      </c>
      <c r="H487">
        <v>3</v>
      </c>
    </row>
    <row r="488" spans="1:8" x14ac:dyDescent="0.25">
      <c r="A488" t="s">
        <v>1221</v>
      </c>
      <c r="B488">
        <v>2015</v>
      </c>
      <c r="C488">
        <v>10</v>
      </c>
      <c r="D488">
        <v>8.32</v>
      </c>
      <c r="E488">
        <v>20</v>
      </c>
      <c r="F488">
        <v>0.41</v>
      </c>
      <c r="G488" t="s">
        <v>6</v>
      </c>
      <c r="H488">
        <v>3</v>
      </c>
    </row>
    <row r="489" spans="1:8" x14ac:dyDescent="0.25">
      <c r="A489" t="s">
        <v>1225</v>
      </c>
      <c r="B489">
        <v>2015</v>
      </c>
      <c r="C489">
        <v>10</v>
      </c>
      <c r="D489">
        <v>1.1200000000000001</v>
      </c>
      <c r="E489">
        <v>10</v>
      </c>
      <c r="F489">
        <v>0.11</v>
      </c>
      <c r="G489" t="s">
        <v>6</v>
      </c>
      <c r="H489">
        <v>3</v>
      </c>
    </row>
    <row r="490" spans="1:8" x14ac:dyDescent="0.25">
      <c r="A490" t="s">
        <v>1234</v>
      </c>
      <c r="B490">
        <v>2015</v>
      </c>
      <c r="C490">
        <v>10</v>
      </c>
      <c r="D490">
        <v>4.82</v>
      </c>
      <c r="E490">
        <v>20</v>
      </c>
      <c r="F490">
        <v>0.24</v>
      </c>
      <c r="G490" t="s">
        <v>6</v>
      </c>
      <c r="H490">
        <v>3</v>
      </c>
    </row>
    <row r="491" spans="1:8" x14ac:dyDescent="0.25">
      <c r="A491" t="s">
        <v>1197</v>
      </c>
      <c r="B491">
        <v>2015</v>
      </c>
      <c r="C491">
        <v>10</v>
      </c>
      <c r="D491">
        <v>20.52</v>
      </c>
      <c r="E491">
        <v>101</v>
      </c>
      <c r="F491">
        <v>0.2</v>
      </c>
      <c r="G491" t="s">
        <v>6</v>
      </c>
      <c r="H491">
        <v>3</v>
      </c>
    </row>
    <row r="492" spans="1:8" x14ac:dyDescent="0.25">
      <c r="A492" t="s">
        <v>1202</v>
      </c>
      <c r="B492">
        <v>2015</v>
      </c>
      <c r="C492">
        <v>10</v>
      </c>
      <c r="D492">
        <v>22.06</v>
      </c>
      <c r="E492">
        <v>116.5</v>
      </c>
      <c r="F492">
        <v>0.18</v>
      </c>
      <c r="G492" t="s">
        <v>6</v>
      </c>
      <c r="H492">
        <v>3</v>
      </c>
    </row>
    <row r="493" spans="1:8" x14ac:dyDescent="0.25">
      <c r="A493" t="s">
        <v>1021</v>
      </c>
      <c r="B493">
        <v>2015</v>
      </c>
      <c r="C493">
        <v>11</v>
      </c>
      <c r="D493">
        <v>115.17</v>
      </c>
      <c r="E493">
        <v>182</v>
      </c>
      <c r="F493">
        <v>0.63</v>
      </c>
      <c r="G493" t="s">
        <v>9</v>
      </c>
      <c r="H493">
        <v>4</v>
      </c>
    </row>
    <row r="494" spans="1:8" x14ac:dyDescent="0.25">
      <c r="A494" t="s">
        <v>1188</v>
      </c>
      <c r="B494">
        <v>2015</v>
      </c>
      <c r="C494">
        <v>11</v>
      </c>
      <c r="D494">
        <v>27.2</v>
      </c>
      <c r="E494">
        <v>55.5</v>
      </c>
      <c r="F494">
        <v>0.49</v>
      </c>
      <c r="G494" t="s">
        <v>9</v>
      </c>
      <c r="H494">
        <v>4</v>
      </c>
    </row>
    <row r="495" spans="1:8" x14ac:dyDescent="0.25">
      <c r="A495" t="s">
        <v>1203</v>
      </c>
      <c r="B495">
        <v>2015</v>
      </c>
      <c r="C495">
        <v>11</v>
      </c>
      <c r="D495">
        <v>44.64</v>
      </c>
      <c r="E495">
        <v>161</v>
      </c>
      <c r="F495">
        <v>0.27</v>
      </c>
      <c r="G495" t="s">
        <v>9</v>
      </c>
      <c r="H495">
        <v>4</v>
      </c>
    </row>
    <row r="496" spans="1:8" x14ac:dyDescent="0.25">
      <c r="A496" t="s">
        <v>1229</v>
      </c>
      <c r="B496">
        <v>2015</v>
      </c>
      <c r="C496">
        <v>11</v>
      </c>
      <c r="D496">
        <v>2.5299999999999998</v>
      </c>
      <c r="E496">
        <v>30</v>
      </c>
      <c r="F496">
        <v>0.08</v>
      </c>
      <c r="G496" t="s">
        <v>9</v>
      </c>
      <c r="H496">
        <v>4</v>
      </c>
    </row>
    <row r="497" spans="1:8" x14ac:dyDescent="0.25">
      <c r="A497" t="s">
        <v>1195</v>
      </c>
      <c r="B497">
        <v>2015</v>
      </c>
      <c r="C497">
        <v>11</v>
      </c>
      <c r="D497">
        <v>37.520000000000003</v>
      </c>
      <c r="E497">
        <v>111</v>
      </c>
      <c r="F497">
        <v>0.33</v>
      </c>
      <c r="G497" t="s">
        <v>9</v>
      </c>
      <c r="H497">
        <v>4</v>
      </c>
    </row>
    <row r="498" spans="1:8" x14ac:dyDescent="0.25">
      <c r="A498" t="s">
        <v>1226</v>
      </c>
      <c r="B498">
        <v>2015</v>
      </c>
      <c r="C498">
        <v>11</v>
      </c>
      <c r="D498">
        <v>5.77</v>
      </c>
      <c r="E498">
        <v>45.5</v>
      </c>
      <c r="F498">
        <v>0.12</v>
      </c>
      <c r="G498" t="s">
        <v>9</v>
      </c>
      <c r="H498">
        <v>4</v>
      </c>
    </row>
    <row r="499" spans="1:8" x14ac:dyDescent="0.25">
      <c r="A499" t="s">
        <v>1223</v>
      </c>
      <c r="B499">
        <v>2015</v>
      </c>
      <c r="C499">
        <v>11</v>
      </c>
      <c r="D499">
        <v>12.86</v>
      </c>
      <c r="E499">
        <v>51</v>
      </c>
      <c r="F499">
        <v>0.25</v>
      </c>
      <c r="G499" t="s">
        <v>9</v>
      </c>
      <c r="H499">
        <v>4</v>
      </c>
    </row>
    <row r="500" spans="1:8" x14ac:dyDescent="0.25">
      <c r="A500" t="s">
        <v>1017</v>
      </c>
      <c r="B500">
        <v>2015</v>
      </c>
      <c r="C500">
        <v>11</v>
      </c>
      <c r="D500">
        <v>62.28</v>
      </c>
      <c r="E500">
        <v>122.5</v>
      </c>
      <c r="F500">
        <v>0.5</v>
      </c>
      <c r="G500" t="s">
        <v>9</v>
      </c>
      <c r="H500">
        <v>4</v>
      </c>
    </row>
    <row r="501" spans="1:8" x14ac:dyDescent="0.25">
      <c r="A501" t="s">
        <v>1200</v>
      </c>
      <c r="B501">
        <v>2015</v>
      </c>
      <c r="C501">
        <v>11</v>
      </c>
      <c r="D501">
        <v>16.57</v>
      </c>
      <c r="E501">
        <v>73.5</v>
      </c>
      <c r="F501">
        <v>0.22</v>
      </c>
      <c r="G501" t="s">
        <v>9</v>
      </c>
      <c r="H501">
        <v>4</v>
      </c>
    </row>
    <row r="502" spans="1:8" x14ac:dyDescent="0.25">
      <c r="A502" t="s">
        <v>1190</v>
      </c>
      <c r="B502">
        <v>2015</v>
      </c>
      <c r="C502">
        <v>11</v>
      </c>
      <c r="D502">
        <v>69.2</v>
      </c>
      <c r="E502">
        <v>166.5</v>
      </c>
      <c r="F502">
        <v>0.41</v>
      </c>
      <c r="G502" t="s">
        <v>9</v>
      </c>
      <c r="H502">
        <v>4</v>
      </c>
    </row>
    <row r="503" spans="1:8" x14ac:dyDescent="0.25">
      <c r="A503" t="s">
        <v>1184</v>
      </c>
      <c r="B503">
        <v>2015</v>
      </c>
      <c r="C503">
        <v>11</v>
      </c>
      <c r="D503">
        <v>18.13</v>
      </c>
      <c r="E503">
        <v>135.5</v>
      </c>
      <c r="F503">
        <v>0.13</v>
      </c>
      <c r="G503" t="s">
        <v>9</v>
      </c>
      <c r="H503">
        <v>4</v>
      </c>
    </row>
    <row r="504" spans="1:8" x14ac:dyDescent="0.25">
      <c r="A504" t="s">
        <v>1201</v>
      </c>
      <c r="B504">
        <v>2015</v>
      </c>
      <c r="C504">
        <v>11</v>
      </c>
      <c r="D504">
        <v>104.7</v>
      </c>
      <c r="E504">
        <v>166.5</v>
      </c>
      <c r="F504">
        <v>0.62</v>
      </c>
      <c r="G504" t="s">
        <v>9</v>
      </c>
      <c r="H504">
        <v>4</v>
      </c>
    </row>
    <row r="505" spans="1:8" x14ac:dyDescent="0.25">
      <c r="A505" t="s">
        <v>1213</v>
      </c>
      <c r="B505">
        <v>2015</v>
      </c>
      <c r="C505">
        <v>11</v>
      </c>
      <c r="D505">
        <v>2.37</v>
      </c>
      <c r="E505">
        <v>75.5</v>
      </c>
      <c r="F505">
        <v>0.03</v>
      </c>
      <c r="G505" t="s">
        <v>9</v>
      </c>
      <c r="H505">
        <v>4</v>
      </c>
    </row>
    <row r="506" spans="1:8" x14ac:dyDescent="0.25">
      <c r="A506" t="s">
        <v>1212</v>
      </c>
      <c r="B506">
        <v>2015</v>
      </c>
      <c r="C506">
        <v>11</v>
      </c>
      <c r="D506">
        <v>29.38</v>
      </c>
      <c r="E506">
        <v>95.5</v>
      </c>
      <c r="F506">
        <v>0.3</v>
      </c>
      <c r="G506" t="s">
        <v>9</v>
      </c>
      <c r="H506">
        <v>4</v>
      </c>
    </row>
    <row r="507" spans="1:8" x14ac:dyDescent="0.25">
      <c r="A507" t="s">
        <v>1186</v>
      </c>
      <c r="B507">
        <v>2015</v>
      </c>
      <c r="C507">
        <v>11</v>
      </c>
      <c r="D507">
        <v>101.12</v>
      </c>
      <c r="E507">
        <v>182</v>
      </c>
      <c r="F507">
        <v>0.55000000000000004</v>
      </c>
      <c r="G507" t="s">
        <v>9</v>
      </c>
      <c r="H507">
        <v>4</v>
      </c>
    </row>
    <row r="508" spans="1:8" x14ac:dyDescent="0.25">
      <c r="A508" t="s">
        <v>1196</v>
      </c>
      <c r="B508">
        <v>2015</v>
      </c>
      <c r="C508">
        <v>11</v>
      </c>
      <c r="D508">
        <v>24.68</v>
      </c>
      <c r="E508">
        <v>85.5</v>
      </c>
      <c r="F508">
        <v>0.28000000000000003</v>
      </c>
      <c r="G508" t="s">
        <v>9</v>
      </c>
      <c r="H508">
        <v>4</v>
      </c>
    </row>
    <row r="509" spans="1:8" x14ac:dyDescent="0.25">
      <c r="A509" t="s">
        <v>1199</v>
      </c>
      <c r="B509">
        <v>2015</v>
      </c>
      <c r="C509">
        <v>11</v>
      </c>
      <c r="D509">
        <v>49.21</v>
      </c>
      <c r="E509">
        <v>125.5</v>
      </c>
      <c r="F509">
        <v>0.39</v>
      </c>
      <c r="G509" t="s">
        <v>9</v>
      </c>
      <c r="H509">
        <v>4</v>
      </c>
    </row>
    <row r="510" spans="1:8" x14ac:dyDescent="0.25">
      <c r="A510" t="s">
        <v>1185</v>
      </c>
      <c r="B510">
        <v>2015</v>
      </c>
      <c r="C510">
        <v>11</v>
      </c>
      <c r="D510">
        <v>28.46</v>
      </c>
      <c r="E510">
        <v>135.5</v>
      </c>
      <c r="F510">
        <v>0.21</v>
      </c>
      <c r="G510" t="s">
        <v>9</v>
      </c>
      <c r="H510">
        <v>4</v>
      </c>
    </row>
    <row r="511" spans="1:8" x14ac:dyDescent="0.25">
      <c r="A511" t="s">
        <v>1209</v>
      </c>
      <c r="B511">
        <v>2015</v>
      </c>
      <c r="C511">
        <v>11</v>
      </c>
      <c r="D511">
        <v>27.32</v>
      </c>
      <c r="E511">
        <v>86.5</v>
      </c>
      <c r="F511">
        <v>0.31</v>
      </c>
      <c r="G511" t="s">
        <v>9</v>
      </c>
      <c r="H511">
        <v>4</v>
      </c>
    </row>
    <row r="512" spans="1:8" x14ac:dyDescent="0.25">
      <c r="A512" t="s">
        <v>1010</v>
      </c>
      <c r="B512">
        <v>2015</v>
      </c>
      <c r="C512">
        <v>11</v>
      </c>
      <c r="D512">
        <v>231.92</v>
      </c>
      <c r="E512">
        <v>182</v>
      </c>
      <c r="F512">
        <v>1.27</v>
      </c>
      <c r="G512" t="s">
        <v>9</v>
      </c>
      <c r="H512">
        <v>4</v>
      </c>
    </row>
    <row r="513" spans="1:8" x14ac:dyDescent="0.25">
      <c r="A513" t="s">
        <v>1206</v>
      </c>
      <c r="B513">
        <v>2015</v>
      </c>
      <c r="C513">
        <v>11</v>
      </c>
      <c r="D513">
        <v>5.65</v>
      </c>
      <c r="E513">
        <v>40</v>
      </c>
      <c r="F513">
        <v>0.14000000000000001</v>
      </c>
      <c r="G513" t="s">
        <v>9</v>
      </c>
      <c r="H513">
        <v>4</v>
      </c>
    </row>
    <row r="514" spans="1:8" x14ac:dyDescent="0.25">
      <c r="A514" t="s">
        <v>1217</v>
      </c>
      <c r="B514">
        <v>2015</v>
      </c>
      <c r="C514">
        <v>11</v>
      </c>
      <c r="D514">
        <v>10.33</v>
      </c>
      <c r="E514">
        <v>30</v>
      </c>
      <c r="F514">
        <v>0.34</v>
      </c>
      <c r="G514" t="s">
        <v>9</v>
      </c>
      <c r="H514">
        <v>4</v>
      </c>
    </row>
    <row r="515" spans="1:8" x14ac:dyDescent="0.25">
      <c r="A515" t="s">
        <v>1189</v>
      </c>
      <c r="B515">
        <v>2015</v>
      </c>
      <c r="C515">
        <v>11</v>
      </c>
      <c r="D515">
        <v>109.74</v>
      </c>
      <c r="E515">
        <v>166.5</v>
      </c>
      <c r="F515">
        <v>0.65</v>
      </c>
      <c r="G515" t="s">
        <v>9</v>
      </c>
      <c r="H515">
        <v>4</v>
      </c>
    </row>
    <row r="516" spans="1:8" x14ac:dyDescent="0.25">
      <c r="A516" t="s">
        <v>1237</v>
      </c>
      <c r="B516">
        <v>2015</v>
      </c>
      <c r="C516">
        <v>11</v>
      </c>
      <c r="D516">
        <v>0.69</v>
      </c>
      <c r="E516">
        <v>20</v>
      </c>
      <c r="F516">
        <v>0.03</v>
      </c>
      <c r="G516" t="s">
        <v>9</v>
      </c>
      <c r="H516">
        <v>4</v>
      </c>
    </row>
    <row r="517" spans="1:8" x14ac:dyDescent="0.25">
      <c r="A517" t="s">
        <v>1211</v>
      </c>
      <c r="B517">
        <v>2015</v>
      </c>
      <c r="C517">
        <v>11</v>
      </c>
      <c r="D517">
        <v>14.74</v>
      </c>
      <c r="E517">
        <v>65.5</v>
      </c>
      <c r="F517">
        <v>0.22</v>
      </c>
      <c r="G517" t="s">
        <v>9</v>
      </c>
      <c r="H517">
        <v>4</v>
      </c>
    </row>
    <row r="518" spans="1:8" x14ac:dyDescent="0.25">
      <c r="A518" t="s">
        <v>1198</v>
      </c>
      <c r="B518">
        <v>2015</v>
      </c>
      <c r="C518">
        <v>11</v>
      </c>
      <c r="D518">
        <v>57.59</v>
      </c>
      <c r="E518">
        <v>146.5</v>
      </c>
      <c r="F518">
        <v>0.39</v>
      </c>
      <c r="G518" t="s">
        <v>9</v>
      </c>
      <c r="H518">
        <v>4</v>
      </c>
    </row>
    <row r="519" spans="1:8" x14ac:dyDescent="0.25">
      <c r="A519" t="s">
        <v>1228</v>
      </c>
      <c r="B519">
        <v>2015</v>
      </c>
      <c r="C519">
        <v>11</v>
      </c>
      <c r="D519">
        <v>2.21</v>
      </c>
      <c r="E519">
        <v>30</v>
      </c>
      <c r="F519">
        <v>7.0000000000000007E-2</v>
      </c>
      <c r="G519" t="s">
        <v>9</v>
      </c>
      <c r="H519">
        <v>4</v>
      </c>
    </row>
    <row r="520" spans="1:8" x14ac:dyDescent="0.25">
      <c r="A520" t="s">
        <v>1230</v>
      </c>
      <c r="B520">
        <v>2015</v>
      </c>
      <c r="C520">
        <v>11</v>
      </c>
      <c r="D520">
        <v>0.08</v>
      </c>
      <c r="E520">
        <v>10</v>
      </c>
      <c r="F520">
        <v>0</v>
      </c>
      <c r="G520" t="s">
        <v>9</v>
      </c>
      <c r="H520">
        <v>4</v>
      </c>
    </row>
    <row r="521" spans="1:8" x14ac:dyDescent="0.25">
      <c r="A521" t="s">
        <v>1018</v>
      </c>
      <c r="B521">
        <v>2015</v>
      </c>
      <c r="C521">
        <v>11</v>
      </c>
      <c r="D521">
        <v>446.34</v>
      </c>
      <c r="E521">
        <v>182</v>
      </c>
      <c r="F521">
        <v>2.4500000000000002</v>
      </c>
      <c r="G521" t="s">
        <v>9</v>
      </c>
      <c r="H521">
        <v>4</v>
      </c>
    </row>
    <row r="522" spans="1:8" x14ac:dyDescent="0.25">
      <c r="A522" t="s">
        <v>1193</v>
      </c>
      <c r="B522">
        <v>2015</v>
      </c>
      <c r="C522">
        <v>11</v>
      </c>
      <c r="D522">
        <v>36.22</v>
      </c>
      <c r="E522">
        <v>121</v>
      </c>
      <c r="F522">
        <v>0.28999999999999998</v>
      </c>
      <c r="G522" t="s">
        <v>9</v>
      </c>
      <c r="H522">
        <v>4</v>
      </c>
    </row>
    <row r="523" spans="1:8" x14ac:dyDescent="0.25">
      <c r="A523" t="s">
        <v>1187</v>
      </c>
      <c r="B523">
        <v>2015</v>
      </c>
      <c r="C523">
        <v>11</v>
      </c>
      <c r="D523">
        <v>63.42</v>
      </c>
      <c r="E523">
        <v>146.5</v>
      </c>
      <c r="F523">
        <v>0.43</v>
      </c>
      <c r="G523" t="s">
        <v>9</v>
      </c>
      <c r="H523">
        <v>4</v>
      </c>
    </row>
    <row r="524" spans="1:8" x14ac:dyDescent="0.25">
      <c r="A524" t="s">
        <v>1222</v>
      </c>
      <c r="B524">
        <v>2015</v>
      </c>
      <c r="C524">
        <v>11</v>
      </c>
      <c r="D524">
        <v>54.3</v>
      </c>
      <c r="E524">
        <v>91</v>
      </c>
      <c r="F524">
        <v>0.59</v>
      </c>
      <c r="G524" t="s">
        <v>9</v>
      </c>
      <c r="H524">
        <v>4</v>
      </c>
    </row>
    <row r="525" spans="1:8" x14ac:dyDescent="0.25">
      <c r="A525" t="s">
        <v>1224</v>
      </c>
      <c r="B525">
        <v>2015</v>
      </c>
      <c r="C525">
        <v>11</v>
      </c>
      <c r="D525">
        <v>9.3000000000000007</v>
      </c>
      <c r="E525">
        <v>65.5</v>
      </c>
      <c r="F525">
        <v>0.14000000000000001</v>
      </c>
      <c r="G525" t="s">
        <v>9</v>
      </c>
      <c r="H525">
        <v>4</v>
      </c>
    </row>
    <row r="526" spans="1:8" x14ac:dyDescent="0.25">
      <c r="A526" t="s">
        <v>1232</v>
      </c>
      <c r="B526">
        <v>2015</v>
      </c>
      <c r="C526">
        <v>11</v>
      </c>
      <c r="D526">
        <v>14.42</v>
      </c>
      <c r="E526">
        <v>61</v>
      </c>
      <c r="F526">
        <v>0.23</v>
      </c>
      <c r="G526" t="s">
        <v>9</v>
      </c>
      <c r="H526">
        <v>4</v>
      </c>
    </row>
    <row r="527" spans="1:8" x14ac:dyDescent="0.25">
      <c r="A527" t="s">
        <v>1235</v>
      </c>
      <c r="B527">
        <v>2015</v>
      </c>
      <c r="C527">
        <v>11</v>
      </c>
      <c r="D527">
        <v>0</v>
      </c>
      <c r="E527">
        <v>10</v>
      </c>
      <c r="F527">
        <v>0</v>
      </c>
      <c r="G527" t="s">
        <v>9</v>
      </c>
      <c r="H527">
        <v>4</v>
      </c>
    </row>
    <row r="528" spans="1:8" x14ac:dyDescent="0.25">
      <c r="A528" t="s">
        <v>1025</v>
      </c>
      <c r="B528">
        <v>2015</v>
      </c>
      <c r="C528">
        <v>11</v>
      </c>
      <c r="D528">
        <v>176.98</v>
      </c>
      <c r="E528">
        <v>182</v>
      </c>
      <c r="F528">
        <v>0.97</v>
      </c>
      <c r="G528" t="s">
        <v>9</v>
      </c>
      <c r="H528">
        <v>4</v>
      </c>
    </row>
    <row r="529" spans="1:8" x14ac:dyDescent="0.25">
      <c r="A529" t="s">
        <v>1207</v>
      </c>
      <c r="B529">
        <v>2015</v>
      </c>
      <c r="C529">
        <v>11</v>
      </c>
      <c r="D529">
        <v>86.19</v>
      </c>
      <c r="E529">
        <v>152</v>
      </c>
      <c r="F529">
        <v>0.56000000000000005</v>
      </c>
      <c r="G529" t="s">
        <v>9</v>
      </c>
      <c r="H529">
        <v>4</v>
      </c>
    </row>
    <row r="530" spans="1:8" x14ac:dyDescent="0.25">
      <c r="A530" t="s">
        <v>1205</v>
      </c>
      <c r="B530">
        <v>2015</v>
      </c>
      <c r="C530">
        <v>11</v>
      </c>
      <c r="D530">
        <v>35.83</v>
      </c>
      <c r="E530">
        <v>116.5</v>
      </c>
      <c r="F530">
        <v>0.3</v>
      </c>
      <c r="G530" t="s">
        <v>9</v>
      </c>
      <c r="H530">
        <v>4</v>
      </c>
    </row>
    <row r="531" spans="1:8" x14ac:dyDescent="0.25">
      <c r="A531" t="s">
        <v>1238</v>
      </c>
      <c r="B531">
        <v>2015</v>
      </c>
      <c r="C531">
        <v>11</v>
      </c>
      <c r="D531">
        <v>2.96</v>
      </c>
      <c r="E531">
        <v>10</v>
      </c>
      <c r="F531">
        <v>0.28999999999999998</v>
      </c>
      <c r="G531" t="s">
        <v>9</v>
      </c>
      <c r="H531">
        <v>4</v>
      </c>
    </row>
    <row r="532" spans="1:8" x14ac:dyDescent="0.25">
      <c r="A532" t="s">
        <v>1210</v>
      </c>
      <c r="B532">
        <v>2015</v>
      </c>
      <c r="C532">
        <v>11</v>
      </c>
      <c r="D532">
        <v>64.81</v>
      </c>
      <c r="E532">
        <v>81</v>
      </c>
      <c r="F532">
        <v>0.8</v>
      </c>
      <c r="G532" t="s">
        <v>9</v>
      </c>
      <c r="H532">
        <v>4</v>
      </c>
    </row>
    <row r="533" spans="1:8" x14ac:dyDescent="0.25">
      <c r="A533" t="s">
        <v>1233</v>
      </c>
      <c r="B533">
        <v>2015</v>
      </c>
      <c r="C533">
        <v>11</v>
      </c>
      <c r="D533">
        <v>1.22</v>
      </c>
      <c r="E533">
        <v>20</v>
      </c>
      <c r="F533">
        <v>0.06</v>
      </c>
      <c r="G533" t="s">
        <v>9</v>
      </c>
      <c r="H533">
        <v>4</v>
      </c>
    </row>
    <row r="534" spans="1:8" x14ac:dyDescent="0.25">
      <c r="A534" t="s">
        <v>1191</v>
      </c>
      <c r="B534">
        <v>2015</v>
      </c>
      <c r="C534">
        <v>11</v>
      </c>
      <c r="D534">
        <v>12.6</v>
      </c>
      <c r="E534">
        <v>45</v>
      </c>
      <c r="F534">
        <v>0.28000000000000003</v>
      </c>
      <c r="G534" t="s">
        <v>9</v>
      </c>
      <c r="H534">
        <v>4</v>
      </c>
    </row>
    <row r="535" spans="1:8" x14ac:dyDescent="0.25">
      <c r="A535" t="s">
        <v>1192</v>
      </c>
      <c r="B535">
        <v>2015</v>
      </c>
      <c r="C535">
        <v>11</v>
      </c>
      <c r="D535">
        <v>2.71</v>
      </c>
      <c r="E535">
        <v>45</v>
      </c>
      <c r="F535">
        <v>0.06</v>
      </c>
      <c r="G535" t="s">
        <v>9</v>
      </c>
      <c r="H535">
        <v>4</v>
      </c>
    </row>
    <row r="536" spans="1:8" x14ac:dyDescent="0.25">
      <c r="A536" t="s">
        <v>1194</v>
      </c>
      <c r="B536">
        <v>2015</v>
      </c>
      <c r="C536">
        <v>11</v>
      </c>
      <c r="D536">
        <v>105.19</v>
      </c>
      <c r="E536">
        <v>152</v>
      </c>
      <c r="F536">
        <v>0.69</v>
      </c>
      <c r="G536" t="s">
        <v>9</v>
      </c>
      <c r="H536">
        <v>4</v>
      </c>
    </row>
    <row r="537" spans="1:8" x14ac:dyDescent="0.25">
      <c r="A537" t="s">
        <v>1031</v>
      </c>
      <c r="B537">
        <v>2015</v>
      </c>
      <c r="C537">
        <v>11</v>
      </c>
      <c r="D537">
        <v>190.65</v>
      </c>
      <c r="E537">
        <v>176.5</v>
      </c>
      <c r="F537">
        <v>1.08</v>
      </c>
      <c r="G537" t="s">
        <v>9</v>
      </c>
      <c r="H537">
        <v>4</v>
      </c>
    </row>
    <row r="538" spans="1:8" x14ac:dyDescent="0.25">
      <c r="A538" t="s">
        <v>1204</v>
      </c>
      <c r="B538">
        <v>2015</v>
      </c>
      <c r="C538">
        <v>11</v>
      </c>
      <c r="D538">
        <v>7.63</v>
      </c>
      <c r="E538">
        <v>50</v>
      </c>
      <c r="F538">
        <v>0.15</v>
      </c>
      <c r="G538" t="s">
        <v>9</v>
      </c>
      <c r="H538">
        <v>4</v>
      </c>
    </row>
    <row r="539" spans="1:8" x14ac:dyDescent="0.25">
      <c r="A539" t="s">
        <v>1208</v>
      </c>
      <c r="B539">
        <v>2015</v>
      </c>
      <c r="C539">
        <v>11</v>
      </c>
      <c r="D539">
        <v>3.41</v>
      </c>
      <c r="E539">
        <v>49</v>
      </c>
      <c r="F539">
        <v>0.06</v>
      </c>
      <c r="G539" t="s">
        <v>9</v>
      </c>
      <c r="H539">
        <v>4</v>
      </c>
    </row>
    <row r="540" spans="1:8" x14ac:dyDescent="0.25">
      <c r="A540" t="s">
        <v>1022</v>
      </c>
      <c r="B540">
        <v>2015</v>
      </c>
      <c r="C540">
        <v>11</v>
      </c>
      <c r="D540">
        <v>208.45</v>
      </c>
      <c r="E540">
        <v>182</v>
      </c>
      <c r="F540">
        <v>1.1399999999999999</v>
      </c>
      <c r="G540" t="s">
        <v>9</v>
      </c>
      <c r="H540">
        <v>4</v>
      </c>
    </row>
    <row r="541" spans="1:8" x14ac:dyDescent="0.25">
      <c r="A541" t="s">
        <v>1215</v>
      </c>
      <c r="B541">
        <v>2015</v>
      </c>
      <c r="C541">
        <v>11</v>
      </c>
      <c r="D541">
        <v>84.35</v>
      </c>
      <c r="E541">
        <v>136.5</v>
      </c>
      <c r="F541">
        <v>0.61</v>
      </c>
      <c r="G541" t="s">
        <v>9</v>
      </c>
      <c r="H541">
        <v>4</v>
      </c>
    </row>
    <row r="542" spans="1:8" x14ac:dyDescent="0.25">
      <c r="A542" t="s">
        <v>1216</v>
      </c>
      <c r="B542">
        <v>2015</v>
      </c>
      <c r="C542">
        <v>11</v>
      </c>
      <c r="D542">
        <v>57.53</v>
      </c>
      <c r="E542">
        <v>131</v>
      </c>
      <c r="F542">
        <v>0.43</v>
      </c>
      <c r="G542" t="s">
        <v>9</v>
      </c>
      <c r="H542">
        <v>4</v>
      </c>
    </row>
    <row r="543" spans="1:8" x14ac:dyDescent="0.25">
      <c r="A543" t="s">
        <v>1219</v>
      </c>
      <c r="B543">
        <v>2015</v>
      </c>
      <c r="C543">
        <v>11</v>
      </c>
      <c r="D543">
        <v>63.14</v>
      </c>
      <c r="E543">
        <v>131</v>
      </c>
      <c r="F543">
        <v>0.48</v>
      </c>
      <c r="G543" t="s">
        <v>9</v>
      </c>
      <c r="H543">
        <v>4</v>
      </c>
    </row>
    <row r="544" spans="1:8" x14ac:dyDescent="0.25">
      <c r="A544" t="s">
        <v>1218</v>
      </c>
      <c r="B544">
        <v>2015</v>
      </c>
      <c r="C544">
        <v>11</v>
      </c>
      <c r="D544">
        <v>12.29</v>
      </c>
      <c r="E544">
        <v>51</v>
      </c>
      <c r="F544">
        <v>0.24</v>
      </c>
      <c r="G544" t="s">
        <v>9</v>
      </c>
      <c r="H544">
        <v>4</v>
      </c>
    </row>
    <row r="545" spans="1:8" x14ac:dyDescent="0.25">
      <c r="A545" t="s">
        <v>1221</v>
      </c>
      <c r="B545">
        <v>2015</v>
      </c>
      <c r="C545">
        <v>11</v>
      </c>
      <c r="D545">
        <v>26.85</v>
      </c>
      <c r="E545">
        <v>86.5</v>
      </c>
      <c r="F545">
        <v>0.31</v>
      </c>
      <c r="G545" t="s">
        <v>9</v>
      </c>
      <c r="H545">
        <v>4</v>
      </c>
    </row>
    <row r="546" spans="1:8" x14ac:dyDescent="0.25">
      <c r="A546" t="s">
        <v>1225</v>
      </c>
      <c r="B546">
        <v>2015</v>
      </c>
      <c r="C546">
        <v>11</v>
      </c>
      <c r="D546">
        <v>3.3</v>
      </c>
      <c r="E546">
        <v>25.5</v>
      </c>
      <c r="F546">
        <v>0.12</v>
      </c>
      <c r="G546" t="s">
        <v>9</v>
      </c>
      <c r="H546">
        <v>4</v>
      </c>
    </row>
    <row r="547" spans="1:8" x14ac:dyDescent="0.25">
      <c r="A547" t="s">
        <v>1197</v>
      </c>
      <c r="B547">
        <v>2015</v>
      </c>
      <c r="C547">
        <v>11</v>
      </c>
      <c r="D547">
        <v>23.54</v>
      </c>
      <c r="E547">
        <v>110</v>
      </c>
      <c r="F547">
        <v>0.21</v>
      </c>
      <c r="G547" t="s">
        <v>9</v>
      </c>
      <c r="H547">
        <v>4</v>
      </c>
    </row>
    <row r="548" spans="1:8" x14ac:dyDescent="0.25">
      <c r="A548" t="s">
        <v>1202</v>
      </c>
      <c r="B548">
        <v>2015</v>
      </c>
      <c r="C548">
        <v>11</v>
      </c>
      <c r="D548">
        <v>21.37</v>
      </c>
      <c r="E548">
        <v>115.5</v>
      </c>
      <c r="F548">
        <v>0.18</v>
      </c>
      <c r="G548" t="s">
        <v>9</v>
      </c>
      <c r="H548">
        <v>4</v>
      </c>
    </row>
    <row r="549" spans="1:8" x14ac:dyDescent="0.25">
      <c r="A549" t="s">
        <v>1021</v>
      </c>
      <c r="B549">
        <v>2015</v>
      </c>
      <c r="C549">
        <v>12</v>
      </c>
      <c r="D549">
        <v>164.27</v>
      </c>
      <c r="E549">
        <v>146.5</v>
      </c>
      <c r="F549">
        <v>1.1200000000000001</v>
      </c>
      <c r="G549" t="s">
        <v>4</v>
      </c>
      <c r="H549">
        <v>5</v>
      </c>
    </row>
    <row r="550" spans="1:8" x14ac:dyDescent="0.25">
      <c r="A550" t="s">
        <v>1188</v>
      </c>
      <c r="B550">
        <v>2015</v>
      </c>
      <c r="C550">
        <v>12</v>
      </c>
      <c r="D550">
        <v>21.68</v>
      </c>
      <c r="E550">
        <v>65.5</v>
      </c>
      <c r="F550">
        <v>0.33</v>
      </c>
      <c r="G550" t="s">
        <v>4</v>
      </c>
      <c r="H550">
        <v>5</v>
      </c>
    </row>
    <row r="551" spans="1:8" x14ac:dyDescent="0.25">
      <c r="A551" t="s">
        <v>1220</v>
      </c>
      <c r="B551">
        <v>2015</v>
      </c>
      <c r="C551">
        <v>12</v>
      </c>
      <c r="D551">
        <v>0.36</v>
      </c>
      <c r="E551">
        <v>10</v>
      </c>
      <c r="F551">
        <v>0.03</v>
      </c>
      <c r="G551" t="s">
        <v>4</v>
      </c>
      <c r="H551">
        <v>5</v>
      </c>
    </row>
    <row r="552" spans="1:8" x14ac:dyDescent="0.25">
      <c r="A552" t="s">
        <v>1203</v>
      </c>
      <c r="B552">
        <v>2015</v>
      </c>
      <c r="C552">
        <v>12</v>
      </c>
      <c r="D552">
        <v>72.37</v>
      </c>
      <c r="E552">
        <v>151</v>
      </c>
      <c r="F552">
        <v>0.47</v>
      </c>
      <c r="G552" t="s">
        <v>4</v>
      </c>
      <c r="H552">
        <v>5</v>
      </c>
    </row>
    <row r="553" spans="1:8" x14ac:dyDescent="0.25">
      <c r="A553" t="s">
        <v>1229</v>
      </c>
      <c r="B553">
        <v>2015</v>
      </c>
      <c r="C553">
        <v>12</v>
      </c>
      <c r="D553">
        <v>0.4</v>
      </c>
      <c r="E553">
        <v>10</v>
      </c>
      <c r="F553">
        <v>0.04</v>
      </c>
      <c r="G553" t="s">
        <v>4</v>
      </c>
      <c r="H553">
        <v>5</v>
      </c>
    </row>
    <row r="554" spans="1:8" x14ac:dyDescent="0.25">
      <c r="A554" t="s">
        <v>1236</v>
      </c>
      <c r="B554">
        <v>2015</v>
      </c>
      <c r="C554">
        <v>12</v>
      </c>
      <c r="D554">
        <v>0.34</v>
      </c>
      <c r="E554">
        <v>15.5</v>
      </c>
      <c r="F554">
        <v>0.02</v>
      </c>
      <c r="G554" t="s">
        <v>4</v>
      </c>
      <c r="H554">
        <v>5</v>
      </c>
    </row>
    <row r="555" spans="1:8" x14ac:dyDescent="0.25">
      <c r="A555" t="s">
        <v>1195</v>
      </c>
      <c r="B555">
        <v>2015</v>
      </c>
      <c r="C555">
        <v>12</v>
      </c>
      <c r="D555">
        <v>27.63</v>
      </c>
      <c r="E555">
        <v>80</v>
      </c>
      <c r="F555">
        <v>0.34</v>
      </c>
      <c r="G555" t="s">
        <v>4</v>
      </c>
      <c r="H555">
        <v>5</v>
      </c>
    </row>
    <row r="556" spans="1:8" x14ac:dyDescent="0.25">
      <c r="A556" t="s">
        <v>1226</v>
      </c>
      <c r="B556">
        <v>2015</v>
      </c>
      <c r="C556">
        <v>12</v>
      </c>
      <c r="D556">
        <v>0.26</v>
      </c>
      <c r="E556">
        <v>10</v>
      </c>
      <c r="F556">
        <v>0.02</v>
      </c>
      <c r="G556" t="s">
        <v>4</v>
      </c>
      <c r="H556">
        <v>5</v>
      </c>
    </row>
    <row r="557" spans="1:8" x14ac:dyDescent="0.25">
      <c r="A557" t="s">
        <v>1223</v>
      </c>
      <c r="B557">
        <v>2015</v>
      </c>
      <c r="C557">
        <v>12</v>
      </c>
      <c r="D557">
        <v>7.29</v>
      </c>
      <c r="E557">
        <v>30</v>
      </c>
      <c r="F557">
        <v>0.24</v>
      </c>
      <c r="G557" t="s">
        <v>4</v>
      </c>
      <c r="H557">
        <v>5</v>
      </c>
    </row>
    <row r="558" spans="1:8" x14ac:dyDescent="0.25">
      <c r="A558" t="s">
        <v>1017</v>
      </c>
      <c r="B558">
        <v>2015</v>
      </c>
      <c r="C558">
        <v>12</v>
      </c>
      <c r="D558">
        <v>56.84</v>
      </c>
      <c r="E558">
        <v>113</v>
      </c>
      <c r="F558">
        <v>0.5</v>
      </c>
      <c r="G558" t="s">
        <v>4</v>
      </c>
      <c r="H558">
        <v>5</v>
      </c>
    </row>
    <row r="559" spans="1:8" x14ac:dyDescent="0.25">
      <c r="A559" t="s">
        <v>1200</v>
      </c>
      <c r="B559">
        <v>2015</v>
      </c>
      <c r="C559">
        <v>12</v>
      </c>
      <c r="D559">
        <v>15</v>
      </c>
      <c r="E559">
        <v>88.5</v>
      </c>
      <c r="F559">
        <v>0.16</v>
      </c>
      <c r="G559" t="s">
        <v>4</v>
      </c>
      <c r="H559">
        <v>5</v>
      </c>
    </row>
    <row r="560" spans="1:8" x14ac:dyDescent="0.25">
      <c r="A560" t="s">
        <v>1190</v>
      </c>
      <c r="B560">
        <v>2015</v>
      </c>
      <c r="C560">
        <v>12</v>
      </c>
      <c r="D560">
        <v>25.55</v>
      </c>
      <c r="E560">
        <v>116.5</v>
      </c>
      <c r="F560">
        <v>0.21</v>
      </c>
      <c r="G560" t="s">
        <v>4</v>
      </c>
      <c r="H560">
        <v>5</v>
      </c>
    </row>
    <row r="561" spans="1:8" x14ac:dyDescent="0.25">
      <c r="A561" t="s">
        <v>1184</v>
      </c>
      <c r="B561">
        <v>2015</v>
      </c>
      <c r="C561">
        <v>12</v>
      </c>
      <c r="D561">
        <v>18.600000000000001</v>
      </c>
      <c r="E561">
        <v>111</v>
      </c>
      <c r="F561">
        <v>0.16</v>
      </c>
      <c r="G561" t="s">
        <v>4</v>
      </c>
      <c r="H561">
        <v>5</v>
      </c>
    </row>
    <row r="562" spans="1:8" x14ac:dyDescent="0.25">
      <c r="A562" t="s">
        <v>1201</v>
      </c>
      <c r="B562">
        <v>2015</v>
      </c>
      <c r="C562">
        <v>12</v>
      </c>
      <c r="D562">
        <v>129.58000000000001</v>
      </c>
      <c r="E562">
        <v>156.5</v>
      </c>
      <c r="F562">
        <v>0.82</v>
      </c>
      <c r="G562" t="s">
        <v>4</v>
      </c>
      <c r="H562">
        <v>5</v>
      </c>
    </row>
    <row r="563" spans="1:8" x14ac:dyDescent="0.25">
      <c r="A563" t="s">
        <v>1213</v>
      </c>
      <c r="B563">
        <v>2015</v>
      </c>
      <c r="C563">
        <v>12</v>
      </c>
      <c r="D563">
        <v>1.55</v>
      </c>
      <c r="E563">
        <v>35.5</v>
      </c>
      <c r="F563">
        <v>0.04</v>
      </c>
      <c r="G563" t="s">
        <v>4</v>
      </c>
      <c r="H563">
        <v>5</v>
      </c>
    </row>
    <row r="564" spans="1:8" x14ac:dyDescent="0.25">
      <c r="A564" t="s">
        <v>1212</v>
      </c>
      <c r="B564">
        <v>2015</v>
      </c>
      <c r="C564">
        <v>12</v>
      </c>
      <c r="D564">
        <v>23.65</v>
      </c>
      <c r="E564">
        <v>35.5</v>
      </c>
      <c r="F564">
        <v>0.66</v>
      </c>
      <c r="G564" t="s">
        <v>4</v>
      </c>
      <c r="H564">
        <v>5</v>
      </c>
    </row>
    <row r="565" spans="1:8" x14ac:dyDescent="0.25">
      <c r="A565" t="s">
        <v>1214</v>
      </c>
      <c r="B565">
        <v>2015</v>
      </c>
      <c r="C565">
        <v>12</v>
      </c>
      <c r="D565">
        <v>0.05</v>
      </c>
      <c r="E565">
        <v>10</v>
      </c>
      <c r="F565">
        <v>0</v>
      </c>
      <c r="G565" t="s">
        <v>4</v>
      </c>
      <c r="H565">
        <v>5</v>
      </c>
    </row>
    <row r="566" spans="1:8" x14ac:dyDescent="0.25">
      <c r="A566" t="s">
        <v>1186</v>
      </c>
      <c r="B566">
        <v>2015</v>
      </c>
      <c r="C566">
        <v>12</v>
      </c>
      <c r="D566">
        <v>73.5</v>
      </c>
      <c r="E566">
        <v>151</v>
      </c>
      <c r="F566">
        <v>0.48</v>
      </c>
      <c r="G566" t="s">
        <v>4</v>
      </c>
      <c r="H566">
        <v>5</v>
      </c>
    </row>
    <row r="567" spans="1:8" x14ac:dyDescent="0.25">
      <c r="A567" t="s">
        <v>1196</v>
      </c>
      <c r="B567">
        <v>2015</v>
      </c>
      <c r="C567">
        <v>12</v>
      </c>
      <c r="D567">
        <v>23.92</v>
      </c>
      <c r="E567">
        <v>111</v>
      </c>
      <c r="F567">
        <v>0.21</v>
      </c>
      <c r="G567" t="s">
        <v>4</v>
      </c>
      <c r="H567">
        <v>5</v>
      </c>
    </row>
    <row r="568" spans="1:8" x14ac:dyDescent="0.25">
      <c r="A568" t="s">
        <v>1199</v>
      </c>
      <c r="B568">
        <v>2015</v>
      </c>
      <c r="C568">
        <v>12</v>
      </c>
      <c r="D568">
        <v>33.53</v>
      </c>
      <c r="E568">
        <v>60</v>
      </c>
      <c r="F568">
        <v>0.55000000000000004</v>
      </c>
      <c r="G568" t="s">
        <v>4</v>
      </c>
      <c r="H568">
        <v>5</v>
      </c>
    </row>
    <row r="569" spans="1:8" x14ac:dyDescent="0.25">
      <c r="A569" t="s">
        <v>1185</v>
      </c>
      <c r="B569">
        <v>2015</v>
      </c>
      <c r="C569">
        <v>12</v>
      </c>
      <c r="D569">
        <v>20.41</v>
      </c>
      <c r="E569">
        <v>111</v>
      </c>
      <c r="F569">
        <v>0.18</v>
      </c>
      <c r="G569" t="s">
        <v>4</v>
      </c>
      <c r="H569">
        <v>5</v>
      </c>
    </row>
    <row r="570" spans="1:8" x14ac:dyDescent="0.25">
      <c r="A570" t="s">
        <v>1209</v>
      </c>
      <c r="B570">
        <v>2015</v>
      </c>
      <c r="C570">
        <v>12</v>
      </c>
      <c r="D570">
        <v>33.68</v>
      </c>
      <c r="E570">
        <v>105.5</v>
      </c>
      <c r="F570">
        <v>0.31</v>
      </c>
      <c r="G570" t="s">
        <v>4</v>
      </c>
      <c r="H570">
        <v>5</v>
      </c>
    </row>
    <row r="571" spans="1:8" x14ac:dyDescent="0.25">
      <c r="A571" t="s">
        <v>1010</v>
      </c>
      <c r="B571">
        <v>2015</v>
      </c>
      <c r="C571">
        <v>12</v>
      </c>
      <c r="D571">
        <v>119.48</v>
      </c>
      <c r="E571">
        <v>141</v>
      </c>
      <c r="F571">
        <v>0.84</v>
      </c>
      <c r="G571" t="s">
        <v>4</v>
      </c>
      <c r="H571">
        <v>5</v>
      </c>
    </row>
    <row r="572" spans="1:8" x14ac:dyDescent="0.25">
      <c r="A572" t="s">
        <v>1206</v>
      </c>
      <c r="B572">
        <v>2015</v>
      </c>
      <c r="C572">
        <v>12</v>
      </c>
      <c r="D572">
        <v>16.25</v>
      </c>
      <c r="E572">
        <v>41</v>
      </c>
      <c r="F572">
        <v>0.39</v>
      </c>
      <c r="G572" t="s">
        <v>4</v>
      </c>
      <c r="H572">
        <v>5</v>
      </c>
    </row>
    <row r="573" spans="1:8" x14ac:dyDescent="0.25">
      <c r="A573" t="s">
        <v>1239</v>
      </c>
      <c r="B573">
        <v>2015</v>
      </c>
      <c r="C573">
        <v>12</v>
      </c>
      <c r="D573">
        <v>3.16</v>
      </c>
      <c r="E573">
        <v>20</v>
      </c>
      <c r="F573">
        <v>0.15</v>
      </c>
      <c r="G573" t="s">
        <v>4</v>
      </c>
      <c r="H573">
        <v>5</v>
      </c>
    </row>
    <row r="574" spans="1:8" x14ac:dyDescent="0.25">
      <c r="A574" t="s">
        <v>1217</v>
      </c>
      <c r="B574">
        <v>2015</v>
      </c>
      <c r="C574">
        <v>12</v>
      </c>
      <c r="D574">
        <v>43.85</v>
      </c>
      <c r="E574">
        <v>70</v>
      </c>
      <c r="F574">
        <v>0.62</v>
      </c>
      <c r="G574" t="s">
        <v>4</v>
      </c>
      <c r="H574">
        <v>5</v>
      </c>
    </row>
    <row r="575" spans="1:8" x14ac:dyDescent="0.25">
      <c r="A575" t="s">
        <v>1189</v>
      </c>
      <c r="B575">
        <v>2015</v>
      </c>
      <c r="C575">
        <v>12</v>
      </c>
      <c r="D575">
        <v>162.19999999999999</v>
      </c>
      <c r="E575">
        <v>151</v>
      </c>
      <c r="F575">
        <v>1.07</v>
      </c>
      <c r="G575" t="s">
        <v>4</v>
      </c>
      <c r="H575">
        <v>5</v>
      </c>
    </row>
    <row r="576" spans="1:8" x14ac:dyDescent="0.25">
      <c r="A576" t="s">
        <v>1237</v>
      </c>
      <c r="B576">
        <v>2015</v>
      </c>
      <c r="C576">
        <v>12</v>
      </c>
      <c r="D576">
        <v>1.32</v>
      </c>
      <c r="E576">
        <v>25.5</v>
      </c>
      <c r="F576">
        <v>0.05</v>
      </c>
      <c r="G576" t="s">
        <v>4</v>
      </c>
      <c r="H576">
        <v>5</v>
      </c>
    </row>
    <row r="577" spans="1:8" x14ac:dyDescent="0.25">
      <c r="A577" t="s">
        <v>1211</v>
      </c>
      <c r="B577">
        <v>2015</v>
      </c>
      <c r="C577">
        <v>12</v>
      </c>
      <c r="D577">
        <v>13.11</v>
      </c>
      <c r="E577">
        <v>95.5</v>
      </c>
      <c r="F577">
        <v>0.13</v>
      </c>
      <c r="G577" t="s">
        <v>4</v>
      </c>
      <c r="H577">
        <v>5</v>
      </c>
    </row>
    <row r="578" spans="1:8" x14ac:dyDescent="0.25">
      <c r="A578" t="s">
        <v>1198</v>
      </c>
      <c r="B578">
        <v>2015</v>
      </c>
      <c r="C578">
        <v>12</v>
      </c>
      <c r="D578">
        <v>23.54</v>
      </c>
      <c r="E578">
        <v>95.5</v>
      </c>
      <c r="F578">
        <v>0.24</v>
      </c>
      <c r="G578" t="s">
        <v>4</v>
      </c>
      <c r="H578">
        <v>5</v>
      </c>
    </row>
    <row r="579" spans="1:8" x14ac:dyDescent="0.25">
      <c r="A579" t="s">
        <v>1228</v>
      </c>
      <c r="B579">
        <v>2015</v>
      </c>
      <c r="C579">
        <v>12</v>
      </c>
      <c r="D579">
        <v>2.44</v>
      </c>
      <c r="E579">
        <v>10</v>
      </c>
      <c r="F579">
        <v>0.24</v>
      </c>
      <c r="G579" t="s">
        <v>4</v>
      </c>
      <c r="H579">
        <v>5</v>
      </c>
    </row>
    <row r="580" spans="1:8" x14ac:dyDescent="0.25">
      <c r="A580" t="s">
        <v>1018</v>
      </c>
      <c r="B580">
        <v>2015</v>
      </c>
      <c r="C580">
        <v>12</v>
      </c>
      <c r="D580">
        <v>332.59</v>
      </c>
      <c r="E580">
        <v>156.5</v>
      </c>
      <c r="F580">
        <v>2.12</v>
      </c>
      <c r="G580" t="s">
        <v>4</v>
      </c>
      <c r="H580">
        <v>5</v>
      </c>
    </row>
    <row r="581" spans="1:8" x14ac:dyDescent="0.25">
      <c r="A581" t="s">
        <v>1193</v>
      </c>
      <c r="B581">
        <v>2015</v>
      </c>
      <c r="C581">
        <v>12</v>
      </c>
      <c r="D581">
        <v>164.91</v>
      </c>
      <c r="E581">
        <v>156.5</v>
      </c>
      <c r="F581">
        <v>1.05</v>
      </c>
      <c r="G581" t="s">
        <v>4</v>
      </c>
      <c r="H581">
        <v>5</v>
      </c>
    </row>
    <row r="582" spans="1:8" x14ac:dyDescent="0.25">
      <c r="A582" t="s">
        <v>1187</v>
      </c>
      <c r="B582">
        <v>2015</v>
      </c>
      <c r="C582">
        <v>12</v>
      </c>
      <c r="D582">
        <v>144.81</v>
      </c>
      <c r="E582">
        <v>105.5</v>
      </c>
      <c r="F582">
        <v>1.37</v>
      </c>
      <c r="G582" t="s">
        <v>4</v>
      </c>
      <c r="H582">
        <v>5</v>
      </c>
    </row>
    <row r="583" spans="1:8" x14ac:dyDescent="0.25">
      <c r="A583" t="s">
        <v>1222</v>
      </c>
      <c r="B583">
        <v>2015</v>
      </c>
      <c r="C583">
        <v>12</v>
      </c>
      <c r="D583">
        <v>8.19</v>
      </c>
      <c r="E583">
        <v>65.5</v>
      </c>
      <c r="F583">
        <v>0.12</v>
      </c>
      <c r="G583" t="s">
        <v>4</v>
      </c>
      <c r="H583">
        <v>5</v>
      </c>
    </row>
    <row r="584" spans="1:8" x14ac:dyDescent="0.25">
      <c r="A584" t="s">
        <v>1224</v>
      </c>
      <c r="B584">
        <v>2015</v>
      </c>
      <c r="C584">
        <v>12</v>
      </c>
      <c r="D584">
        <v>13.19</v>
      </c>
      <c r="E584">
        <v>50</v>
      </c>
      <c r="F584">
        <v>0.26</v>
      </c>
      <c r="G584" t="s">
        <v>4</v>
      </c>
      <c r="H584">
        <v>5</v>
      </c>
    </row>
    <row r="585" spans="1:8" x14ac:dyDescent="0.25">
      <c r="A585" t="s">
        <v>1232</v>
      </c>
      <c r="B585">
        <v>2015</v>
      </c>
      <c r="C585">
        <v>12</v>
      </c>
      <c r="D585">
        <v>1.05</v>
      </c>
      <c r="E585">
        <v>20</v>
      </c>
      <c r="F585">
        <v>0.05</v>
      </c>
      <c r="G585" t="s">
        <v>4</v>
      </c>
      <c r="H585">
        <v>5</v>
      </c>
    </row>
    <row r="586" spans="1:8" x14ac:dyDescent="0.25">
      <c r="A586" t="s">
        <v>1025</v>
      </c>
      <c r="B586">
        <v>2015</v>
      </c>
      <c r="C586">
        <v>12</v>
      </c>
      <c r="D586">
        <v>218.33</v>
      </c>
      <c r="E586">
        <v>146.5</v>
      </c>
      <c r="F586">
        <v>1.49</v>
      </c>
      <c r="G586" t="s">
        <v>4</v>
      </c>
      <c r="H586">
        <v>5</v>
      </c>
    </row>
    <row r="587" spans="1:8" x14ac:dyDescent="0.25">
      <c r="A587" t="s">
        <v>1207</v>
      </c>
      <c r="B587">
        <v>2015</v>
      </c>
      <c r="C587">
        <v>12</v>
      </c>
      <c r="D587">
        <v>90.62</v>
      </c>
      <c r="E587">
        <v>136.5</v>
      </c>
      <c r="F587">
        <v>0.66</v>
      </c>
      <c r="G587" t="s">
        <v>4</v>
      </c>
      <c r="H587">
        <v>5</v>
      </c>
    </row>
    <row r="588" spans="1:8" x14ac:dyDescent="0.25">
      <c r="A588" t="s">
        <v>1205</v>
      </c>
      <c r="B588">
        <v>2015</v>
      </c>
      <c r="C588">
        <v>12</v>
      </c>
      <c r="D588">
        <v>33.67</v>
      </c>
      <c r="E588">
        <v>101</v>
      </c>
      <c r="F588">
        <v>0.33</v>
      </c>
      <c r="G588" t="s">
        <v>4</v>
      </c>
      <c r="H588">
        <v>5</v>
      </c>
    </row>
    <row r="589" spans="1:8" x14ac:dyDescent="0.25">
      <c r="A589" t="s">
        <v>1210</v>
      </c>
      <c r="B589">
        <v>2015</v>
      </c>
      <c r="C589">
        <v>12</v>
      </c>
      <c r="D589">
        <v>18.86</v>
      </c>
      <c r="E589">
        <v>85.5</v>
      </c>
      <c r="F589">
        <v>0.22</v>
      </c>
      <c r="G589" t="s">
        <v>4</v>
      </c>
      <c r="H589">
        <v>5</v>
      </c>
    </row>
    <row r="590" spans="1:8" x14ac:dyDescent="0.25">
      <c r="A590" t="s">
        <v>1233</v>
      </c>
      <c r="B590">
        <v>2015</v>
      </c>
      <c r="C590">
        <v>12</v>
      </c>
      <c r="D590">
        <v>4.67</v>
      </c>
      <c r="E590">
        <v>20</v>
      </c>
      <c r="F590">
        <v>0.23</v>
      </c>
      <c r="G590" t="s">
        <v>4</v>
      </c>
      <c r="H590">
        <v>5</v>
      </c>
    </row>
    <row r="591" spans="1:8" x14ac:dyDescent="0.25">
      <c r="A591" t="s">
        <v>1191</v>
      </c>
      <c r="B591">
        <v>2015</v>
      </c>
      <c r="C591">
        <v>12</v>
      </c>
      <c r="D591">
        <v>3.36</v>
      </c>
      <c r="E591">
        <v>24.5</v>
      </c>
      <c r="F591">
        <v>0.13</v>
      </c>
      <c r="G591" t="s">
        <v>4</v>
      </c>
      <c r="H591">
        <v>5</v>
      </c>
    </row>
    <row r="592" spans="1:8" x14ac:dyDescent="0.25">
      <c r="A592" t="s">
        <v>1192</v>
      </c>
      <c r="B592">
        <v>2015</v>
      </c>
      <c r="C592">
        <v>12</v>
      </c>
      <c r="D592">
        <v>0.1</v>
      </c>
      <c r="E592">
        <v>24.5</v>
      </c>
      <c r="F592">
        <v>0</v>
      </c>
      <c r="G592" t="s">
        <v>4</v>
      </c>
      <c r="H592">
        <v>5</v>
      </c>
    </row>
    <row r="593" spans="1:8" x14ac:dyDescent="0.25">
      <c r="A593" t="s">
        <v>1194</v>
      </c>
      <c r="B593">
        <v>2015</v>
      </c>
      <c r="C593">
        <v>12</v>
      </c>
      <c r="D593">
        <v>30.79</v>
      </c>
      <c r="E593">
        <v>106.5</v>
      </c>
      <c r="F593">
        <v>0.28000000000000003</v>
      </c>
      <c r="G593" t="s">
        <v>4</v>
      </c>
      <c r="H593">
        <v>5</v>
      </c>
    </row>
    <row r="594" spans="1:8" x14ac:dyDescent="0.25">
      <c r="A594" t="s">
        <v>1031</v>
      </c>
      <c r="B594">
        <v>2015</v>
      </c>
      <c r="C594">
        <v>12</v>
      </c>
      <c r="D594">
        <v>156.63</v>
      </c>
      <c r="E594">
        <v>146.5</v>
      </c>
      <c r="F594">
        <v>1.06</v>
      </c>
      <c r="G594" t="s">
        <v>4</v>
      </c>
      <c r="H594">
        <v>5</v>
      </c>
    </row>
    <row r="595" spans="1:8" x14ac:dyDescent="0.25">
      <c r="A595" t="s">
        <v>1204</v>
      </c>
      <c r="B595">
        <v>2015</v>
      </c>
      <c r="C595">
        <v>12</v>
      </c>
      <c r="D595">
        <v>12.34</v>
      </c>
      <c r="E595">
        <v>75.5</v>
      </c>
      <c r="F595">
        <v>0.16</v>
      </c>
      <c r="G595" t="s">
        <v>4</v>
      </c>
      <c r="H595">
        <v>5</v>
      </c>
    </row>
    <row r="596" spans="1:8" x14ac:dyDescent="0.25">
      <c r="A596" t="s">
        <v>1208</v>
      </c>
      <c r="B596">
        <v>2015</v>
      </c>
      <c r="C596">
        <v>12</v>
      </c>
      <c r="D596">
        <v>5.08</v>
      </c>
      <c r="E596">
        <v>24.5</v>
      </c>
      <c r="F596">
        <v>0.2</v>
      </c>
      <c r="G596" t="s">
        <v>4</v>
      </c>
      <c r="H596">
        <v>5</v>
      </c>
    </row>
    <row r="597" spans="1:8" x14ac:dyDescent="0.25">
      <c r="A597" t="s">
        <v>1022</v>
      </c>
      <c r="B597">
        <v>2015</v>
      </c>
      <c r="C597">
        <v>12</v>
      </c>
      <c r="D597">
        <v>187.29</v>
      </c>
      <c r="E597">
        <v>151</v>
      </c>
      <c r="F597">
        <v>1.24</v>
      </c>
      <c r="G597" t="s">
        <v>4</v>
      </c>
      <c r="H597">
        <v>5</v>
      </c>
    </row>
    <row r="598" spans="1:8" x14ac:dyDescent="0.25">
      <c r="A598" t="s">
        <v>1215</v>
      </c>
      <c r="B598">
        <v>2015</v>
      </c>
      <c r="C598">
        <v>12</v>
      </c>
      <c r="D598">
        <v>88.09</v>
      </c>
      <c r="E598">
        <v>121</v>
      </c>
      <c r="F598">
        <v>0.72</v>
      </c>
      <c r="G598" t="s">
        <v>4</v>
      </c>
      <c r="H598">
        <v>5</v>
      </c>
    </row>
    <row r="599" spans="1:8" x14ac:dyDescent="0.25">
      <c r="A599" t="s">
        <v>1216</v>
      </c>
      <c r="B599">
        <v>2015</v>
      </c>
      <c r="C599">
        <v>12</v>
      </c>
      <c r="D599">
        <v>42.81</v>
      </c>
      <c r="E599">
        <v>75.5</v>
      </c>
      <c r="F599">
        <v>0.56000000000000005</v>
      </c>
      <c r="G599" t="s">
        <v>4</v>
      </c>
      <c r="H599">
        <v>5</v>
      </c>
    </row>
    <row r="600" spans="1:8" x14ac:dyDescent="0.25">
      <c r="A600" t="s">
        <v>1219</v>
      </c>
      <c r="B600">
        <v>2015</v>
      </c>
      <c r="C600">
        <v>12</v>
      </c>
      <c r="D600">
        <v>52.54</v>
      </c>
      <c r="E600">
        <v>40</v>
      </c>
      <c r="F600">
        <v>1.31</v>
      </c>
      <c r="G600" t="s">
        <v>4</v>
      </c>
      <c r="H600">
        <v>5</v>
      </c>
    </row>
    <row r="601" spans="1:8" x14ac:dyDescent="0.25">
      <c r="A601" t="s">
        <v>1218</v>
      </c>
      <c r="B601">
        <v>2015</v>
      </c>
      <c r="C601">
        <v>12</v>
      </c>
      <c r="D601">
        <v>22.63</v>
      </c>
      <c r="E601">
        <v>45.5</v>
      </c>
      <c r="F601">
        <v>0.49</v>
      </c>
      <c r="G601" t="s">
        <v>4</v>
      </c>
      <c r="H601">
        <v>5</v>
      </c>
    </row>
    <row r="602" spans="1:8" x14ac:dyDescent="0.25">
      <c r="A602" t="s">
        <v>1221</v>
      </c>
      <c r="B602">
        <v>2015</v>
      </c>
      <c r="C602">
        <v>12</v>
      </c>
      <c r="D602">
        <v>10.91</v>
      </c>
      <c r="E602">
        <v>45.5</v>
      </c>
      <c r="F602">
        <v>0.23</v>
      </c>
      <c r="G602" t="s">
        <v>4</v>
      </c>
      <c r="H602">
        <v>5</v>
      </c>
    </row>
    <row r="603" spans="1:8" x14ac:dyDescent="0.25">
      <c r="A603" t="s">
        <v>1225</v>
      </c>
      <c r="B603">
        <v>2015</v>
      </c>
      <c r="C603">
        <v>12</v>
      </c>
      <c r="D603">
        <v>12.57</v>
      </c>
      <c r="E603">
        <v>20</v>
      </c>
      <c r="F603">
        <v>0.62</v>
      </c>
      <c r="G603" t="s">
        <v>4</v>
      </c>
      <c r="H603">
        <v>5</v>
      </c>
    </row>
    <row r="604" spans="1:8" x14ac:dyDescent="0.25">
      <c r="A604" t="s">
        <v>1231</v>
      </c>
      <c r="B604">
        <v>2015</v>
      </c>
      <c r="C604">
        <v>12</v>
      </c>
      <c r="D604">
        <v>8.8000000000000007</v>
      </c>
      <c r="E604">
        <v>30</v>
      </c>
      <c r="F604">
        <v>0.28999999999999998</v>
      </c>
      <c r="G604" t="s">
        <v>4</v>
      </c>
      <c r="H604">
        <v>5</v>
      </c>
    </row>
    <row r="605" spans="1:8" x14ac:dyDescent="0.25">
      <c r="A605" t="s">
        <v>1234</v>
      </c>
      <c r="B605">
        <v>2015</v>
      </c>
      <c r="C605">
        <v>12</v>
      </c>
      <c r="D605">
        <v>14.47</v>
      </c>
      <c r="E605">
        <v>40</v>
      </c>
      <c r="F605">
        <v>0.36</v>
      </c>
      <c r="G605" t="s">
        <v>4</v>
      </c>
      <c r="H605">
        <v>5</v>
      </c>
    </row>
    <row r="606" spans="1:8" x14ac:dyDescent="0.25">
      <c r="A606" t="s">
        <v>1197</v>
      </c>
      <c r="B606">
        <v>2015</v>
      </c>
      <c r="C606">
        <v>12</v>
      </c>
      <c r="D606">
        <v>19.64</v>
      </c>
      <c r="E606">
        <v>115.5</v>
      </c>
      <c r="F606">
        <v>0.17</v>
      </c>
      <c r="G606" t="s">
        <v>4</v>
      </c>
      <c r="H606">
        <v>5</v>
      </c>
    </row>
    <row r="607" spans="1:8" x14ac:dyDescent="0.25">
      <c r="A607" t="s">
        <v>1202</v>
      </c>
      <c r="B607">
        <v>2015</v>
      </c>
      <c r="C607">
        <v>12</v>
      </c>
      <c r="D607">
        <v>20.420000000000002</v>
      </c>
      <c r="E607">
        <v>55.5</v>
      </c>
      <c r="F607">
        <v>0.36</v>
      </c>
      <c r="G607" t="s">
        <v>4</v>
      </c>
      <c r="H607">
        <v>5</v>
      </c>
    </row>
    <row r="608" spans="1:8" hidden="1" x14ac:dyDescent="0.25">
      <c r="A608" t="s">
        <v>1203</v>
      </c>
      <c r="B608">
        <v>2016</v>
      </c>
      <c r="C608">
        <v>8</v>
      </c>
      <c r="D608">
        <v>3.41</v>
      </c>
      <c r="E608">
        <v>10</v>
      </c>
      <c r="F608">
        <v>0.34</v>
      </c>
      <c r="G608" t="s">
        <v>7</v>
      </c>
      <c r="H608">
        <v>1</v>
      </c>
    </row>
    <row r="609" spans="1:8" hidden="1" x14ac:dyDescent="0.25">
      <c r="A609" t="s">
        <v>1195</v>
      </c>
      <c r="B609">
        <v>2016</v>
      </c>
      <c r="C609">
        <v>8</v>
      </c>
      <c r="D609">
        <v>2.76</v>
      </c>
      <c r="E609">
        <v>10</v>
      </c>
      <c r="F609">
        <v>0.27</v>
      </c>
      <c r="G609" t="s">
        <v>7</v>
      </c>
      <c r="H609">
        <v>1</v>
      </c>
    </row>
    <row r="610" spans="1:8" hidden="1" x14ac:dyDescent="0.25">
      <c r="A610" t="s">
        <v>1017</v>
      </c>
      <c r="B610">
        <v>2016</v>
      </c>
      <c r="C610">
        <v>8</v>
      </c>
      <c r="D610">
        <v>6.26</v>
      </c>
      <c r="E610">
        <v>9.5</v>
      </c>
      <c r="F610">
        <v>0.65</v>
      </c>
      <c r="G610" t="s">
        <v>7</v>
      </c>
      <c r="H610">
        <v>1</v>
      </c>
    </row>
    <row r="611" spans="1:8" hidden="1" x14ac:dyDescent="0.25">
      <c r="A611" t="s">
        <v>1190</v>
      </c>
      <c r="B611">
        <v>2016</v>
      </c>
      <c r="C611">
        <v>8</v>
      </c>
      <c r="D611">
        <v>5.85</v>
      </c>
      <c r="E611">
        <v>30</v>
      </c>
      <c r="F611">
        <v>0.19</v>
      </c>
      <c r="G611" t="s">
        <v>7</v>
      </c>
      <c r="H611">
        <v>1</v>
      </c>
    </row>
    <row r="612" spans="1:8" hidden="1" x14ac:dyDescent="0.25">
      <c r="A612" t="s">
        <v>1201</v>
      </c>
      <c r="B612">
        <v>2016</v>
      </c>
      <c r="C612">
        <v>8</v>
      </c>
      <c r="D612">
        <v>0.12</v>
      </c>
      <c r="E612">
        <v>10</v>
      </c>
      <c r="F612">
        <v>0.01</v>
      </c>
      <c r="G612" t="s">
        <v>7</v>
      </c>
      <c r="H612">
        <v>1</v>
      </c>
    </row>
    <row r="613" spans="1:8" hidden="1" x14ac:dyDescent="0.25">
      <c r="A613" t="s">
        <v>1016</v>
      </c>
      <c r="B613">
        <v>2016</v>
      </c>
      <c r="C613">
        <v>8</v>
      </c>
      <c r="D613">
        <v>157.83000000000001</v>
      </c>
      <c r="E613">
        <v>164.5</v>
      </c>
      <c r="F613">
        <v>0.95</v>
      </c>
      <c r="G613" t="s">
        <v>7</v>
      </c>
      <c r="H613">
        <v>1</v>
      </c>
    </row>
    <row r="614" spans="1:8" hidden="1" x14ac:dyDescent="0.25">
      <c r="A614" t="s">
        <v>1186</v>
      </c>
      <c r="B614">
        <v>2016</v>
      </c>
      <c r="C614">
        <v>8</v>
      </c>
      <c r="D614">
        <v>60.8</v>
      </c>
      <c r="E614">
        <v>136.5</v>
      </c>
      <c r="F614">
        <v>0.44</v>
      </c>
      <c r="G614" t="s">
        <v>7</v>
      </c>
      <c r="H614">
        <v>1</v>
      </c>
    </row>
    <row r="615" spans="1:8" hidden="1" x14ac:dyDescent="0.25">
      <c r="A615" t="s">
        <v>1196</v>
      </c>
      <c r="B615">
        <v>2016</v>
      </c>
      <c r="C615">
        <v>8</v>
      </c>
      <c r="D615">
        <v>1.73</v>
      </c>
      <c r="E615">
        <v>10</v>
      </c>
      <c r="F615">
        <v>0.17</v>
      </c>
      <c r="G615" t="s">
        <v>7</v>
      </c>
      <c r="H615">
        <v>1</v>
      </c>
    </row>
    <row r="616" spans="1:8" hidden="1" x14ac:dyDescent="0.25">
      <c r="A616" t="s">
        <v>1199</v>
      </c>
      <c r="B616">
        <v>2016</v>
      </c>
      <c r="C616">
        <v>8</v>
      </c>
      <c r="D616">
        <v>34.409999999999997</v>
      </c>
      <c r="E616">
        <v>65.5</v>
      </c>
      <c r="F616">
        <v>0.52</v>
      </c>
      <c r="G616" t="s">
        <v>7</v>
      </c>
      <c r="H616">
        <v>1</v>
      </c>
    </row>
    <row r="617" spans="1:8" hidden="1" x14ac:dyDescent="0.25">
      <c r="A617" t="s">
        <v>1012</v>
      </c>
      <c r="B617">
        <v>2016</v>
      </c>
      <c r="C617">
        <v>8</v>
      </c>
      <c r="D617">
        <v>75.91</v>
      </c>
      <c r="E617">
        <v>153.5</v>
      </c>
      <c r="F617">
        <v>0.49</v>
      </c>
      <c r="G617" t="s">
        <v>7</v>
      </c>
      <c r="H617">
        <v>1</v>
      </c>
    </row>
    <row r="618" spans="1:8" hidden="1" x14ac:dyDescent="0.25">
      <c r="A618" t="s">
        <v>1010</v>
      </c>
      <c r="B618">
        <v>2016</v>
      </c>
      <c r="C618">
        <v>8</v>
      </c>
      <c r="D618">
        <v>31.63</v>
      </c>
      <c r="E618">
        <v>111</v>
      </c>
      <c r="F618">
        <v>0.28000000000000003</v>
      </c>
      <c r="G618" t="s">
        <v>7</v>
      </c>
      <c r="H618">
        <v>1</v>
      </c>
    </row>
    <row r="619" spans="1:8" hidden="1" x14ac:dyDescent="0.25">
      <c r="A619" t="s">
        <v>1189</v>
      </c>
      <c r="B619">
        <v>2016</v>
      </c>
      <c r="C619">
        <v>8</v>
      </c>
      <c r="D619">
        <v>17.21</v>
      </c>
      <c r="E619">
        <v>75.5</v>
      </c>
      <c r="F619">
        <v>0.22</v>
      </c>
      <c r="G619" t="s">
        <v>7</v>
      </c>
      <c r="H619">
        <v>1</v>
      </c>
    </row>
    <row r="620" spans="1:8" hidden="1" x14ac:dyDescent="0.25">
      <c r="A620" t="s">
        <v>1198</v>
      </c>
      <c r="B620">
        <v>2016</v>
      </c>
      <c r="C620">
        <v>8</v>
      </c>
      <c r="D620">
        <v>0.68</v>
      </c>
      <c r="E620">
        <v>10</v>
      </c>
      <c r="F620">
        <v>0.06</v>
      </c>
      <c r="G620" t="s">
        <v>7</v>
      </c>
      <c r="H620">
        <v>1</v>
      </c>
    </row>
    <row r="621" spans="1:8" hidden="1" x14ac:dyDescent="0.25">
      <c r="A621" t="s">
        <v>146</v>
      </c>
      <c r="B621">
        <v>2016</v>
      </c>
      <c r="C621">
        <v>8</v>
      </c>
      <c r="D621">
        <v>1417.4</v>
      </c>
      <c r="E621">
        <v>183.5</v>
      </c>
      <c r="F621">
        <v>7.72</v>
      </c>
      <c r="G621" t="s">
        <v>7</v>
      </c>
      <c r="H621">
        <v>1</v>
      </c>
    </row>
    <row r="622" spans="1:8" hidden="1" x14ac:dyDescent="0.25">
      <c r="A622" t="s">
        <v>1018</v>
      </c>
      <c r="B622">
        <v>2016</v>
      </c>
      <c r="C622">
        <v>8</v>
      </c>
      <c r="D622">
        <v>4.32</v>
      </c>
      <c r="E622">
        <v>20</v>
      </c>
      <c r="F622">
        <v>0.21</v>
      </c>
      <c r="G622" t="s">
        <v>7</v>
      </c>
      <c r="H622">
        <v>1</v>
      </c>
    </row>
    <row r="623" spans="1:8" hidden="1" x14ac:dyDescent="0.25">
      <c r="A623" t="s">
        <v>1030</v>
      </c>
      <c r="B623">
        <v>2016</v>
      </c>
      <c r="C623">
        <v>8</v>
      </c>
      <c r="D623">
        <v>277.52</v>
      </c>
      <c r="E623">
        <v>159</v>
      </c>
      <c r="F623">
        <v>1.74</v>
      </c>
      <c r="G623" t="s">
        <v>7</v>
      </c>
      <c r="H623">
        <v>1</v>
      </c>
    </row>
    <row r="624" spans="1:8" hidden="1" x14ac:dyDescent="0.25">
      <c r="A624" t="s">
        <v>1025</v>
      </c>
      <c r="B624">
        <v>2016</v>
      </c>
      <c r="C624">
        <v>8</v>
      </c>
      <c r="D624">
        <v>148.94999999999999</v>
      </c>
      <c r="E624">
        <v>192</v>
      </c>
      <c r="F624">
        <v>0.77</v>
      </c>
      <c r="G624" t="s">
        <v>7</v>
      </c>
      <c r="H624">
        <v>1</v>
      </c>
    </row>
    <row r="625" spans="1:8" hidden="1" x14ac:dyDescent="0.25">
      <c r="A625" t="s">
        <v>1194</v>
      </c>
      <c r="B625">
        <v>2016</v>
      </c>
      <c r="C625">
        <v>8</v>
      </c>
      <c r="D625">
        <v>0.96</v>
      </c>
      <c r="E625">
        <v>5.5</v>
      </c>
      <c r="F625">
        <v>0.17</v>
      </c>
      <c r="G625" t="s">
        <v>7</v>
      </c>
      <c r="H625">
        <v>1</v>
      </c>
    </row>
    <row r="626" spans="1:8" hidden="1" x14ac:dyDescent="0.25">
      <c r="A626" t="s">
        <v>1031</v>
      </c>
      <c r="B626">
        <v>2016</v>
      </c>
      <c r="C626">
        <v>8</v>
      </c>
      <c r="D626">
        <v>4.0999999999999996</v>
      </c>
      <c r="E626">
        <v>25.5</v>
      </c>
      <c r="F626">
        <v>0.16</v>
      </c>
      <c r="G626" t="s">
        <v>7</v>
      </c>
      <c r="H626">
        <v>1</v>
      </c>
    </row>
    <row r="627" spans="1:8" hidden="1" x14ac:dyDescent="0.25">
      <c r="A627" t="s">
        <v>1208</v>
      </c>
      <c r="B627">
        <v>2016</v>
      </c>
      <c r="C627">
        <v>8</v>
      </c>
      <c r="D627">
        <v>0.52</v>
      </c>
      <c r="E627">
        <v>43.5</v>
      </c>
      <c r="F627">
        <v>0.01</v>
      </c>
      <c r="G627" t="s">
        <v>7</v>
      </c>
      <c r="H627">
        <v>1</v>
      </c>
    </row>
    <row r="628" spans="1:8" hidden="1" x14ac:dyDescent="0.25">
      <c r="A628" t="s">
        <v>1022</v>
      </c>
      <c r="B628">
        <v>2016</v>
      </c>
      <c r="C628">
        <v>8</v>
      </c>
      <c r="D628">
        <v>22.87</v>
      </c>
      <c r="E628">
        <v>50</v>
      </c>
      <c r="F628">
        <v>0.45</v>
      </c>
      <c r="G628" t="s">
        <v>7</v>
      </c>
      <c r="H628">
        <v>1</v>
      </c>
    </row>
    <row r="629" spans="1:8" hidden="1" x14ac:dyDescent="0.25">
      <c r="A629" t="s">
        <v>1219</v>
      </c>
      <c r="B629">
        <v>2016</v>
      </c>
      <c r="C629">
        <v>8</v>
      </c>
      <c r="D629">
        <v>0.33</v>
      </c>
      <c r="E629">
        <v>10</v>
      </c>
      <c r="F629">
        <v>0.03</v>
      </c>
      <c r="G629" t="s">
        <v>7</v>
      </c>
      <c r="H629">
        <v>1</v>
      </c>
    </row>
    <row r="630" spans="1:8" hidden="1" x14ac:dyDescent="0.25">
      <c r="A630" t="s">
        <v>1016</v>
      </c>
      <c r="B630">
        <v>2016</v>
      </c>
      <c r="C630">
        <v>9</v>
      </c>
      <c r="D630">
        <v>36.64</v>
      </c>
      <c r="E630">
        <v>38</v>
      </c>
      <c r="F630">
        <v>0.96</v>
      </c>
      <c r="G630" t="s">
        <v>15</v>
      </c>
      <c r="H630">
        <v>2</v>
      </c>
    </row>
    <row r="631" spans="1:8" hidden="1" x14ac:dyDescent="0.25">
      <c r="A631" t="s">
        <v>1186</v>
      </c>
      <c r="B631">
        <v>2016</v>
      </c>
      <c r="C631">
        <v>9</v>
      </c>
      <c r="D631">
        <v>5.83</v>
      </c>
      <c r="E631">
        <v>20</v>
      </c>
      <c r="F631">
        <v>0.28999999999999998</v>
      </c>
      <c r="G631" t="s">
        <v>15</v>
      </c>
      <c r="H631">
        <v>2</v>
      </c>
    </row>
    <row r="632" spans="1:8" hidden="1" x14ac:dyDescent="0.25">
      <c r="A632" t="s">
        <v>1199</v>
      </c>
      <c r="B632">
        <v>2016</v>
      </c>
      <c r="C632">
        <v>9</v>
      </c>
      <c r="D632">
        <v>16.25</v>
      </c>
      <c r="E632">
        <v>20</v>
      </c>
      <c r="F632">
        <v>0.81</v>
      </c>
      <c r="G632" t="s">
        <v>15</v>
      </c>
      <c r="H632">
        <v>2</v>
      </c>
    </row>
    <row r="633" spans="1:8" hidden="1" x14ac:dyDescent="0.25">
      <c r="A633" t="s">
        <v>1012</v>
      </c>
      <c r="B633">
        <v>2016</v>
      </c>
      <c r="C633">
        <v>9</v>
      </c>
      <c r="D633">
        <v>15.89</v>
      </c>
      <c r="E633">
        <v>53</v>
      </c>
      <c r="F633">
        <v>0.28999999999999998</v>
      </c>
      <c r="G633" t="s">
        <v>15</v>
      </c>
      <c r="H633">
        <v>2</v>
      </c>
    </row>
    <row r="634" spans="1:8" hidden="1" x14ac:dyDescent="0.25">
      <c r="A634" t="s">
        <v>1010</v>
      </c>
      <c r="B634">
        <v>2016</v>
      </c>
      <c r="C634">
        <v>9</v>
      </c>
      <c r="D634">
        <v>2.68</v>
      </c>
      <c r="E634">
        <v>30</v>
      </c>
      <c r="F634">
        <v>0.08</v>
      </c>
      <c r="G634" t="s">
        <v>15</v>
      </c>
      <c r="H634">
        <v>2</v>
      </c>
    </row>
    <row r="635" spans="1:8" hidden="1" x14ac:dyDescent="0.25">
      <c r="A635" t="s">
        <v>1189</v>
      </c>
      <c r="B635">
        <v>2016</v>
      </c>
      <c r="C635">
        <v>9</v>
      </c>
      <c r="D635">
        <v>18.13</v>
      </c>
      <c r="E635">
        <v>30</v>
      </c>
      <c r="F635">
        <v>0.6</v>
      </c>
      <c r="G635" t="s">
        <v>15</v>
      </c>
      <c r="H635">
        <v>2</v>
      </c>
    </row>
    <row r="636" spans="1:8" hidden="1" x14ac:dyDescent="0.25">
      <c r="A636" t="s">
        <v>1198</v>
      </c>
      <c r="B636">
        <v>2016</v>
      </c>
      <c r="C636">
        <v>9</v>
      </c>
      <c r="D636">
        <v>0.21</v>
      </c>
      <c r="E636">
        <v>10</v>
      </c>
      <c r="F636">
        <v>0.02</v>
      </c>
      <c r="G636" t="s">
        <v>15</v>
      </c>
      <c r="H636">
        <v>2</v>
      </c>
    </row>
    <row r="637" spans="1:8" hidden="1" x14ac:dyDescent="0.25">
      <c r="A637" t="s">
        <v>146</v>
      </c>
      <c r="B637">
        <v>2016</v>
      </c>
      <c r="C637">
        <v>9</v>
      </c>
      <c r="D637">
        <v>401.63</v>
      </c>
      <c r="E637">
        <v>53</v>
      </c>
      <c r="F637">
        <v>7.57</v>
      </c>
      <c r="G637" t="s">
        <v>15</v>
      </c>
      <c r="H637">
        <v>2</v>
      </c>
    </row>
    <row r="638" spans="1:8" hidden="1" x14ac:dyDescent="0.25">
      <c r="A638" t="s">
        <v>1030</v>
      </c>
      <c r="B638">
        <v>2016</v>
      </c>
      <c r="C638">
        <v>9</v>
      </c>
      <c r="D638">
        <v>72.75</v>
      </c>
      <c r="E638">
        <v>43.5</v>
      </c>
      <c r="F638">
        <v>1.67</v>
      </c>
      <c r="G638" t="s">
        <v>15</v>
      </c>
      <c r="H638">
        <v>2</v>
      </c>
    </row>
    <row r="639" spans="1:8" hidden="1" x14ac:dyDescent="0.25">
      <c r="A639" t="s">
        <v>1025</v>
      </c>
      <c r="B639">
        <v>2016</v>
      </c>
      <c r="C639">
        <v>9</v>
      </c>
      <c r="D639">
        <v>56.18</v>
      </c>
      <c r="E639">
        <v>55.5</v>
      </c>
      <c r="F639">
        <v>1.01</v>
      </c>
      <c r="G639" t="s">
        <v>15</v>
      </c>
      <c r="H639">
        <v>2</v>
      </c>
    </row>
    <row r="640" spans="1:8" hidden="1" x14ac:dyDescent="0.25">
      <c r="A640" t="s">
        <v>1207</v>
      </c>
      <c r="B640">
        <v>2016</v>
      </c>
      <c r="C640">
        <v>9</v>
      </c>
      <c r="D640">
        <v>1.1499999999999999</v>
      </c>
      <c r="E640">
        <v>10</v>
      </c>
      <c r="F640">
        <v>0.11</v>
      </c>
      <c r="G640" t="s">
        <v>15</v>
      </c>
      <c r="H640">
        <v>2</v>
      </c>
    </row>
    <row r="641" spans="1:8" hidden="1" x14ac:dyDescent="0.25">
      <c r="A641" t="s">
        <v>1194</v>
      </c>
      <c r="B641">
        <v>2016</v>
      </c>
      <c r="C641">
        <v>9</v>
      </c>
      <c r="D641">
        <v>0.66</v>
      </c>
      <c r="E641">
        <v>15.5</v>
      </c>
      <c r="F641">
        <v>0.04</v>
      </c>
      <c r="G641" t="s">
        <v>15</v>
      </c>
      <c r="H641">
        <v>2</v>
      </c>
    </row>
    <row r="642" spans="1:8" hidden="1" x14ac:dyDescent="0.25">
      <c r="A642" t="s">
        <v>1208</v>
      </c>
      <c r="B642">
        <v>2016</v>
      </c>
      <c r="C642">
        <v>9</v>
      </c>
      <c r="D642">
        <v>0.06</v>
      </c>
      <c r="E642">
        <v>11</v>
      </c>
      <c r="F642">
        <v>0</v>
      </c>
      <c r="G642" t="s">
        <v>15</v>
      </c>
      <c r="H642">
        <v>2</v>
      </c>
    </row>
  </sheetData>
  <pageMargins left="0.7" right="0.7" top="0.75" bottom="0.75" header="0.3" footer="0.3"/>
  <tableParts count="6">
    <tablePart r:id="rId1"/>
    <tablePart r:id="rId2"/>
    <tablePart r:id="rId3"/>
    <tablePart r:id="rId4"/>
    <tablePart r:id="rId5"/>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sheetPr>
  <dimension ref="A1:K29"/>
  <sheetViews>
    <sheetView workbookViewId="0">
      <selection activeCell="A2" sqref="A1:D1048576"/>
    </sheetView>
  </sheetViews>
  <sheetFormatPr defaultRowHeight="15" x14ac:dyDescent="0.25"/>
  <cols>
    <col min="1" max="1" width="13.140625" customWidth="1"/>
    <col min="2" max="2" width="14.28515625" customWidth="1"/>
    <col min="3" max="3" width="15" customWidth="1"/>
    <col min="4" max="4" width="16" customWidth="1"/>
    <col min="8" max="8" width="13.140625" customWidth="1"/>
    <col min="9" max="9" width="14.7109375" customWidth="1"/>
    <col min="10" max="10" width="14.42578125" customWidth="1"/>
    <col min="11" max="11" width="11.5703125" customWidth="1"/>
  </cols>
  <sheetData>
    <row r="1" spans="1:11" x14ac:dyDescent="0.25">
      <c r="A1" s="734" t="s">
        <v>1116</v>
      </c>
      <c r="B1" s="732"/>
      <c r="C1" s="732"/>
      <c r="D1" s="733"/>
      <c r="H1" s="734" t="s">
        <v>1119</v>
      </c>
      <c r="I1" s="732"/>
      <c r="J1" s="732"/>
      <c r="K1" s="733"/>
    </row>
    <row r="3" spans="1:11" x14ac:dyDescent="0.25">
      <c r="A3" s="1" t="s">
        <v>1123</v>
      </c>
      <c r="B3" s="2">
        <v>2015</v>
      </c>
      <c r="H3" s="1" t="s">
        <v>16</v>
      </c>
      <c r="I3" t="s">
        <v>1117</v>
      </c>
      <c r="J3" t="s">
        <v>492</v>
      </c>
      <c r="K3" t="s">
        <v>1118</v>
      </c>
    </row>
    <row r="4" spans="1:11" x14ac:dyDescent="0.25">
      <c r="A4" s="1" t="s">
        <v>1124</v>
      </c>
      <c r="B4" t="s">
        <v>19</v>
      </c>
      <c r="C4" s="555"/>
      <c r="H4" s="2">
        <v>2015</v>
      </c>
      <c r="I4" s="4">
        <v>14870217</v>
      </c>
      <c r="J4" s="4">
        <v>1747.5</v>
      </c>
      <c r="K4" s="5">
        <v>1.175167786724296E-4</v>
      </c>
    </row>
    <row r="5" spans="1:11" x14ac:dyDescent="0.25">
      <c r="A5" s="1" t="s">
        <v>1</v>
      </c>
      <c r="B5" t="s">
        <v>19</v>
      </c>
      <c r="H5" s="3">
        <v>1</v>
      </c>
      <c r="I5" s="4">
        <v>121896</v>
      </c>
      <c r="J5" s="4">
        <v>105</v>
      </c>
      <c r="K5" s="5">
        <v>8.6139003740893876E-4</v>
      </c>
    </row>
    <row r="6" spans="1:11" x14ac:dyDescent="0.25">
      <c r="H6" s="541" t="s">
        <v>7</v>
      </c>
      <c r="I6" s="4">
        <v>121896</v>
      </c>
      <c r="J6" s="4">
        <v>105</v>
      </c>
      <c r="K6" s="5">
        <v>8.6139003740893876E-4</v>
      </c>
    </row>
    <row r="7" spans="1:11" x14ac:dyDescent="0.25">
      <c r="A7" s="1" t="s">
        <v>16</v>
      </c>
      <c r="B7" t="s">
        <v>1000</v>
      </c>
      <c r="C7" t="s">
        <v>452</v>
      </c>
      <c r="D7" t="s">
        <v>1122</v>
      </c>
      <c r="H7" s="3">
        <v>2</v>
      </c>
      <c r="I7" s="4">
        <v>209878.5</v>
      </c>
      <c r="J7" s="4">
        <v>835</v>
      </c>
      <c r="K7" s="5">
        <v>3.9784923181745632E-3</v>
      </c>
    </row>
    <row r="8" spans="1:11" x14ac:dyDescent="0.25">
      <c r="A8" s="2" t="s">
        <v>1021</v>
      </c>
      <c r="B8" s="4">
        <v>982.31999999999994</v>
      </c>
      <c r="C8" s="4">
        <v>1388.5</v>
      </c>
      <c r="D8" s="86">
        <v>6.76</v>
      </c>
      <c r="H8" s="541" t="s">
        <v>15</v>
      </c>
      <c r="I8" s="4">
        <v>209878.5</v>
      </c>
      <c r="J8" s="4">
        <v>835</v>
      </c>
      <c r="K8" s="5">
        <v>3.9784923181745632E-3</v>
      </c>
    </row>
    <row r="9" spans="1:11" x14ac:dyDescent="0.25">
      <c r="A9" s="2" t="s">
        <v>1017</v>
      </c>
      <c r="B9" s="4">
        <v>1499.0900000000001</v>
      </c>
      <c r="C9" s="4">
        <v>1496</v>
      </c>
      <c r="D9" s="86">
        <v>11.049999999999997</v>
      </c>
      <c r="H9" s="3">
        <v>3</v>
      </c>
      <c r="I9" s="4">
        <v>161917.5</v>
      </c>
      <c r="J9" s="4">
        <v>212.5</v>
      </c>
      <c r="K9" s="5">
        <v>1.3123967452560717E-3</v>
      </c>
    </row>
    <row r="10" spans="1:11" x14ac:dyDescent="0.25">
      <c r="A10" s="2" t="s">
        <v>1016</v>
      </c>
      <c r="B10" s="4">
        <v>1127.81</v>
      </c>
      <c r="C10" s="4">
        <v>891.5</v>
      </c>
      <c r="D10" s="86">
        <v>6.85</v>
      </c>
      <c r="H10" s="541" t="s">
        <v>6</v>
      </c>
      <c r="I10" s="4">
        <v>161917.5</v>
      </c>
      <c r="J10" s="4">
        <v>212.5</v>
      </c>
      <c r="K10" s="5">
        <v>1.3123967452560717E-3</v>
      </c>
    </row>
    <row r="11" spans="1:11" x14ac:dyDescent="0.25">
      <c r="A11" s="2" t="s">
        <v>1010</v>
      </c>
      <c r="B11" s="4">
        <v>1775.01</v>
      </c>
      <c r="C11" s="4">
        <v>1907</v>
      </c>
      <c r="D11" s="86">
        <v>10.549999999999999</v>
      </c>
      <c r="H11" s="3">
        <v>4</v>
      </c>
      <c r="I11" s="4">
        <v>13760703</v>
      </c>
      <c r="J11" s="4">
        <v>27.5</v>
      </c>
      <c r="K11" s="5">
        <v>1.9984444108705785E-6</v>
      </c>
    </row>
    <row r="12" spans="1:11" x14ac:dyDescent="0.25">
      <c r="A12" s="2" t="s">
        <v>146</v>
      </c>
      <c r="B12" s="4">
        <v>6978.65</v>
      </c>
      <c r="C12" s="4">
        <v>932.5</v>
      </c>
      <c r="D12" s="86">
        <v>38.51</v>
      </c>
      <c r="H12" s="541" t="s">
        <v>9</v>
      </c>
      <c r="I12" s="4">
        <v>13760703</v>
      </c>
      <c r="J12" s="4">
        <v>27.5</v>
      </c>
      <c r="K12" s="5">
        <v>1.9984444108705785E-6</v>
      </c>
    </row>
    <row r="13" spans="1:11" x14ac:dyDescent="0.25">
      <c r="A13" s="2" t="s">
        <v>1018</v>
      </c>
      <c r="B13" s="4">
        <v>2109.83</v>
      </c>
      <c r="C13" s="4">
        <v>1687</v>
      </c>
      <c r="D13" s="86">
        <v>12.57</v>
      </c>
      <c r="H13" s="3">
        <v>5</v>
      </c>
      <c r="I13" s="4">
        <v>130635</v>
      </c>
      <c r="J13" s="4">
        <v>15</v>
      </c>
      <c r="K13" s="5">
        <v>1.1482374555057986E-4</v>
      </c>
    </row>
    <row r="14" spans="1:11" x14ac:dyDescent="0.25">
      <c r="A14" s="2" t="s">
        <v>1030</v>
      </c>
      <c r="B14" s="4">
        <v>1672.49</v>
      </c>
      <c r="C14" s="4">
        <v>887.5</v>
      </c>
      <c r="D14" s="86">
        <v>9.64</v>
      </c>
      <c r="H14" s="541" t="s">
        <v>4</v>
      </c>
      <c r="I14" s="4">
        <v>130635</v>
      </c>
      <c r="J14" s="4">
        <v>15</v>
      </c>
      <c r="K14" s="5">
        <v>1.1482374555057986E-4</v>
      </c>
    </row>
    <row r="15" spans="1:11" x14ac:dyDescent="0.25">
      <c r="A15" s="2" t="s">
        <v>1025</v>
      </c>
      <c r="B15" s="4">
        <v>2512.7299999999996</v>
      </c>
      <c r="C15" s="4">
        <v>2174</v>
      </c>
      <c r="D15" s="86">
        <v>13.800000000000002</v>
      </c>
      <c r="H15" s="3">
        <v>6</v>
      </c>
      <c r="I15" s="4">
        <v>146410.5</v>
      </c>
      <c r="J15" s="4">
        <v>72.5</v>
      </c>
      <c r="K15" s="5">
        <v>4.9518306405619812E-4</v>
      </c>
    </row>
    <row r="16" spans="1:11" x14ac:dyDescent="0.25">
      <c r="A16" s="2" t="s">
        <v>1031</v>
      </c>
      <c r="B16" s="4">
        <v>1466.7200000000003</v>
      </c>
      <c r="C16" s="4">
        <v>1791.5</v>
      </c>
      <c r="D16" s="86">
        <v>8.7800000000000011</v>
      </c>
      <c r="H16" s="541" t="s">
        <v>12</v>
      </c>
      <c r="I16" s="4">
        <v>146410.5</v>
      </c>
      <c r="J16" s="4">
        <v>72.5</v>
      </c>
      <c r="K16" s="5">
        <v>4.9518306405619812E-4</v>
      </c>
    </row>
    <row r="17" spans="1:11" x14ac:dyDescent="0.25">
      <c r="A17" s="2" t="s">
        <v>1022</v>
      </c>
      <c r="B17" s="4">
        <v>2366.6699999999996</v>
      </c>
      <c r="C17" s="4">
        <v>1763.5</v>
      </c>
      <c r="D17" s="86">
        <v>14.76</v>
      </c>
      <c r="H17" s="3">
        <v>7</v>
      </c>
      <c r="I17" s="4">
        <v>186313.5</v>
      </c>
      <c r="J17" s="4">
        <v>270</v>
      </c>
      <c r="K17" s="5">
        <v>1.4491703499746396E-3</v>
      </c>
    </row>
    <row r="18" spans="1:11" x14ac:dyDescent="0.25">
      <c r="A18" s="2" t="s">
        <v>17</v>
      </c>
      <c r="B18" s="4">
        <v>22491.32</v>
      </c>
      <c r="C18" s="4">
        <v>14919</v>
      </c>
      <c r="D18" s="86">
        <v>133.26999999999998</v>
      </c>
      <c r="H18" s="541" t="s">
        <v>8</v>
      </c>
      <c r="I18" s="4">
        <v>186313.5</v>
      </c>
      <c r="J18" s="4">
        <v>270</v>
      </c>
      <c r="K18" s="5">
        <v>1.4491703499746396E-3</v>
      </c>
    </row>
    <row r="19" spans="1:11" x14ac:dyDescent="0.25">
      <c r="H19" s="3">
        <v>8</v>
      </c>
      <c r="I19" s="4">
        <v>78333</v>
      </c>
      <c r="J19" s="4">
        <v>57.5</v>
      </c>
      <c r="K19" s="5">
        <v>7.3404567679011398E-4</v>
      </c>
    </row>
    <row r="20" spans="1:11" x14ac:dyDescent="0.25">
      <c r="H20" s="541" t="s">
        <v>10</v>
      </c>
      <c r="I20" s="4">
        <v>78333</v>
      </c>
      <c r="J20" s="4">
        <v>57.5</v>
      </c>
      <c r="K20" s="5">
        <v>7.3404567679011398E-4</v>
      </c>
    </row>
    <row r="21" spans="1:11" x14ac:dyDescent="0.25">
      <c r="H21" s="3">
        <v>9</v>
      </c>
      <c r="I21" s="4">
        <v>23355</v>
      </c>
      <c r="J21" s="4">
        <v>65</v>
      </c>
      <c r="K21" s="5">
        <v>2.7831299507600086E-3</v>
      </c>
    </row>
    <row r="22" spans="1:11" x14ac:dyDescent="0.25">
      <c r="H22" s="541" t="s">
        <v>5</v>
      </c>
      <c r="I22" s="4">
        <v>23355</v>
      </c>
      <c r="J22" s="4">
        <v>65</v>
      </c>
      <c r="K22" s="5">
        <v>2.7831299507600086E-3</v>
      </c>
    </row>
    <row r="23" spans="1:11" x14ac:dyDescent="0.25">
      <c r="H23" s="3">
        <v>10</v>
      </c>
      <c r="I23" s="4">
        <v>23235</v>
      </c>
      <c r="J23" s="4">
        <v>85</v>
      </c>
      <c r="K23" s="5">
        <v>3.6582741553690553E-3</v>
      </c>
    </row>
    <row r="24" spans="1:11" x14ac:dyDescent="0.25">
      <c r="H24" s="541" t="s">
        <v>11</v>
      </c>
      <c r="I24" s="4">
        <v>23235</v>
      </c>
      <c r="J24" s="4">
        <v>85</v>
      </c>
      <c r="K24" s="5">
        <v>3.6582741553690553E-3</v>
      </c>
    </row>
    <row r="25" spans="1:11" x14ac:dyDescent="0.25">
      <c r="H25" s="3">
        <v>11</v>
      </c>
      <c r="I25" s="4">
        <v>17290.5</v>
      </c>
      <c r="J25" s="4">
        <v>2.5</v>
      </c>
      <c r="K25" s="5">
        <v>1.4458806859257974E-4</v>
      </c>
    </row>
    <row r="26" spans="1:11" x14ac:dyDescent="0.25">
      <c r="H26" s="541" t="s">
        <v>13</v>
      </c>
      <c r="I26" s="4">
        <v>17290.5</v>
      </c>
      <c r="J26" s="4">
        <v>2.5</v>
      </c>
      <c r="K26" s="5">
        <v>1.4458806859257974E-4</v>
      </c>
    </row>
    <row r="27" spans="1:11" x14ac:dyDescent="0.25">
      <c r="H27" s="3">
        <v>12</v>
      </c>
      <c r="I27" s="4">
        <v>10249.5</v>
      </c>
      <c r="J27" s="4">
        <v>0</v>
      </c>
      <c r="K27" s="5">
        <v>0</v>
      </c>
    </row>
    <row r="28" spans="1:11" x14ac:dyDescent="0.25">
      <c r="H28" s="541" t="s">
        <v>14</v>
      </c>
      <c r="I28" s="4">
        <v>10249.5</v>
      </c>
      <c r="J28" s="4">
        <v>0</v>
      </c>
      <c r="K28" s="5">
        <v>0</v>
      </c>
    </row>
    <row r="29" spans="1:11" x14ac:dyDescent="0.25">
      <c r="H29" s="2" t="s">
        <v>17</v>
      </c>
      <c r="I29" s="4">
        <v>14870217</v>
      </c>
      <c r="J29" s="4">
        <v>1747.5</v>
      </c>
      <c r="K29" s="5">
        <v>1.175167786724296E-4</v>
      </c>
    </row>
  </sheetData>
  <mergeCells count="2">
    <mergeCell ref="H1:K1"/>
    <mergeCell ref="A1:D1"/>
  </mergeCells>
  <pageMargins left="0.7" right="0.7" top="0.75" bottom="0.75" header="0.3" footer="0.3"/>
  <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C000"/>
  </sheetPr>
  <dimension ref="A1:AD3"/>
  <sheetViews>
    <sheetView topLeftCell="Y1" workbookViewId="0">
      <selection activeCell="Z1" sqref="Z1:AD1048576"/>
    </sheetView>
  </sheetViews>
  <sheetFormatPr defaultRowHeight="15" x14ac:dyDescent="0.25"/>
  <cols>
    <col min="1" max="1" width="6.42578125" customWidth="1"/>
    <col min="2" max="2" width="11.42578125" customWidth="1"/>
    <col min="3" max="3" width="10.5703125" customWidth="1"/>
    <col min="4" max="4" width="7.42578125" customWidth="1"/>
    <col min="5" max="5" width="8.7109375" customWidth="1"/>
    <col min="6" max="6" width="20.7109375" customWidth="1"/>
    <col min="7" max="7" width="13.85546875" customWidth="1"/>
    <col min="8" max="8" width="16.28515625" customWidth="1"/>
    <col min="9" max="9" width="9.85546875" customWidth="1"/>
    <col min="11" max="11" width="6.42578125" customWidth="1"/>
    <col min="12" max="12" width="11.42578125" customWidth="1"/>
    <col min="13" max="13" width="10.5703125" customWidth="1"/>
    <col min="14" max="14" width="7.42578125" customWidth="1"/>
    <col min="15" max="15" width="8.7109375" customWidth="1"/>
    <col min="16" max="16" width="20.7109375" customWidth="1"/>
    <col min="18" max="18" width="6.42578125" customWidth="1"/>
    <col min="19" max="19" width="11.42578125" customWidth="1"/>
    <col min="20" max="20" width="10.5703125" customWidth="1"/>
    <col min="21" max="21" width="7.42578125" customWidth="1"/>
    <col min="22" max="22" width="8.7109375" customWidth="1"/>
    <col min="23" max="23" width="20.7109375" customWidth="1"/>
    <col min="26" max="26" width="13.140625" bestFit="1" customWidth="1"/>
    <col min="27" max="27" width="9.5703125" customWidth="1"/>
    <col min="28" max="28" width="5.5703125" customWidth="1"/>
    <col min="29" max="29" width="5.7109375" customWidth="1"/>
    <col min="30" max="30" width="10.7109375" customWidth="1"/>
  </cols>
  <sheetData>
    <row r="1" spans="1:30" x14ac:dyDescent="0.25">
      <c r="A1" s="561">
        <v>62</v>
      </c>
      <c r="B1" s="562" t="s">
        <v>1132</v>
      </c>
      <c r="C1" s="562"/>
      <c r="D1" s="562"/>
      <c r="E1" s="562"/>
      <c r="F1" s="562"/>
      <c r="G1" s="562"/>
      <c r="H1" s="562"/>
      <c r="I1" s="563"/>
      <c r="K1" s="561">
        <v>63</v>
      </c>
      <c r="L1" s="562" t="s">
        <v>1133</v>
      </c>
      <c r="M1" s="562"/>
      <c r="N1" s="559"/>
      <c r="O1" s="559"/>
      <c r="P1" s="560"/>
      <c r="R1" s="561">
        <v>64</v>
      </c>
      <c r="S1" s="562" t="s">
        <v>1134</v>
      </c>
      <c r="T1" s="559"/>
      <c r="U1" s="559"/>
      <c r="V1" s="559"/>
      <c r="W1" s="560"/>
    </row>
    <row r="2" spans="1:30" x14ac:dyDescent="0.25">
      <c r="A2" t="s">
        <v>136</v>
      </c>
      <c r="B2" t="s">
        <v>1004</v>
      </c>
      <c r="C2" t="s">
        <v>473</v>
      </c>
      <c r="D2" t="s">
        <v>474</v>
      </c>
      <c r="E2" t="s">
        <v>475</v>
      </c>
      <c r="F2" t="s">
        <v>1104</v>
      </c>
      <c r="G2" t="s">
        <v>1005</v>
      </c>
      <c r="H2" t="s">
        <v>1053</v>
      </c>
      <c r="I2" t="s">
        <v>1054</v>
      </c>
      <c r="K2" t="s">
        <v>136</v>
      </c>
      <c r="L2" t="s">
        <v>1004</v>
      </c>
      <c r="M2" t="s">
        <v>473</v>
      </c>
      <c r="N2" t="s">
        <v>474</v>
      </c>
      <c r="O2" t="s">
        <v>475</v>
      </c>
      <c r="P2" t="s">
        <v>1104</v>
      </c>
      <c r="R2" t="s">
        <v>136</v>
      </c>
      <c r="S2" t="s">
        <v>1004</v>
      </c>
      <c r="T2" t="s">
        <v>473</v>
      </c>
      <c r="U2" t="s">
        <v>474</v>
      </c>
      <c r="V2" t="s">
        <v>475</v>
      </c>
      <c r="W2" t="s">
        <v>1104</v>
      </c>
      <c r="Z2" s="1" t="s">
        <v>16</v>
      </c>
      <c r="AA2" t="s">
        <v>1304</v>
      </c>
      <c r="AB2" t="s">
        <v>1302</v>
      </c>
      <c r="AC2" t="s">
        <v>1131</v>
      </c>
      <c r="AD2" t="s">
        <v>1303</v>
      </c>
    </row>
    <row r="3" spans="1:30" x14ac:dyDescent="0.25">
      <c r="Z3" s="2" t="s">
        <v>17</v>
      </c>
      <c r="AA3" s="4"/>
      <c r="AB3" s="4"/>
      <c r="AC3" s="4"/>
      <c r="AD3" s="5"/>
    </row>
  </sheetData>
  <pageMargins left="0.7" right="0.7" top="0.75" bottom="0.75" header="0.3" footer="0.3"/>
  <drawing r:id="rId2"/>
  <tableParts count="3">
    <tablePart r:id="rId3"/>
    <tablePart r:id="rId4"/>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C000"/>
  </sheetPr>
  <dimension ref="A1:AU60"/>
  <sheetViews>
    <sheetView topLeftCell="AQ1" workbookViewId="0">
      <selection activeCell="BD15" sqref="BD15"/>
    </sheetView>
  </sheetViews>
  <sheetFormatPr defaultRowHeight="15" x14ac:dyDescent="0.25"/>
  <cols>
    <col min="1" max="1" width="9.140625" customWidth="1"/>
    <col min="2" max="2" width="11.42578125" customWidth="1"/>
    <col min="3" max="3" width="13.85546875" customWidth="1"/>
    <col min="4" max="4" width="13.5703125" customWidth="1"/>
    <col min="5" max="5" width="16.28515625" customWidth="1"/>
    <col min="6" max="6" width="9.85546875" customWidth="1"/>
    <col min="8" max="8" width="9.140625" customWidth="1"/>
    <col min="9" max="9" width="11.42578125" customWidth="1"/>
    <col min="10" max="10" width="13.85546875" customWidth="1"/>
    <col min="11" max="11" width="14" customWidth="1"/>
    <col min="12" max="12" width="16.28515625" customWidth="1"/>
    <col min="13" max="13" width="9.85546875" customWidth="1"/>
    <col min="15" max="15" width="9.140625" customWidth="1"/>
    <col min="16" max="16" width="11.42578125" customWidth="1"/>
    <col min="17" max="17" width="13.85546875" customWidth="1"/>
    <col min="18" max="18" width="13.5703125" customWidth="1"/>
    <col min="19" max="19" width="14" customWidth="1"/>
    <col min="20" max="20" width="16.28515625" customWidth="1"/>
    <col min="21" max="21" width="9.85546875" customWidth="1"/>
    <col min="22" max="22" width="14.5703125" customWidth="1"/>
    <col min="24" max="24" width="9.140625" customWidth="1"/>
    <col min="25" max="25" width="11.42578125" customWidth="1"/>
    <col min="26" max="26" width="13.85546875" customWidth="1"/>
    <col min="27" max="27" width="13.5703125" customWidth="1"/>
    <col min="28" max="28" width="14" customWidth="1"/>
    <col min="29" max="29" width="16.28515625" customWidth="1"/>
    <col min="30" max="30" width="9.85546875" customWidth="1"/>
    <col min="31" max="31" width="14.5703125" customWidth="1"/>
    <col min="33" max="33" width="9.140625" customWidth="1"/>
    <col min="34" max="34" width="11.42578125" customWidth="1"/>
    <col min="35" max="35" width="13.85546875" customWidth="1"/>
    <col min="36" max="36" width="13.5703125" customWidth="1"/>
    <col min="37" max="37" width="14" customWidth="1"/>
    <col min="38" max="38" width="9.85546875" customWidth="1"/>
    <col min="39" max="39" width="16.28515625" customWidth="1"/>
    <col min="40" max="40" width="14.5703125" customWidth="1"/>
    <col min="44" max="44" width="13.140625" customWidth="1"/>
    <col min="45" max="45" width="9.42578125" customWidth="1"/>
    <col min="46" max="46" width="9.140625" customWidth="1"/>
    <col min="47" max="47" width="13.140625" customWidth="1"/>
  </cols>
  <sheetData>
    <row r="1" spans="1:47" x14ac:dyDescent="0.25">
      <c r="A1" s="561">
        <v>65</v>
      </c>
      <c r="B1" s="562" t="s">
        <v>1166</v>
      </c>
      <c r="C1" s="562"/>
      <c r="D1" s="562"/>
      <c r="E1" s="562"/>
      <c r="F1" s="563"/>
      <c r="H1" s="561">
        <v>66</v>
      </c>
      <c r="I1" s="562" t="s">
        <v>1167</v>
      </c>
      <c r="J1" s="562"/>
      <c r="K1" s="562"/>
      <c r="L1" s="562"/>
      <c r="M1" s="563"/>
      <c r="O1" s="561">
        <v>67</v>
      </c>
      <c r="P1" s="562" t="s">
        <v>1168</v>
      </c>
      <c r="Q1" s="562"/>
      <c r="R1" s="562"/>
      <c r="S1" s="562"/>
      <c r="T1" s="562"/>
      <c r="U1" s="562"/>
      <c r="V1" s="563"/>
      <c r="X1" s="561">
        <v>68</v>
      </c>
      <c r="Y1" s="562" t="s">
        <v>1169</v>
      </c>
      <c r="Z1" s="562"/>
      <c r="AA1" s="562"/>
      <c r="AB1" s="562"/>
      <c r="AC1" s="562"/>
      <c r="AD1" s="562"/>
      <c r="AE1" s="563"/>
      <c r="AG1" s="558">
        <v>69</v>
      </c>
      <c r="AH1" s="562" t="s">
        <v>1170</v>
      </c>
      <c r="AI1" s="559"/>
      <c r="AJ1" s="559"/>
      <c r="AK1" s="559"/>
      <c r="AL1" s="559"/>
      <c r="AM1" s="559"/>
      <c r="AN1" s="560"/>
    </row>
    <row r="2" spans="1:47" x14ac:dyDescent="0.25">
      <c r="A2" t="s">
        <v>1105</v>
      </c>
      <c r="B2" t="s">
        <v>1004</v>
      </c>
      <c r="C2" t="s">
        <v>1005</v>
      </c>
      <c r="D2" t="s">
        <v>1106</v>
      </c>
      <c r="E2" t="s">
        <v>1053</v>
      </c>
      <c r="F2" t="s">
        <v>1054</v>
      </c>
      <c r="H2" t="s">
        <v>1105</v>
      </c>
      <c r="I2" t="s">
        <v>1004</v>
      </c>
      <c r="J2" t="s">
        <v>1005</v>
      </c>
      <c r="K2" t="s">
        <v>1107</v>
      </c>
      <c r="L2" t="s">
        <v>1053</v>
      </c>
      <c r="M2" t="s">
        <v>1054</v>
      </c>
      <c r="O2" t="s">
        <v>1105</v>
      </c>
      <c r="P2" t="s">
        <v>1004</v>
      </c>
      <c r="Q2" t="s">
        <v>1005</v>
      </c>
      <c r="R2" t="s">
        <v>1106</v>
      </c>
      <c r="S2" t="s">
        <v>1107</v>
      </c>
      <c r="T2" t="s">
        <v>1053</v>
      </c>
      <c r="U2" t="s">
        <v>1054</v>
      </c>
      <c r="V2" t="s">
        <v>1108</v>
      </c>
      <c r="X2" t="s">
        <v>1105</v>
      </c>
      <c r="Y2" t="s">
        <v>1004</v>
      </c>
      <c r="Z2" t="s">
        <v>1005</v>
      </c>
      <c r="AA2" t="s">
        <v>1106</v>
      </c>
      <c r="AB2" t="s">
        <v>1107</v>
      </c>
      <c r="AC2" t="s">
        <v>1053</v>
      </c>
      <c r="AD2" t="s">
        <v>1054</v>
      </c>
      <c r="AE2" t="s">
        <v>1108</v>
      </c>
      <c r="AG2" t="s">
        <v>1105</v>
      </c>
      <c r="AH2" t="s">
        <v>1004</v>
      </c>
      <c r="AI2" t="s">
        <v>1005</v>
      </c>
      <c r="AJ2" t="s">
        <v>1106</v>
      </c>
      <c r="AK2" t="s">
        <v>1107</v>
      </c>
      <c r="AL2" t="s">
        <v>1054</v>
      </c>
      <c r="AM2" t="s">
        <v>1053</v>
      </c>
      <c r="AN2" t="s">
        <v>1108</v>
      </c>
      <c r="AR2" s="1" t="s">
        <v>16</v>
      </c>
      <c r="AS2" t="s">
        <v>1172</v>
      </c>
      <c r="AT2" t="s">
        <v>1171</v>
      </c>
      <c r="AU2" t="s">
        <v>214</v>
      </c>
    </row>
    <row r="3" spans="1:47" x14ac:dyDescent="0.25">
      <c r="B3">
        <v>2006</v>
      </c>
      <c r="C3">
        <v>12</v>
      </c>
      <c r="D3">
        <v>0.05</v>
      </c>
      <c r="E3" t="s">
        <v>4</v>
      </c>
      <c r="I3">
        <v>2006</v>
      </c>
      <c r="J3">
        <v>12</v>
      </c>
      <c r="K3">
        <v>0.1</v>
      </c>
      <c r="L3" t="s">
        <v>4</v>
      </c>
      <c r="P3">
        <v>2006</v>
      </c>
      <c r="Q3">
        <v>12</v>
      </c>
      <c r="R3">
        <v>0.05</v>
      </c>
      <c r="S3">
        <v>0.1</v>
      </c>
      <c r="T3" t="s">
        <v>4</v>
      </c>
      <c r="V3">
        <v>200</v>
      </c>
      <c r="Y3">
        <v>2015</v>
      </c>
      <c r="AA3">
        <v>68609.55</v>
      </c>
      <c r="AB3">
        <v>6625.18</v>
      </c>
      <c r="AE3">
        <v>9.65</v>
      </c>
      <c r="AH3">
        <v>2016</v>
      </c>
      <c r="AJ3">
        <v>21065.39</v>
      </c>
      <c r="AK3">
        <v>296.49</v>
      </c>
      <c r="AN3">
        <v>1.4</v>
      </c>
      <c r="AR3" s="2">
        <v>2015</v>
      </c>
      <c r="AS3" s="4">
        <v>6625.18</v>
      </c>
      <c r="AT3" s="4">
        <v>68609.55</v>
      </c>
      <c r="AU3" s="4">
        <v>149.09000000000003</v>
      </c>
    </row>
    <row r="4" spans="1:47" x14ac:dyDescent="0.25">
      <c r="B4">
        <v>2010</v>
      </c>
      <c r="C4">
        <v>10</v>
      </c>
      <c r="D4">
        <v>0</v>
      </c>
      <c r="E4" t="s">
        <v>6</v>
      </c>
      <c r="I4">
        <v>2010</v>
      </c>
      <c r="J4">
        <v>10</v>
      </c>
      <c r="K4">
        <v>3.28</v>
      </c>
      <c r="L4" t="s">
        <v>6</v>
      </c>
      <c r="P4">
        <v>2010</v>
      </c>
      <c r="Q4">
        <v>10</v>
      </c>
      <c r="R4">
        <v>0</v>
      </c>
      <c r="S4">
        <v>3.28</v>
      </c>
      <c r="T4" t="s">
        <v>6</v>
      </c>
      <c r="V4">
        <v>0</v>
      </c>
      <c r="AR4" s="3">
        <v>1</v>
      </c>
      <c r="AS4" s="4">
        <v>1401.51</v>
      </c>
      <c r="AT4" s="4">
        <v>5773.7</v>
      </c>
      <c r="AU4" s="4">
        <v>24.27</v>
      </c>
    </row>
    <row r="5" spans="1:47" x14ac:dyDescent="0.25">
      <c r="B5">
        <v>2011</v>
      </c>
      <c r="C5">
        <v>5</v>
      </c>
      <c r="D5">
        <v>821.44</v>
      </c>
      <c r="E5" t="s">
        <v>11</v>
      </c>
      <c r="I5">
        <v>2011</v>
      </c>
      <c r="J5">
        <v>5</v>
      </c>
      <c r="K5">
        <v>14.14</v>
      </c>
      <c r="L5" t="s">
        <v>11</v>
      </c>
      <c r="P5">
        <v>2011</v>
      </c>
      <c r="Q5">
        <v>5</v>
      </c>
      <c r="R5">
        <v>821.44</v>
      </c>
      <c r="S5">
        <v>14.14</v>
      </c>
      <c r="T5" t="s">
        <v>11</v>
      </c>
      <c r="V5">
        <v>1.72</v>
      </c>
      <c r="AR5" s="541" t="s">
        <v>7</v>
      </c>
      <c r="AS5" s="4">
        <v>1401.51</v>
      </c>
      <c r="AT5" s="4">
        <v>5773.7</v>
      </c>
      <c r="AU5" s="4">
        <v>24.27</v>
      </c>
    </row>
    <row r="6" spans="1:47" x14ac:dyDescent="0.25">
      <c r="B6">
        <v>2011</v>
      </c>
      <c r="C6">
        <v>7</v>
      </c>
      <c r="D6">
        <v>378.08</v>
      </c>
      <c r="E6" t="s">
        <v>14</v>
      </c>
      <c r="I6">
        <v>2011</v>
      </c>
      <c r="J6">
        <v>7</v>
      </c>
      <c r="K6">
        <v>8.5399999999999991</v>
      </c>
      <c r="L6" t="s">
        <v>14</v>
      </c>
      <c r="P6">
        <v>2011</v>
      </c>
      <c r="Q6">
        <v>7</v>
      </c>
      <c r="R6">
        <v>378.08</v>
      </c>
      <c r="S6">
        <v>8.5399999999999991</v>
      </c>
      <c r="T6" t="s">
        <v>14</v>
      </c>
      <c r="V6">
        <v>2.25</v>
      </c>
      <c r="AR6" s="3">
        <v>2</v>
      </c>
      <c r="AS6" s="4">
        <v>1343.08</v>
      </c>
      <c r="AT6" s="4">
        <v>3553.52</v>
      </c>
      <c r="AU6" s="4">
        <v>37.79</v>
      </c>
    </row>
    <row r="7" spans="1:47" x14ac:dyDescent="0.25">
      <c r="B7">
        <v>2011</v>
      </c>
      <c r="C7">
        <v>10</v>
      </c>
      <c r="D7">
        <v>54.4</v>
      </c>
      <c r="E7" t="s">
        <v>6</v>
      </c>
      <c r="I7">
        <v>2011</v>
      </c>
      <c r="J7">
        <v>10</v>
      </c>
      <c r="K7">
        <v>1.5</v>
      </c>
      <c r="L7" t="s">
        <v>6</v>
      </c>
      <c r="P7">
        <v>2011</v>
      </c>
      <c r="Q7">
        <v>10</v>
      </c>
      <c r="R7">
        <v>54.4</v>
      </c>
      <c r="S7">
        <v>1.5</v>
      </c>
      <c r="T7" t="s">
        <v>6</v>
      </c>
      <c r="V7">
        <v>2.75</v>
      </c>
      <c r="AR7" s="541" t="s">
        <v>15</v>
      </c>
      <c r="AS7" s="4">
        <v>1343.08</v>
      </c>
      <c r="AT7" s="4">
        <v>3553.52</v>
      </c>
      <c r="AU7" s="4">
        <v>37.79</v>
      </c>
    </row>
    <row r="8" spans="1:47" x14ac:dyDescent="0.25">
      <c r="B8">
        <v>2011</v>
      </c>
      <c r="C8">
        <v>12</v>
      </c>
      <c r="D8">
        <v>272</v>
      </c>
      <c r="E8" t="s">
        <v>4</v>
      </c>
      <c r="I8">
        <v>2011</v>
      </c>
      <c r="J8">
        <v>12</v>
      </c>
      <c r="K8">
        <v>7.5</v>
      </c>
      <c r="L8" t="s">
        <v>4</v>
      </c>
      <c r="P8">
        <v>2011</v>
      </c>
      <c r="Q8">
        <v>12</v>
      </c>
      <c r="R8">
        <v>272</v>
      </c>
      <c r="S8">
        <v>7.5</v>
      </c>
      <c r="T8" t="s">
        <v>4</v>
      </c>
      <c r="V8">
        <v>2.75</v>
      </c>
      <c r="AR8" s="3">
        <v>3</v>
      </c>
      <c r="AS8" s="4">
        <v>823.62</v>
      </c>
      <c r="AT8" s="4">
        <v>5325.81</v>
      </c>
      <c r="AU8" s="4">
        <v>15.46</v>
      </c>
    </row>
    <row r="9" spans="1:47" x14ac:dyDescent="0.25">
      <c r="B9">
        <v>2012</v>
      </c>
      <c r="C9">
        <v>1</v>
      </c>
      <c r="D9">
        <v>192</v>
      </c>
      <c r="E9" t="s">
        <v>12</v>
      </c>
      <c r="F9">
        <v>6</v>
      </c>
      <c r="I9">
        <v>2012</v>
      </c>
      <c r="J9">
        <v>1</v>
      </c>
      <c r="K9">
        <v>4.43</v>
      </c>
      <c r="L9" t="s">
        <v>12</v>
      </c>
      <c r="M9">
        <v>6</v>
      </c>
      <c r="P9">
        <v>2012</v>
      </c>
      <c r="Q9">
        <v>1</v>
      </c>
      <c r="R9">
        <v>192</v>
      </c>
      <c r="S9">
        <v>4.43</v>
      </c>
      <c r="T9" t="s">
        <v>12</v>
      </c>
      <c r="U9">
        <v>6</v>
      </c>
      <c r="V9">
        <v>2.2999999999999998</v>
      </c>
      <c r="AR9" s="541" t="s">
        <v>6</v>
      </c>
      <c r="AS9" s="4">
        <v>823.62</v>
      </c>
      <c r="AT9" s="4">
        <v>5325.81</v>
      </c>
      <c r="AU9" s="4">
        <v>15.46</v>
      </c>
    </row>
    <row r="10" spans="1:47" x14ac:dyDescent="0.25">
      <c r="B10">
        <v>2012</v>
      </c>
      <c r="C10">
        <v>2</v>
      </c>
      <c r="D10">
        <v>628.16</v>
      </c>
      <c r="E10" t="s">
        <v>8</v>
      </c>
      <c r="F10">
        <v>7</v>
      </c>
      <c r="I10">
        <v>2012</v>
      </c>
      <c r="J10">
        <v>2</v>
      </c>
      <c r="K10">
        <v>12.6</v>
      </c>
      <c r="L10" t="s">
        <v>8</v>
      </c>
      <c r="M10">
        <v>7</v>
      </c>
      <c r="P10">
        <v>2012</v>
      </c>
      <c r="Q10">
        <v>2</v>
      </c>
      <c r="R10">
        <v>628.16</v>
      </c>
      <c r="S10">
        <v>12.6</v>
      </c>
      <c r="T10" t="s">
        <v>8</v>
      </c>
      <c r="U10">
        <v>7</v>
      </c>
      <c r="V10">
        <v>2</v>
      </c>
      <c r="AR10" s="3">
        <v>4</v>
      </c>
      <c r="AS10" s="4">
        <v>559.84</v>
      </c>
      <c r="AT10" s="4">
        <v>4401.82</v>
      </c>
      <c r="AU10" s="4">
        <v>12.71</v>
      </c>
    </row>
    <row r="11" spans="1:47" x14ac:dyDescent="0.25">
      <c r="B11">
        <v>2012</v>
      </c>
      <c r="C11">
        <v>3</v>
      </c>
      <c r="D11">
        <v>1632.8</v>
      </c>
      <c r="E11" t="s">
        <v>10</v>
      </c>
      <c r="F11">
        <v>8</v>
      </c>
      <c r="I11">
        <v>2012</v>
      </c>
      <c r="J11">
        <v>3</v>
      </c>
      <c r="K11">
        <v>32.659999999999997</v>
      </c>
      <c r="L11" t="s">
        <v>10</v>
      </c>
      <c r="M11">
        <v>8</v>
      </c>
      <c r="P11">
        <v>2012</v>
      </c>
      <c r="Q11">
        <v>3</v>
      </c>
      <c r="R11">
        <v>1632.8</v>
      </c>
      <c r="S11">
        <v>32.659999999999997</v>
      </c>
      <c r="T11" t="s">
        <v>10</v>
      </c>
      <c r="U11">
        <v>8</v>
      </c>
      <c r="V11">
        <v>2</v>
      </c>
      <c r="AR11" s="541" t="s">
        <v>9</v>
      </c>
      <c r="AS11" s="4">
        <v>559.84</v>
      </c>
      <c r="AT11" s="4">
        <v>4401.82</v>
      </c>
      <c r="AU11" s="4">
        <v>12.71</v>
      </c>
    </row>
    <row r="12" spans="1:47" x14ac:dyDescent="0.25">
      <c r="B12">
        <v>2012</v>
      </c>
      <c r="C12">
        <v>4</v>
      </c>
      <c r="D12">
        <v>579.84</v>
      </c>
      <c r="E12" t="s">
        <v>5</v>
      </c>
      <c r="F12">
        <v>9</v>
      </c>
      <c r="I12">
        <v>2012</v>
      </c>
      <c r="J12">
        <v>4</v>
      </c>
      <c r="K12">
        <v>9.1</v>
      </c>
      <c r="L12" t="s">
        <v>5</v>
      </c>
      <c r="M12">
        <v>9</v>
      </c>
      <c r="P12">
        <v>2012</v>
      </c>
      <c r="Q12">
        <v>4</v>
      </c>
      <c r="R12">
        <v>579.84</v>
      </c>
      <c r="S12">
        <v>9.1</v>
      </c>
      <c r="T12" t="s">
        <v>5</v>
      </c>
      <c r="U12">
        <v>9</v>
      </c>
      <c r="V12">
        <v>1.56</v>
      </c>
      <c r="AR12" s="3">
        <v>5</v>
      </c>
      <c r="AS12" s="4">
        <v>320.55</v>
      </c>
      <c r="AT12" s="4">
        <v>5807.86</v>
      </c>
      <c r="AU12" s="4">
        <v>5.51</v>
      </c>
    </row>
    <row r="13" spans="1:47" x14ac:dyDescent="0.25">
      <c r="B13">
        <v>2012</v>
      </c>
      <c r="C13">
        <v>5</v>
      </c>
      <c r="D13">
        <v>288.32</v>
      </c>
      <c r="E13" t="s">
        <v>11</v>
      </c>
      <c r="F13">
        <v>10</v>
      </c>
      <c r="I13">
        <v>2012</v>
      </c>
      <c r="J13">
        <v>5</v>
      </c>
      <c r="K13">
        <v>5.96</v>
      </c>
      <c r="L13" t="s">
        <v>11</v>
      </c>
      <c r="M13">
        <v>10</v>
      </c>
      <c r="P13">
        <v>2012</v>
      </c>
      <c r="Q13">
        <v>5</v>
      </c>
      <c r="R13">
        <v>288.32</v>
      </c>
      <c r="S13">
        <v>5.96</v>
      </c>
      <c r="T13" t="s">
        <v>11</v>
      </c>
      <c r="U13">
        <v>10</v>
      </c>
      <c r="V13">
        <v>2.06</v>
      </c>
      <c r="AR13" s="541" t="s">
        <v>4</v>
      </c>
      <c r="AS13" s="4">
        <v>320.55</v>
      </c>
      <c r="AT13" s="4">
        <v>5807.86</v>
      </c>
      <c r="AU13" s="4">
        <v>5.51</v>
      </c>
    </row>
    <row r="14" spans="1:47" x14ac:dyDescent="0.25">
      <c r="B14">
        <v>2012</v>
      </c>
      <c r="C14">
        <v>9</v>
      </c>
      <c r="D14">
        <v>41.6</v>
      </c>
      <c r="E14" t="s">
        <v>15</v>
      </c>
      <c r="F14">
        <v>2</v>
      </c>
      <c r="I14">
        <v>2012</v>
      </c>
      <c r="J14">
        <v>9</v>
      </c>
      <c r="K14">
        <v>2.25</v>
      </c>
      <c r="L14" t="s">
        <v>15</v>
      </c>
      <c r="M14">
        <v>2</v>
      </c>
      <c r="P14">
        <v>2012</v>
      </c>
      <c r="Q14">
        <v>9</v>
      </c>
      <c r="R14">
        <v>41.6</v>
      </c>
      <c r="S14">
        <v>2.25</v>
      </c>
      <c r="T14" t="s">
        <v>15</v>
      </c>
      <c r="U14">
        <v>2</v>
      </c>
      <c r="V14">
        <v>5.4</v>
      </c>
      <c r="AR14" s="3">
        <v>6</v>
      </c>
      <c r="AS14" s="4">
        <v>1063.43</v>
      </c>
      <c r="AT14" s="4">
        <v>19417.45</v>
      </c>
      <c r="AU14" s="4">
        <v>5.47</v>
      </c>
    </row>
    <row r="15" spans="1:47" x14ac:dyDescent="0.25">
      <c r="B15">
        <v>2012</v>
      </c>
      <c r="C15">
        <v>10</v>
      </c>
      <c r="D15">
        <v>208</v>
      </c>
      <c r="E15" t="s">
        <v>6</v>
      </c>
      <c r="F15">
        <v>3</v>
      </c>
      <c r="I15">
        <v>2012</v>
      </c>
      <c r="J15">
        <v>10</v>
      </c>
      <c r="K15">
        <v>3.76</v>
      </c>
      <c r="L15" t="s">
        <v>6</v>
      </c>
      <c r="M15">
        <v>3</v>
      </c>
      <c r="P15">
        <v>2012</v>
      </c>
      <c r="Q15">
        <v>10</v>
      </c>
      <c r="R15">
        <v>208</v>
      </c>
      <c r="S15">
        <v>3.76</v>
      </c>
      <c r="T15" t="s">
        <v>6</v>
      </c>
      <c r="U15">
        <v>3</v>
      </c>
      <c r="V15">
        <v>1.8</v>
      </c>
      <c r="AR15" s="541" t="s">
        <v>12</v>
      </c>
      <c r="AS15" s="4">
        <v>1063.43</v>
      </c>
      <c r="AT15" s="4">
        <v>19417.45</v>
      </c>
      <c r="AU15" s="4">
        <v>5.47</v>
      </c>
    </row>
    <row r="16" spans="1:47" x14ac:dyDescent="0.25">
      <c r="B16">
        <v>2012</v>
      </c>
      <c r="C16">
        <v>11</v>
      </c>
      <c r="D16">
        <v>38.4</v>
      </c>
      <c r="E16" t="s">
        <v>9</v>
      </c>
      <c r="F16">
        <v>4</v>
      </c>
      <c r="I16">
        <v>2012</v>
      </c>
      <c r="J16">
        <v>11</v>
      </c>
      <c r="K16">
        <v>0.59</v>
      </c>
      <c r="L16" t="s">
        <v>9</v>
      </c>
      <c r="M16">
        <v>4</v>
      </c>
      <c r="P16">
        <v>2012</v>
      </c>
      <c r="Q16">
        <v>11</v>
      </c>
      <c r="R16">
        <v>38.4</v>
      </c>
      <c r="S16">
        <v>0.59</v>
      </c>
      <c r="T16" t="s">
        <v>9</v>
      </c>
      <c r="U16">
        <v>4</v>
      </c>
      <c r="V16">
        <v>1.53</v>
      </c>
      <c r="AR16" s="3">
        <v>7</v>
      </c>
      <c r="AS16" s="4">
        <v>290.64999999999998</v>
      </c>
      <c r="AT16" s="4">
        <v>14882.01</v>
      </c>
      <c r="AU16" s="4">
        <v>1.95</v>
      </c>
    </row>
    <row r="17" spans="2:47" x14ac:dyDescent="0.25">
      <c r="B17">
        <v>2013</v>
      </c>
      <c r="C17">
        <v>3</v>
      </c>
      <c r="D17">
        <v>711.36</v>
      </c>
      <c r="E17" t="s">
        <v>10</v>
      </c>
      <c r="F17">
        <v>8</v>
      </c>
      <c r="I17">
        <v>2013</v>
      </c>
      <c r="J17">
        <v>3</v>
      </c>
      <c r="K17">
        <v>17.48</v>
      </c>
      <c r="L17" t="s">
        <v>10</v>
      </c>
      <c r="M17">
        <v>8</v>
      </c>
      <c r="P17">
        <v>2013</v>
      </c>
      <c r="Q17">
        <v>3</v>
      </c>
      <c r="R17">
        <v>711.36</v>
      </c>
      <c r="S17">
        <v>17.48</v>
      </c>
      <c r="T17" t="s">
        <v>10</v>
      </c>
      <c r="U17">
        <v>8</v>
      </c>
      <c r="V17">
        <v>2.4500000000000002</v>
      </c>
      <c r="AR17" s="541" t="s">
        <v>8</v>
      </c>
      <c r="AS17" s="4">
        <v>290.64999999999998</v>
      </c>
      <c r="AT17" s="4">
        <v>14882.01</v>
      </c>
      <c r="AU17" s="4">
        <v>1.95</v>
      </c>
    </row>
    <row r="18" spans="2:47" x14ac:dyDescent="0.25">
      <c r="B18">
        <v>2013</v>
      </c>
      <c r="C18">
        <v>4</v>
      </c>
      <c r="D18">
        <v>1611.36</v>
      </c>
      <c r="E18" t="s">
        <v>5</v>
      </c>
      <c r="F18">
        <v>9</v>
      </c>
      <c r="I18">
        <v>2013</v>
      </c>
      <c r="J18">
        <v>4</v>
      </c>
      <c r="K18">
        <v>28.82</v>
      </c>
      <c r="L18" t="s">
        <v>5</v>
      </c>
      <c r="M18">
        <v>9</v>
      </c>
      <c r="P18">
        <v>2013</v>
      </c>
      <c r="Q18">
        <v>4</v>
      </c>
      <c r="R18">
        <v>1611.36</v>
      </c>
      <c r="S18">
        <v>28.82</v>
      </c>
      <c r="T18" t="s">
        <v>5</v>
      </c>
      <c r="U18">
        <v>9</v>
      </c>
      <c r="V18">
        <v>1.78</v>
      </c>
      <c r="AR18" s="3">
        <v>8</v>
      </c>
      <c r="AS18" s="4">
        <v>219.28</v>
      </c>
      <c r="AT18" s="4">
        <v>2017.78</v>
      </c>
      <c r="AU18" s="4">
        <v>10.86</v>
      </c>
    </row>
    <row r="19" spans="2:47" x14ac:dyDescent="0.25">
      <c r="B19">
        <v>2013</v>
      </c>
      <c r="C19">
        <v>7</v>
      </c>
      <c r="D19">
        <v>730.08</v>
      </c>
      <c r="E19" t="s">
        <v>14</v>
      </c>
      <c r="F19">
        <v>12</v>
      </c>
      <c r="I19">
        <v>2013</v>
      </c>
      <c r="J19">
        <v>7</v>
      </c>
      <c r="K19">
        <v>14.85</v>
      </c>
      <c r="L19" t="s">
        <v>14</v>
      </c>
      <c r="M19">
        <v>12</v>
      </c>
      <c r="P19">
        <v>2013</v>
      </c>
      <c r="Q19">
        <v>7</v>
      </c>
      <c r="R19">
        <v>730.08</v>
      </c>
      <c r="S19">
        <v>14.85</v>
      </c>
      <c r="T19" t="s">
        <v>14</v>
      </c>
      <c r="U19">
        <v>12</v>
      </c>
      <c r="V19">
        <v>2.0299999999999998</v>
      </c>
      <c r="AR19" s="541" t="s">
        <v>10</v>
      </c>
      <c r="AS19" s="4">
        <v>219.28</v>
      </c>
      <c r="AT19" s="4">
        <v>2017.78</v>
      </c>
      <c r="AU19" s="4">
        <v>10.86</v>
      </c>
    </row>
    <row r="20" spans="2:47" x14ac:dyDescent="0.25">
      <c r="B20">
        <v>2013</v>
      </c>
      <c r="C20">
        <v>10</v>
      </c>
      <c r="D20">
        <v>1957.76</v>
      </c>
      <c r="E20" t="s">
        <v>6</v>
      </c>
      <c r="F20">
        <v>3</v>
      </c>
      <c r="I20">
        <v>2013</v>
      </c>
      <c r="J20">
        <v>10</v>
      </c>
      <c r="K20">
        <v>42.12</v>
      </c>
      <c r="L20" t="s">
        <v>6</v>
      </c>
      <c r="M20">
        <v>3</v>
      </c>
      <c r="P20">
        <v>2013</v>
      </c>
      <c r="Q20">
        <v>10</v>
      </c>
      <c r="R20">
        <v>1957.76</v>
      </c>
      <c r="S20">
        <v>42.12</v>
      </c>
      <c r="T20" t="s">
        <v>6</v>
      </c>
      <c r="U20">
        <v>3</v>
      </c>
      <c r="V20">
        <v>2.15</v>
      </c>
      <c r="AR20" s="3">
        <v>9</v>
      </c>
      <c r="AS20" s="4">
        <v>259.75</v>
      </c>
      <c r="AT20" s="4">
        <v>2168.65</v>
      </c>
      <c r="AU20" s="4">
        <v>11.97</v>
      </c>
    </row>
    <row r="21" spans="2:47" x14ac:dyDescent="0.25">
      <c r="B21">
        <v>2013</v>
      </c>
      <c r="C21">
        <v>11</v>
      </c>
      <c r="D21">
        <v>1172.03</v>
      </c>
      <c r="E21" t="s">
        <v>9</v>
      </c>
      <c r="F21">
        <v>4</v>
      </c>
      <c r="I21">
        <v>2013</v>
      </c>
      <c r="J21">
        <v>11</v>
      </c>
      <c r="K21">
        <v>35.619999999999997</v>
      </c>
      <c r="L21" t="s">
        <v>9</v>
      </c>
      <c r="M21">
        <v>4</v>
      </c>
      <c r="P21">
        <v>2013</v>
      </c>
      <c r="Q21">
        <v>11</v>
      </c>
      <c r="R21">
        <v>1172.03</v>
      </c>
      <c r="S21">
        <v>35.619999999999997</v>
      </c>
      <c r="T21" t="s">
        <v>9</v>
      </c>
      <c r="U21">
        <v>4</v>
      </c>
      <c r="V21">
        <v>3.03</v>
      </c>
      <c r="AR21" s="541" t="s">
        <v>5</v>
      </c>
      <c r="AS21" s="4">
        <v>259.75</v>
      </c>
      <c r="AT21" s="4">
        <v>2168.65</v>
      </c>
      <c r="AU21" s="4">
        <v>11.97</v>
      </c>
    </row>
    <row r="22" spans="2:47" x14ac:dyDescent="0.25">
      <c r="B22">
        <v>2014</v>
      </c>
      <c r="C22">
        <v>1</v>
      </c>
      <c r="D22">
        <v>1271.51</v>
      </c>
      <c r="E22" t="s">
        <v>12</v>
      </c>
      <c r="F22">
        <v>6</v>
      </c>
      <c r="I22">
        <v>2014</v>
      </c>
      <c r="J22">
        <v>1</v>
      </c>
      <c r="K22">
        <v>21.08</v>
      </c>
      <c r="L22" t="s">
        <v>12</v>
      </c>
      <c r="M22">
        <v>6</v>
      </c>
      <c r="P22">
        <v>2014</v>
      </c>
      <c r="Q22">
        <v>1</v>
      </c>
      <c r="R22">
        <v>1271.51</v>
      </c>
      <c r="S22">
        <v>21.08</v>
      </c>
      <c r="T22" t="s">
        <v>12</v>
      </c>
      <c r="U22">
        <v>6</v>
      </c>
      <c r="V22">
        <v>1.65</v>
      </c>
      <c r="AR22" s="3">
        <v>10</v>
      </c>
      <c r="AS22" s="4">
        <v>136.09</v>
      </c>
      <c r="AT22" s="4">
        <v>972.55</v>
      </c>
      <c r="AU22" s="4">
        <v>13.99</v>
      </c>
    </row>
    <row r="23" spans="2:47" x14ac:dyDescent="0.25">
      <c r="B23">
        <v>2014</v>
      </c>
      <c r="C23">
        <v>2</v>
      </c>
      <c r="D23">
        <v>556.66</v>
      </c>
      <c r="E23" t="s">
        <v>8</v>
      </c>
      <c r="F23">
        <v>7</v>
      </c>
      <c r="I23">
        <v>2014</v>
      </c>
      <c r="J23">
        <v>2</v>
      </c>
      <c r="K23">
        <v>0.91</v>
      </c>
      <c r="L23" t="s">
        <v>8</v>
      </c>
      <c r="M23">
        <v>7</v>
      </c>
      <c r="P23">
        <v>2014</v>
      </c>
      <c r="Q23">
        <v>2</v>
      </c>
      <c r="R23">
        <v>556.66</v>
      </c>
      <c r="S23">
        <v>0.91</v>
      </c>
      <c r="T23" t="s">
        <v>8</v>
      </c>
      <c r="U23">
        <v>7</v>
      </c>
      <c r="V23">
        <v>0.16</v>
      </c>
      <c r="AR23" s="541" t="s">
        <v>11</v>
      </c>
      <c r="AS23" s="4">
        <v>136.09</v>
      </c>
      <c r="AT23" s="4">
        <v>972.55</v>
      </c>
      <c r="AU23" s="4">
        <v>13.99</v>
      </c>
    </row>
    <row r="24" spans="2:47" x14ac:dyDescent="0.25">
      <c r="B24">
        <v>2014</v>
      </c>
      <c r="C24">
        <v>3</v>
      </c>
      <c r="D24">
        <v>1830.66</v>
      </c>
      <c r="E24" t="s">
        <v>10</v>
      </c>
      <c r="F24">
        <v>8</v>
      </c>
      <c r="I24">
        <v>2014</v>
      </c>
      <c r="J24">
        <v>3</v>
      </c>
      <c r="K24">
        <v>25.18</v>
      </c>
      <c r="L24" t="s">
        <v>10</v>
      </c>
      <c r="M24">
        <v>8</v>
      </c>
      <c r="P24">
        <v>2014</v>
      </c>
      <c r="Q24">
        <v>3</v>
      </c>
      <c r="R24">
        <v>1830.66</v>
      </c>
      <c r="S24">
        <v>25.18</v>
      </c>
      <c r="T24" t="s">
        <v>10</v>
      </c>
      <c r="U24">
        <v>8</v>
      </c>
      <c r="V24">
        <v>1.37</v>
      </c>
      <c r="AR24" s="3">
        <v>11</v>
      </c>
      <c r="AS24" s="4">
        <v>151.81</v>
      </c>
      <c r="AT24" s="4">
        <v>2684.11</v>
      </c>
      <c r="AU24" s="4">
        <v>5.65</v>
      </c>
    </row>
    <row r="25" spans="2:47" x14ac:dyDescent="0.25">
      <c r="B25">
        <v>2014</v>
      </c>
      <c r="C25">
        <v>4</v>
      </c>
      <c r="D25">
        <v>719.99</v>
      </c>
      <c r="E25" t="s">
        <v>5</v>
      </c>
      <c r="F25">
        <v>9</v>
      </c>
      <c r="I25">
        <v>2014</v>
      </c>
      <c r="J25">
        <v>4</v>
      </c>
      <c r="K25">
        <v>3.41</v>
      </c>
      <c r="L25" t="s">
        <v>5</v>
      </c>
      <c r="M25">
        <v>9</v>
      </c>
      <c r="P25">
        <v>2014</v>
      </c>
      <c r="Q25">
        <v>4</v>
      </c>
      <c r="R25">
        <v>719.99</v>
      </c>
      <c r="S25">
        <v>3.41</v>
      </c>
      <c r="T25" t="s">
        <v>5</v>
      </c>
      <c r="U25">
        <v>9</v>
      </c>
      <c r="V25">
        <v>0.47</v>
      </c>
      <c r="AR25" s="541" t="s">
        <v>13</v>
      </c>
      <c r="AS25" s="4">
        <v>151.81</v>
      </c>
      <c r="AT25" s="4">
        <v>2684.11</v>
      </c>
      <c r="AU25" s="4">
        <v>5.65</v>
      </c>
    </row>
    <row r="26" spans="2:47" x14ac:dyDescent="0.25">
      <c r="B26">
        <v>2014</v>
      </c>
      <c r="C26">
        <v>5</v>
      </c>
      <c r="D26">
        <v>536.07000000000005</v>
      </c>
      <c r="E26" t="s">
        <v>11</v>
      </c>
      <c r="F26">
        <v>10</v>
      </c>
      <c r="I26">
        <v>2014</v>
      </c>
      <c r="J26">
        <v>5</v>
      </c>
      <c r="K26">
        <v>14.96</v>
      </c>
      <c r="L26" t="s">
        <v>11</v>
      </c>
      <c r="M26">
        <v>10</v>
      </c>
      <c r="P26">
        <v>2014</v>
      </c>
      <c r="Q26">
        <v>5</v>
      </c>
      <c r="R26">
        <v>536.07000000000005</v>
      </c>
      <c r="S26">
        <v>14.96</v>
      </c>
      <c r="T26" t="s">
        <v>11</v>
      </c>
      <c r="U26">
        <v>10</v>
      </c>
      <c r="V26">
        <v>2.79</v>
      </c>
      <c r="AR26" s="3">
        <v>12</v>
      </c>
      <c r="AS26" s="4">
        <v>55.57</v>
      </c>
      <c r="AT26" s="4">
        <v>1604.29</v>
      </c>
      <c r="AU26" s="4">
        <v>3.46</v>
      </c>
    </row>
    <row r="27" spans="2:47" x14ac:dyDescent="0.25">
      <c r="B27">
        <v>2014</v>
      </c>
      <c r="C27">
        <v>6</v>
      </c>
      <c r="D27">
        <v>444.24</v>
      </c>
      <c r="E27" t="s">
        <v>13</v>
      </c>
      <c r="F27">
        <v>11</v>
      </c>
      <c r="I27">
        <v>2014</v>
      </c>
      <c r="J27">
        <v>6</v>
      </c>
      <c r="K27">
        <v>28.59</v>
      </c>
      <c r="L27" t="s">
        <v>13</v>
      </c>
      <c r="M27">
        <v>11</v>
      </c>
      <c r="P27">
        <v>2014</v>
      </c>
      <c r="Q27">
        <v>6</v>
      </c>
      <c r="R27">
        <v>444.24</v>
      </c>
      <c r="S27">
        <v>28.59</v>
      </c>
      <c r="T27" t="s">
        <v>13</v>
      </c>
      <c r="U27">
        <v>11</v>
      </c>
      <c r="V27">
        <v>6.43</v>
      </c>
      <c r="AR27" s="541" t="s">
        <v>14</v>
      </c>
      <c r="AS27" s="4">
        <v>55.57</v>
      </c>
      <c r="AT27" s="4">
        <v>1604.29</v>
      </c>
      <c r="AU27" s="4">
        <v>3.46</v>
      </c>
    </row>
    <row r="28" spans="2:47" x14ac:dyDescent="0.25">
      <c r="B28">
        <v>2014</v>
      </c>
      <c r="C28">
        <v>7</v>
      </c>
      <c r="D28">
        <v>2684.99</v>
      </c>
      <c r="E28" t="s">
        <v>14</v>
      </c>
      <c r="F28">
        <v>12</v>
      </c>
      <c r="I28">
        <v>2014</v>
      </c>
      <c r="J28">
        <v>7</v>
      </c>
      <c r="K28">
        <v>148.25</v>
      </c>
      <c r="L28" t="s">
        <v>14</v>
      </c>
      <c r="M28">
        <v>12</v>
      </c>
      <c r="P28">
        <v>2014</v>
      </c>
      <c r="Q28">
        <v>7</v>
      </c>
      <c r="R28">
        <v>2684.99</v>
      </c>
      <c r="S28">
        <v>148.25</v>
      </c>
      <c r="T28" t="s">
        <v>14</v>
      </c>
      <c r="U28">
        <v>12</v>
      </c>
      <c r="V28">
        <v>5.52</v>
      </c>
      <c r="AR28" s="2" t="s">
        <v>17</v>
      </c>
      <c r="AS28" s="4">
        <v>6625.18</v>
      </c>
      <c r="AT28" s="4">
        <v>68609.55</v>
      </c>
      <c r="AU28" s="4">
        <v>149.09000000000003</v>
      </c>
    </row>
    <row r="29" spans="2:47" x14ac:dyDescent="0.25">
      <c r="B29">
        <v>2014</v>
      </c>
      <c r="C29">
        <v>8</v>
      </c>
      <c r="D29">
        <v>1470.88</v>
      </c>
      <c r="E29" t="s">
        <v>7</v>
      </c>
      <c r="F29">
        <v>1</v>
      </c>
      <c r="I29">
        <v>2014</v>
      </c>
      <c r="J29">
        <v>8</v>
      </c>
      <c r="K29">
        <v>26.63</v>
      </c>
      <c r="L29" t="s">
        <v>7</v>
      </c>
      <c r="M29">
        <v>1</v>
      </c>
      <c r="P29">
        <v>2014</v>
      </c>
      <c r="Q29">
        <v>8</v>
      </c>
      <c r="R29">
        <v>1470.88</v>
      </c>
      <c r="S29">
        <v>26.63</v>
      </c>
      <c r="T29" t="s">
        <v>7</v>
      </c>
      <c r="U29">
        <v>1</v>
      </c>
      <c r="V29">
        <v>1.81</v>
      </c>
    </row>
    <row r="30" spans="2:47" x14ac:dyDescent="0.25">
      <c r="B30">
        <v>2014</v>
      </c>
      <c r="C30">
        <v>9</v>
      </c>
      <c r="D30">
        <v>1199.98</v>
      </c>
      <c r="E30" t="s">
        <v>15</v>
      </c>
      <c r="F30">
        <v>2</v>
      </c>
      <c r="I30">
        <v>2014</v>
      </c>
      <c r="J30">
        <v>9</v>
      </c>
      <c r="K30">
        <v>0.18</v>
      </c>
      <c r="L30" t="s">
        <v>15</v>
      </c>
      <c r="M30">
        <v>2</v>
      </c>
      <c r="P30">
        <v>2014</v>
      </c>
      <c r="Q30">
        <v>9</v>
      </c>
      <c r="R30">
        <v>1199.98</v>
      </c>
      <c r="S30">
        <v>0.18</v>
      </c>
      <c r="T30" t="s">
        <v>15</v>
      </c>
      <c r="U30">
        <v>2</v>
      </c>
      <c r="V30">
        <v>0.01</v>
      </c>
    </row>
    <row r="31" spans="2:47" x14ac:dyDescent="0.25">
      <c r="B31">
        <v>2014</v>
      </c>
      <c r="C31">
        <v>10</v>
      </c>
      <c r="D31">
        <v>666.66</v>
      </c>
      <c r="E31" t="s">
        <v>6</v>
      </c>
      <c r="F31">
        <v>3</v>
      </c>
      <c r="I31">
        <v>2014</v>
      </c>
      <c r="J31">
        <v>10</v>
      </c>
      <c r="K31">
        <v>1.71</v>
      </c>
      <c r="L31" t="s">
        <v>6</v>
      </c>
      <c r="M31">
        <v>3</v>
      </c>
      <c r="P31">
        <v>2014</v>
      </c>
      <c r="Q31">
        <v>10</v>
      </c>
      <c r="R31">
        <v>666.66</v>
      </c>
      <c r="S31">
        <v>1.71</v>
      </c>
      <c r="T31" t="s">
        <v>6</v>
      </c>
      <c r="U31">
        <v>3</v>
      </c>
      <c r="V31">
        <v>0.25</v>
      </c>
    </row>
    <row r="32" spans="2:47" x14ac:dyDescent="0.25">
      <c r="B32">
        <v>2014</v>
      </c>
      <c r="C32">
        <v>11</v>
      </c>
      <c r="D32">
        <v>609.44000000000005</v>
      </c>
      <c r="E32" t="s">
        <v>9</v>
      </c>
      <c r="F32">
        <v>4</v>
      </c>
      <c r="I32">
        <v>2014</v>
      </c>
      <c r="J32">
        <v>11</v>
      </c>
      <c r="K32">
        <v>10.43</v>
      </c>
      <c r="L32" t="s">
        <v>9</v>
      </c>
      <c r="M32">
        <v>4</v>
      </c>
      <c r="P32">
        <v>2014</v>
      </c>
      <c r="Q32">
        <v>11</v>
      </c>
      <c r="R32">
        <v>609.44000000000005</v>
      </c>
      <c r="S32">
        <v>10.43</v>
      </c>
      <c r="T32" t="s">
        <v>9</v>
      </c>
      <c r="U32">
        <v>4</v>
      </c>
      <c r="V32">
        <v>1.71</v>
      </c>
    </row>
    <row r="33" spans="2:22" x14ac:dyDescent="0.25">
      <c r="B33">
        <v>2014</v>
      </c>
      <c r="C33">
        <v>12</v>
      </c>
      <c r="D33">
        <v>562.55999999999995</v>
      </c>
      <c r="E33" t="s">
        <v>4</v>
      </c>
      <c r="F33">
        <v>5</v>
      </c>
      <c r="I33">
        <v>2014</v>
      </c>
      <c r="J33">
        <v>12</v>
      </c>
      <c r="K33">
        <v>11.3</v>
      </c>
      <c r="L33" t="s">
        <v>4</v>
      </c>
      <c r="M33">
        <v>5</v>
      </c>
      <c r="P33">
        <v>2014</v>
      </c>
      <c r="Q33">
        <v>12</v>
      </c>
      <c r="R33">
        <v>562.55999999999995</v>
      </c>
      <c r="S33">
        <v>11.3</v>
      </c>
      <c r="T33" t="s">
        <v>4</v>
      </c>
      <c r="U33">
        <v>5</v>
      </c>
      <c r="V33">
        <v>2</v>
      </c>
    </row>
    <row r="34" spans="2:22" x14ac:dyDescent="0.25">
      <c r="B34">
        <v>2015</v>
      </c>
      <c r="C34">
        <v>1</v>
      </c>
      <c r="D34">
        <v>19417.45</v>
      </c>
      <c r="E34" t="s">
        <v>12</v>
      </c>
      <c r="F34">
        <v>6</v>
      </c>
      <c r="I34">
        <v>2015</v>
      </c>
      <c r="J34">
        <v>1</v>
      </c>
      <c r="K34">
        <v>1063.43</v>
      </c>
      <c r="L34" t="s">
        <v>12</v>
      </c>
      <c r="M34">
        <v>6</v>
      </c>
      <c r="P34">
        <v>2015</v>
      </c>
      <c r="Q34">
        <v>1</v>
      </c>
      <c r="R34">
        <v>19417.45</v>
      </c>
      <c r="S34">
        <v>1063.43</v>
      </c>
      <c r="T34" t="s">
        <v>12</v>
      </c>
      <c r="U34">
        <v>6</v>
      </c>
      <c r="V34">
        <v>5.47</v>
      </c>
    </row>
    <row r="35" spans="2:22" x14ac:dyDescent="0.25">
      <c r="B35">
        <v>2015</v>
      </c>
      <c r="C35">
        <v>2</v>
      </c>
      <c r="D35">
        <v>14882.01</v>
      </c>
      <c r="E35" t="s">
        <v>8</v>
      </c>
      <c r="F35">
        <v>7</v>
      </c>
      <c r="I35">
        <v>2015</v>
      </c>
      <c r="J35">
        <v>2</v>
      </c>
      <c r="K35">
        <v>290.64999999999998</v>
      </c>
      <c r="L35" t="s">
        <v>8</v>
      </c>
      <c r="M35">
        <v>7</v>
      </c>
      <c r="P35">
        <v>2015</v>
      </c>
      <c r="Q35">
        <v>2</v>
      </c>
      <c r="R35">
        <v>14882.01</v>
      </c>
      <c r="S35">
        <v>290.64999999999998</v>
      </c>
      <c r="T35" t="s">
        <v>8</v>
      </c>
      <c r="U35">
        <v>7</v>
      </c>
      <c r="V35">
        <v>1.95</v>
      </c>
    </row>
    <row r="36" spans="2:22" x14ac:dyDescent="0.25">
      <c r="B36">
        <v>2015</v>
      </c>
      <c r="C36">
        <v>3</v>
      </c>
      <c r="D36">
        <v>2017.78</v>
      </c>
      <c r="E36" t="s">
        <v>10</v>
      </c>
      <c r="F36">
        <v>8</v>
      </c>
      <c r="I36">
        <v>2015</v>
      </c>
      <c r="J36">
        <v>3</v>
      </c>
      <c r="K36">
        <v>219.28</v>
      </c>
      <c r="L36" t="s">
        <v>10</v>
      </c>
      <c r="M36">
        <v>8</v>
      </c>
      <c r="P36">
        <v>2015</v>
      </c>
      <c r="Q36">
        <v>3</v>
      </c>
      <c r="R36">
        <v>2017.78</v>
      </c>
      <c r="S36">
        <v>219.28</v>
      </c>
      <c r="T36" t="s">
        <v>10</v>
      </c>
      <c r="U36">
        <v>8</v>
      </c>
      <c r="V36">
        <v>10.86</v>
      </c>
    </row>
    <row r="37" spans="2:22" x14ac:dyDescent="0.25">
      <c r="B37">
        <v>2015</v>
      </c>
      <c r="C37">
        <v>4</v>
      </c>
      <c r="D37">
        <v>2168.65</v>
      </c>
      <c r="E37" t="s">
        <v>5</v>
      </c>
      <c r="F37">
        <v>9</v>
      </c>
      <c r="I37">
        <v>2015</v>
      </c>
      <c r="J37">
        <v>4</v>
      </c>
      <c r="K37">
        <v>259.75</v>
      </c>
      <c r="L37" t="s">
        <v>5</v>
      </c>
      <c r="M37">
        <v>9</v>
      </c>
      <c r="P37">
        <v>2015</v>
      </c>
      <c r="Q37">
        <v>4</v>
      </c>
      <c r="R37">
        <v>2168.65</v>
      </c>
      <c r="S37">
        <v>259.75</v>
      </c>
      <c r="T37" t="s">
        <v>5</v>
      </c>
      <c r="U37">
        <v>9</v>
      </c>
      <c r="V37">
        <v>11.97</v>
      </c>
    </row>
    <row r="38" spans="2:22" x14ac:dyDescent="0.25">
      <c r="B38">
        <v>2015</v>
      </c>
      <c r="C38">
        <v>5</v>
      </c>
      <c r="D38">
        <v>972.55</v>
      </c>
      <c r="E38" t="s">
        <v>11</v>
      </c>
      <c r="F38">
        <v>10</v>
      </c>
      <c r="I38">
        <v>2015</v>
      </c>
      <c r="J38">
        <v>5</v>
      </c>
      <c r="K38">
        <v>136.09</v>
      </c>
      <c r="L38" t="s">
        <v>11</v>
      </c>
      <c r="M38">
        <v>10</v>
      </c>
      <c r="P38">
        <v>2015</v>
      </c>
      <c r="Q38">
        <v>5</v>
      </c>
      <c r="R38">
        <v>972.55</v>
      </c>
      <c r="S38">
        <v>136.09</v>
      </c>
      <c r="T38" t="s">
        <v>11</v>
      </c>
      <c r="U38">
        <v>10</v>
      </c>
      <c r="V38">
        <v>13.99</v>
      </c>
    </row>
    <row r="39" spans="2:22" x14ac:dyDescent="0.25">
      <c r="B39">
        <v>2015</v>
      </c>
      <c r="C39">
        <v>6</v>
      </c>
      <c r="D39">
        <v>2684.11</v>
      </c>
      <c r="E39" t="s">
        <v>13</v>
      </c>
      <c r="F39">
        <v>11</v>
      </c>
      <c r="I39">
        <v>2015</v>
      </c>
      <c r="J39">
        <v>6</v>
      </c>
      <c r="K39">
        <v>151.81</v>
      </c>
      <c r="L39" t="s">
        <v>13</v>
      </c>
      <c r="M39">
        <v>11</v>
      </c>
      <c r="P39">
        <v>2015</v>
      </c>
      <c r="Q39">
        <v>6</v>
      </c>
      <c r="R39">
        <v>2684.11</v>
      </c>
      <c r="S39">
        <v>151.81</v>
      </c>
      <c r="T39" t="s">
        <v>13</v>
      </c>
      <c r="U39">
        <v>11</v>
      </c>
      <c r="V39">
        <v>5.65</v>
      </c>
    </row>
    <row r="40" spans="2:22" x14ac:dyDescent="0.25">
      <c r="B40">
        <v>2015</v>
      </c>
      <c r="C40">
        <v>7</v>
      </c>
      <c r="D40">
        <v>1604.29</v>
      </c>
      <c r="E40" t="s">
        <v>14</v>
      </c>
      <c r="F40">
        <v>12</v>
      </c>
      <c r="I40">
        <v>2015</v>
      </c>
      <c r="J40">
        <v>7</v>
      </c>
      <c r="K40">
        <v>55.57</v>
      </c>
      <c r="L40" t="s">
        <v>14</v>
      </c>
      <c r="M40">
        <v>12</v>
      </c>
      <c r="P40">
        <v>2015</v>
      </c>
      <c r="Q40">
        <v>7</v>
      </c>
      <c r="R40">
        <v>1604.29</v>
      </c>
      <c r="S40">
        <v>55.57</v>
      </c>
      <c r="T40" t="s">
        <v>14</v>
      </c>
      <c r="U40">
        <v>12</v>
      </c>
      <c r="V40">
        <v>3.46</v>
      </c>
    </row>
    <row r="41" spans="2:22" x14ac:dyDescent="0.25">
      <c r="B41">
        <v>2015</v>
      </c>
      <c r="C41">
        <v>8</v>
      </c>
      <c r="D41">
        <v>5773.7</v>
      </c>
      <c r="E41" t="s">
        <v>7</v>
      </c>
      <c r="F41">
        <v>1</v>
      </c>
      <c r="I41">
        <v>2015</v>
      </c>
      <c r="J41">
        <v>8</v>
      </c>
      <c r="K41">
        <v>1401.51</v>
      </c>
      <c r="L41" t="s">
        <v>7</v>
      </c>
      <c r="M41">
        <v>1</v>
      </c>
      <c r="P41">
        <v>2015</v>
      </c>
      <c r="Q41">
        <v>8</v>
      </c>
      <c r="R41">
        <v>5773.7</v>
      </c>
      <c r="S41">
        <v>1401.51</v>
      </c>
      <c r="T41" t="s">
        <v>7</v>
      </c>
      <c r="U41">
        <v>1</v>
      </c>
      <c r="V41">
        <v>24.27</v>
      </c>
    </row>
    <row r="42" spans="2:22" x14ac:dyDescent="0.25">
      <c r="B42">
        <v>2015</v>
      </c>
      <c r="C42">
        <v>9</v>
      </c>
      <c r="D42">
        <v>3553.52</v>
      </c>
      <c r="E42" t="s">
        <v>15</v>
      </c>
      <c r="F42">
        <v>2</v>
      </c>
      <c r="I42">
        <v>2015</v>
      </c>
      <c r="J42">
        <v>9</v>
      </c>
      <c r="K42">
        <v>1343.08</v>
      </c>
      <c r="L42" t="s">
        <v>15</v>
      </c>
      <c r="M42">
        <v>2</v>
      </c>
      <c r="P42">
        <v>2015</v>
      </c>
      <c r="Q42">
        <v>9</v>
      </c>
      <c r="R42">
        <v>3553.52</v>
      </c>
      <c r="S42">
        <v>1343.08</v>
      </c>
      <c r="T42" t="s">
        <v>15</v>
      </c>
      <c r="U42">
        <v>2</v>
      </c>
      <c r="V42">
        <v>37.79</v>
      </c>
    </row>
    <row r="43" spans="2:22" x14ac:dyDescent="0.25">
      <c r="B43">
        <v>2015</v>
      </c>
      <c r="C43">
        <v>10</v>
      </c>
      <c r="D43">
        <v>5325.81</v>
      </c>
      <c r="E43" t="s">
        <v>6</v>
      </c>
      <c r="F43">
        <v>3</v>
      </c>
      <c r="I43">
        <v>2015</v>
      </c>
      <c r="J43">
        <v>10</v>
      </c>
      <c r="K43">
        <v>823.62</v>
      </c>
      <c r="L43" t="s">
        <v>6</v>
      </c>
      <c r="M43">
        <v>3</v>
      </c>
      <c r="P43">
        <v>2015</v>
      </c>
      <c r="Q43">
        <v>10</v>
      </c>
      <c r="R43">
        <v>5325.81</v>
      </c>
      <c r="S43">
        <v>823.62</v>
      </c>
      <c r="T43" t="s">
        <v>6</v>
      </c>
      <c r="U43">
        <v>3</v>
      </c>
      <c r="V43">
        <v>15.46</v>
      </c>
    </row>
    <row r="44" spans="2:22" x14ac:dyDescent="0.25">
      <c r="B44">
        <v>2015</v>
      </c>
      <c r="C44">
        <v>11</v>
      </c>
      <c r="D44">
        <v>4401.82</v>
      </c>
      <c r="E44" t="s">
        <v>9</v>
      </c>
      <c r="F44">
        <v>4</v>
      </c>
      <c r="I44">
        <v>2015</v>
      </c>
      <c r="J44">
        <v>11</v>
      </c>
      <c r="K44">
        <v>559.84</v>
      </c>
      <c r="L44" t="s">
        <v>9</v>
      </c>
      <c r="M44">
        <v>4</v>
      </c>
      <c r="P44">
        <v>2015</v>
      </c>
      <c r="Q44">
        <v>11</v>
      </c>
      <c r="R44">
        <v>4401.82</v>
      </c>
      <c r="S44">
        <v>559.84</v>
      </c>
      <c r="T44" t="s">
        <v>9</v>
      </c>
      <c r="U44">
        <v>4</v>
      </c>
      <c r="V44">
        <v>12.71</v>
      </c>
    </row>
    <row r="45" spans="2:22" x14ac:dyDescent="0.25">
      <c r="B45">
        <v>2015</v>
      </c>
      <c r="C45">
        <v>12</v>
      </c>
      <c r="D45">
        <v>5807.86</v>
      </c>
      <c r="E45" t="s">
        <v>4</v>
      </c>
      <c r="F45">
        <v>5</v>
      </c>
      <c r="I45">
        <v>2015</v>
      </c>
      <c r="J45">
        <v>12</v>
      </c>
      <c r="K45">
        <v>320.55</v>
      </c>
      <c r="L45" t="s">
        <v>4</v>
      </c>
      <c r="M45">
        <v>5</v>
      </c>
      <c r="P45">
        <v>2015</v>
      </c>
      <c r="Q45">
        <v>12</v>
      </c>
      <c r="R45">
        <v>5807.86</v>
      </c>
      <c r="S45">
        <v>320.55</v>
      </c>
      <c r="T45" t="s">
        <v>4</v>
      </c>
      <c r="U45">
        <v>5</v>
      </c>
      <c r="V45">
        <v>5.51</v>
      </c>
    </row>
    <row r="46" spans="2:22" x14ac:dyDescent="0.25">
      <c r="B46">
        <v>2016</v>
      </c>
      <c r="C46">
        <v>1</v>
      </c>
      <c r="D46">
        <v>2465.9299999999998</v>
      </c>
      <c r="E46" t="s">
        <v>12</v>
      </c>
      <c r="F46">
        <v>6</v>
      </c>
      <c r="I46">
        <v>2016</v>
      </c>
      <c r="J46">
        <v>1</v>
      </c>
      <c r="K46">
        <v>14.12</v>
      </c>
      <c r="L46" t="s">
        <v>12</v>
      </c>
      <c r="M46">
        <v>6</v>
      </c>
      <c r="P46">
        <v>2016</v>
      </c>
      <c r="Q46">
        <v>1</v>
      </c>
      <c r="R46">
        <v>2465.9299999999998</v>
      </c>
      <c r="S46">
        <v>14.12</v>
      </c>
      <c r="T46" t="s">
        <v>12</v>
      </c>
      <c r="U46">
        <v>6</v>
      </c>
      <c r="V46">
        <v>0.56999999999999995</v>
      </c>
    </row>
    <row r="47" spans="2:22" x14ac:dyDescent="0.25">
      <c r="B47">
        <v>2016</v>
      </c>
      <c r="C47">
        <v>2</v>
      </c>
      <c r="D47">
        <v>2753.21</v>
      </c>
      <c r="E47" t="s">
        <v>8</v>
      </c>
      <c r="F47">
        <v>7</v>
      </c>
      <c r="I47">
        <v>2016</v>
      </c>
      <c r="J47">
        <v>2</v>
      </c>
      <c r="K47">
        <v>28.74</v>
      </c>
      <c r="L47" t="s">
        <v>8</v>
      </c>
      <c r="M47">
        <v>7</v>
      </c>
      <c r="P47">
        <v>2016</v>
      </c>
      <c r="Q47">
        <v>2</v>
      </c>
      <c r="R47">
        <v>2753.21</v>
      </c>
      <c r="S47">
        <v>28.74</v>
      </c>
      <c r="T47" t="s">
        <v>8</v>
      </c>
      <c r="U47">
        <v>7</v>
      </c>
      <c r="V47">
        <v>1.04</v>
      </c>
    </row>
    <row r="48" spans="2:22" x14ac:dyDescent="0.25">
      <c r="B48">
        <v>2016</v>
      </c>
      <c r="C48">
        <v>3</v>
      </c>
      <c r="D48">
        <v>1749.98</v>
      </c>
      <c r="E48" t="s">
        <v>10</v>
      </c>
      <c r="F48">
        <v>8</v>
      </c>
      <c r="I48">
        <v>2016</v>
      </c>
      <c r="J48">
        <v>3</v>
      </c>
      <c r="K48">
        <v>15.95</v>
      </c>
      <c r="L48" t="s">
        <v>10</v>
      </c>
      <c r="M48">
        <v>8</v>
      </c>
      <c r="P48">
        <v>2016</v>
      </c>
      <c r="Q48">
        <v>3</v>
      </c>
      <c r="R48">
        <v>1749.98</v>
      </c>
      <c r="S48">
        <v>15.95</v>
      </c>
      <c r="T48" t="s">
        <v>10</v>
      </c>
      <c r="U48">
        <v>8</v>
      </c>
      <c r="V48">
        <v>0.91</v>
      </c>
    </row>
    <row r="49" spans="2:22" x14ac:dyDescent="0.25">
      <c r="B49">
        <v>2016</v>
      </c>
      <c r="C49">
        <v>5</v>
      </c>
      <c r="D49">
        <v>199.99</v>
      </c>
      <c r="E49" t="s">
        <v>11</v>
      </c>
      <c r="F49">
        <v>10</v>
      </c>
      <c r="I49">
        <v>2016</v>
      </c>
      <c r="J49">
        <v>5</v>
      </c>
      <c r="K49">
        <v>0.98</v>
      </c>
      <c r="L49" t="s">
        <v>11</v>
      </c>
      <c r="M49">
        <v>10</v>
      </c>
      <c r="P49">
        <v>2016</v>
      </c>
      <c r="Q49">
        <v>5</v>
      </c>
      <c r="R49">
        <v>199.99</v>
      </c>
      <c r="S49">
        <v>0.98</v>
      </c>
      <c r="T49" t="s">
        <v>11</v>
      </c>
      <c r="U49">
        <v>10</v>
      </c>
      <c r="V49">
        <v>0.49</v>
      </c>
    </row>
    <row r="50" spans="2:22" x14ac:dyDescent="0.25">
      <c r="B50">
        <v>2016</v>
      </c>
      <c r="C50">
        <v>6</v>
      </c>
      <c r="D50">
        <v>3333.3</v>
      </c>
      <c r="E50" t="s">
        <v>13</v>
      </c>
      <c r="F50">
        <v>11</v>
      </c>
      <c r="I50">
        <v>2016</v>
      </c>
      <c r="J50">
        <v>6</v>
      </c>
      <c r="K50">
        <v>0.43</v>
      </c>
      <c r="L50" t="s">
        <v>13</v>
      </c>
      <c r="M50">
        <v>11</v>
      </c>
      <c r="P50">
        <v>2016</v>
      </c>
      <c r="Q50">
        <v>6</v>
      </c>
      <c r="R50">
        <v>3333.3</v>
      </c>
      <c r="S50">
        <v>0.43</v>
      </c>
      <c r="T50" t="s">
        <v>13</v>
      </c>
      <c r="U50">
        <v>11</v>
      </c>
      <c r="V50">
        <v>0.01</v>
      </c>
    </row>
    <row r="51" spans="2:22" x14ac:dyDescent="0.25">
      <c r="B51">
        <v>2016</v>
      </c>
      <c r="C51">
        <v>8</v>
      </c>
      <c r="D51">
        <v>1982.89</v>
      </c>
      <c r="E51" t="s">
        <v>7</v>
      </c>
      <c r="F51">
        <v>1</v>
      </c>
      <c r="I51">
        <v>2016</v>
      </c>
      <c r="J51">
        <v>8</v>
      </c>
      <c r="K51">
        <v>47.02</v>
      </c>
      <c r="L51" t="s">
        <v>7</v>
      </c>
      <c r="M51">
        <v>1</v>
      </c>
      <c r="P51">
        <v>2016</v>
      </c>
      <c r="Q51">
        <v>8</v>
      </c>
      <c r="R51">
        <v>1982.89</v>
      </c>
      <c r="S51">
        <v>47.02</v>
      </c>
      <c r="T51" t="s">
        <v>7</v>
      </c>
      <c r="U51">
        <v>1</v>
      </c>
      <c r="V51">
        <v>2.37</v>
      </c>
    </row>
    <row r="52" spans="2:22" x14ac:dyDescent="0.25">
      <c r="B52">
        <v>2016</v>
      </c>
      <c r="C52">
        <v>9</v>
      </c>
      <c r="D52">
        <v>605.25</v>
      </c>
      <c r="E52" t="s">
        <v>15</v>
      </c>
      <c r="F52">
        <v>2</v>
      </c>
      <c r="I52">
        <v>2016</v>
      </c>
      <c r="J52">
        <v>9</v>
      </c>
      <c r="K52">
        <v>63.5</v>
      </c>
      <c r="L52" t="s">
        <v>15</v>
      </c>
      <c r="M52">
        <v>2</v>
      </c>
      <c r="P52">
        <v>2016</v>
      </c>
      <c r="Q52">
        <v>9</v>
      </c>
      <c r="R52">
        <v>605.25</v>
      </c>
      <c r="S52">
        <v>63.5</v>
      </c>
      <c r="T52" t="s">
        <v>15</v>
      </c>
      <c r="U52">
        <v>2</v>
      </c>
      <c r="V52">
        <v>10.49</v>
      </c>
    </row>
    <row r="53" spans="2:22" x14ac:dyDescent="0.25">
      <c r="B53">
        <v>2016</v>
      </c>
      <c r="C53">
        <v>10</v>
      </c>
      <c r="D53">
        <v>2062.98</v>
      </c>
      <c r="E53" t="s">
        <v>6</v>
      </c>
      <c r="F53">
        <v>3</v>
      </c>
      <c r="I53">
        <v>2016</v>
      </c>
      <c r="J53">
        <v>10</v>
      </c>
      <c r="K53">
        <v>68.349999999999994</v>
      </c>
      <c r="L53" t="s">
        <v>6</v>
      </c>
      <c r="M53">
        <v>3</v>
      </c>
      <c r="P53">
        <v>2016</v>
      </c>
      <c r="Q53">
        <v>10</v>
      </c>
      <c r="R53">
        <v>2062.98</v>
      </c>
      <c r="S53">
        <v>68.349999999999994</v>
      </c>
      <c r="T53" t="s">
        <v>6</v>
      </c>
      <c r="U53">
        <v>3</v>
      </c>
      <c r="V53">
        <v>3.31</v>
      </c>
    </row>
    <row r="54" spans="2:22" x14ac:dyDescent="0.25">
      <c r="B54">
        <v>2016</v>
      </c>
      <c r="C54">
        <v>11</v>
      </c>
      <c r="D54">
        <v>1677.55</v>
      </c>
      <c r="E54" t="s">
        <v>9</v>
      </c>
      <c r="F54">
        <v>4</v>
      </c>
      <c r="I54">
        <v>2016</v>
      </c>
      <c r="J54">
        <v>11</v>
      </c>
      <c r="K54">
        <v>23.91</v>
      </c>
      <c r="L54" t="s">
        <v>9</v>
      </c>
      <c r="M54">
        <v>4</v>
      </c>
      <c r="P54">
        <v>2016</v>
      </c>
      <c r="Q54">
        <v>11</v>
      </c>
      <c r="R54">
        <v>1677.55</v>
      </c>
      <c r="S54">
        <v>23.91</v>
      </c>
      <c r="T54" t="s">
        <v>9</v>
      </c>
      <c r="U54">
        <v>4</v>
      </c>
      <c r="V54">
        <v>1.42</v>
      </c>
    </row>
    <row r="55" spans="2:22" x14ac:dyDescent="0.25">
      <c r="B55">
        <v>2016</v>
      </c>
      <c r="C55">
        <v>12</v>
      </c>
      <c r="D55">
        <v>4234.3100000000004</v>
      </c>
      <c r="E55" t="s">
        <v>4</v>
      </c>
      <c r="F55">
        <v>5</v>
      </c>
      <c r="I55">
        <v>2016</v>
      </c>
      <c r="J55">
        <v>12</v>
      </c>
      <c r="K55">
        <v>33.49</v>
      </c>
      <c r="L55" t="s">
        <v>4</v>
      </c>
      <c r="M55">
        <v>5</v>
      </c>
      <c r="P55">
        <v>2016</v>
      </c>
      <c r="Q55">
        <v>12</v>
      </c>
      <c r="R55">
        <v>4234.3100000000004</v>
      </c>
      <c r="S55">
        <v>33.49</v>
      </c>
      <c r="T55" t="s">
        <v>4</v>
      </c>
      <c r="U55">
        <v>5</v>
      </c>
      <c r="V55">
        <v>0.79</v>
      </c>
    </row>
    <row r="56" spans="2:22" x14ac:dyDescent="0.25">
      <c r="B56">
        <v>2017</v>
      </c>
      <c r="C56">
        <v>4</v>
      </c>
      <c r="D56">
        <v>3333.3</v>
      </c>
      <c r="E56" t="s">
        <v>5</v>
      </c>
      <c r="I56">
        <v>2017</v>
      </c>
      <c r="J56">
        <v>4</v>
      </c>
      <c r="K56">
        <v>0.57999999999999996</v>
      </c>
      <c r="L56" t="s">
        <v>5</v>
      </c>
      <c r="P56">
        <v>2017</v>
      </c>
      <c r="Q56">
        <v>4</v>
      </c>
      <c r="R56">
        <v>3333.3</v>
      </c>
      <c r="S56">
        <v>0.57999999999999996</v>
      </c>
      <c r="T56" t="s">
        <v>5</v>
      </c>
      <c r="V56">
        <v>0.01</v>
      </c>
    </row>
    <row r="57" spans="2:22" x14ac:dyDescent="0.25">
      <c r="B57">
        <v>2017</v>
      </c>
      <c r="C57">
        <v>5</v>
      </c>
      <c r="D57">
        <v>3333.3</v>
      </c>
      <c r="E57" t="s">
        <v>11</v>
      </c>
      <c r="I57">
        <v>2017</v>
      </c>
      <c r="J57">
        <v>5</v>
      </c>
      <c r="K57">
        <v>0.35</v>
      </c>
      <c r="L57" t="s">
        <v>11</v>
      </c>
      <c r="P57">
        <v>2017</v>
      </c>
      <c r="Q57">
        <v>5</v>
      </c>
      <c r="R57">
        <v>3333.3</v>
      </c>
      <c r="S57">
        <v>0.35</v>
      </c>
      <c r="T57" t="s">
        <v>11</v>
      </c>
      <c r="V57">
        <v>0.01</v>
      </c>
    </row>
    <row r="58" spans="2:22" x14ac:dyDescent="0.25">
      <c r="B58">
        <v>2017</v>
      </c>
      <c r="C58">
        <v>6</v>
      </c>
      <c r="D58">
        <v>3333.3</v>
      </c>
      <c r="E58" t="s">
        <v>13</v>
      </c>
      <c r="I58">
        <v>2017</v>
      </c>
      <c r="J58">
        <v>6</v>
      </c>
      <c r="K58">
        <v>0.82</v>
      </c>
      <c r="L58" t="s">
        <v>13</v>
      </c>
      <c r="P58">
        <v>2017</v>
      </c>
      <c r="Q58">
        <v>6</v>
      </c>
      <c r="R58">
        <v>3333.3</v>
      </c>
      <c r="S58">
        <v>0.82</v>
      </c>
      <c r="T58" t="s">
        <v>13</v>
      </c>
      <c r="V58">
        <v>0.02</v>
      </c>
    </row>
    <row r="59" spans="2:22" x14ac:dyDescent="0.25">
      <c r="B59">
        <v>2017</v>
      </c>
      <c r="C59">
        <v>8</v>
      </c>
      <c r="D59">
        <v>1039.98</v>
      </c>
      <c r="E59" t="s">
        <v>7</v>
      </c>
      <c r="I59">
        <v>2017</v>
      </c>
      <c r="J59">
        <v>8</v>
      </c>
      <c r="K59">
        <v>4.84</v>
      </c>
      <c r="L59" t="s">
        <v>7</v>
      </c>
      <c r="P59">
        <v>2017</v>
      </c>
      <c r="Q59">
        <v>8</v>
      </c>
      <c r="R59">
        <v>1039.98</v>
      </c>
      <c r="S59">
        <v>4.84</v>
      </c>
      <c r="T59" t="s">
        <v>7</v>
      </c>
      <c r="V59">
        <v>0.46</v>
      </c>
    </row>
    <row r="60" spans="2:22" x14ac:dyDescent="0.25">
      <c r="B60">
        <v>2019</v>
      </c>
      <c r="C60">
        <v>5</v>
      </c>
      <c r="D60">
        <v>9999.9</v>
      </c>
      <c r="E60" t="s">
        <v>11</v>
      </c>
      <c r="I60">
        <v>2019</v>
      </c>
      <c r="J60">
        <v>5</v>
      </c>
      <c r="K60">
        <v>1.3</v>
      </c>
      <c r="L60" t="s">
        <v>11</v>
      </c>
      <c r="P60">
        <v>2019</v>
      </c>
      <c r="Q60">
        <v>5</v>
      </c>
      <c r="R60">
        <v>9999.9</v>
      </c>
      <c r="S60">
        <v>1.3</v>
      </c>
      <c r="T60" t="s">
        <v>11</v>
      </c>
      <c r="V60">
        <v>0.01</v>
      </c>
    </row>
  </sheetData>
  <pageMargins left="0.7" right="0.7" top="0.75" bottom="0.75" header="0.3" footer="0.3"/>
  <drawing r:id="rId2"/>
  <tableParts count="5">
    <tablePart r:id="rId3"/>
    <tablePart r:id="rId4"/>
    <tablePart r:id="rId5"/>
    <tablePart r:id="rId6"/>
    <tablePart r:id="rId7"/>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FFC000"/>
  </sheetPr>
  <dimension ref="A1:W28"/>
  <sheetViews>
    <sheetView workbookViewId="0">
      <selection activeCell="I12" sqref="I12"/>
    </sheetView>
  </sheetViews>
  <sheetFormatPr defaultRowHeight="15" x14ac:dyDescent="0.25"/>
  <cols>
    <col min="1" max="1" width="9.140625" customWidth="1"/>
    <col min="2" max="2" width="11.42578125" customWidth="1"/>
    <col min="3" max="3" width="13.85546875" customWidth="1"/>
    <col min="4" max="4" width="16.28515625" customWidth="1"/>
    <col min="5" max="5" width="9.85546875" customWidth="1"/>
    <col min="6" max="6" width="12.85546875" customWidth="1"/>
    <col min="8" max="8" width="9.140625" customWidth="1"/>
    <col min="9" max="9" width="11.42578125" customWidth="1"/>
    <col min="10" max="10" width="13.85546875" customWidth="1"/>
    <col min="11" max="11" width="16.28515625" customWidth="1"/>
    <col min="12" max="12" width="9.85546875" customWidth="1"/>
    <col min="13" max="13" width="12.85546875" customWidth="1"/>
    <col min="15" max="15" width="9.140625" customWidth="1"/>
    <col min="16" max="16" width="11.42578125" customWidth="1"/>
    <col min="17" max="17" width="13.85546875" customWidth="1"/>
    <col min="18" max="18" width="16.28515625" customWidth="1"/>
    <col min="19" max="19" width="9.85546875" customWidth="1"/>
    <col min="20" max="20" width="12.85546875" customWidth="1"/>
    <col min="22" max="22" width="13.140625" bestFit="1" customWidth="1"/>
    <col min="23" max="23" width="8.5703125" customWidth="1"/>
  </cols>
  <sheetData>
    <row r="1" spans="1:23" s="84" customFormat="1" x14ac:dyDescent="0.25">
      <c r="A1" s="561">
        <v>70</v>
      </c>
      <c r="B1" s="562" t="s">
        <v>1135</v>
      </c>
      <c r="C1" s="562"/>
      <c r="D1" s="562"/>
      <c r="E1" s="562"/>
      <c r="F1" s="563"/>
      <c r="H1" s="561">
        <v>71</v>
      </c>
      <c r="I1" s="562" t="s">
        <v>1136</v>
      </c>
      <c r="J1" s="562"/>
      <c r="K1" s="562"/>
      <c r="L1" s="562"/>
      <c r="M1" s="563"/>
      <c r="O1" s="561">
        <v>72</v>
      </c>
      <c r="P1" s="562" t="s">
        <v>1137</v>
      </c>
      <c r="Q1" s="562"/>
      <c r="R1" s="562"/>
      <c r="S1" s="562"/>
      <c r="T1" s="563"/>
    </row>
    <row r="2" spans="1:23" x14ac:dyDescent="0.25">
      <c r="A2" t="s">
        <v>1105</v>
      </c>
      <c r="B2" t="s">
        <v>1004</v>
      </c>
      <c r="C2" t="s">
        <v>1005</v>
      </c>
      <c r="D2" t="s">
        <v>1053</v>
      </c>
      <c r="E2" t="s">
        <v>1054</v>
      </c>
      <c r="F2" t="s">
        <v>1109</v>
      </c>
      <c r="H2" t="s">
        <v>1105</v>
      </c>
      <c r="I2" t="s">
        <v>1004</v>
      </c>
      <c r="J2" t="s">
        <v>1005</v>
      </c>
      <c r="K2" t="s">
        <v>1053</v>
      </c>
      <c r="L2" t="s">
        <v>1054</v>
      </c>
      <c r="M2" t="s">
        <v>1109</v>
      </c>
      <c r="O2" t="s">
        <v>1105</v>
      </c>
      <c r="P2" t="s">
        <v>1004</v>
      </c>
      <c r="Q2" t="s">
        <v>1005</v>
      </c>
      <c r="R2" t="s">
        <v>1053</v>
      </c>
      <c r="S2" t="s">
        <v>1054</v>
      </c>
      <c r="T2" t="s">
        <v>1109</v>
      </c>
      <c r="V2" s="1" t="s">
        <v>16</v>
      </c>
      <c r="W2" t="s">
        <v>1138</v>
      </c>
    </row>
    <row r="3" spans="1:23" x14ac:dyDescent="0.25">
      <c r="B3">
        <v>2015</v>
      </c>
      <c r="C3">
        <v>1</v>
      </c>
      <c r="D3" t="s">
        <v>12</v>
      </c>
      <c r="E3">
        <v>6</v>
      </c>
      <c r="F3">
        <v>4.8099999999999996</v>
      </c>
      <c r="I3">
        <v>2015</v>
      </c>
      <c r="M3">
        <v>5.47</v>
      </c>
      <c r="P3">
        <v>2016</v>
      </c>
      <c r="T3">
        <v>15.23</v>
      </c>
      <c r="V3" s="2">
        <v>2015</v>
      </c>
      <c r="W3" s="71">
        <v>97.440000000000012</v>
      </c>
    </row>
    <row r="4" spans="1:23" x14ac:dyDescent="0.25">
      <c r="B4">
        <v>2015</v>
      </c>
      <c r="C4">
        <v>2</v>
      </c>
      <c r="D4" t="s">
        <v>8</v>
      </c>
      <c r="E4">
        <v>7</v>
      </c>
      <c r="F4">
        <v>4.1100000000000003</v>
      </c>
      <c r="V4" s="3">
        <v>1</v>
      </c>
      <c r="W4" s="71">
        <v>10.54</v>
      </c>
    </row>
    <row r="5" spans="1:23" x14ac:dyDescent="0.25">
      <c r="B5">
        <v>2015</v>
      </c>
      <c r="C5">
        <v>3</v>
      </c>
      <c r="D5" t="s">
        <v>10</v>
      </c>
      <c r="E5">
        <v>8</v>
      </c>
      <c r="F5">
        <v>6.24</v>
      </c>
      <c r="V5" s="541" t="s">
        <v>7</v>
      </c>
      <c r="W5" s="71">
        <v>10.54</v>
      </c>
    </row>
    <row r="6" spans="1:23" x14ac:dyDescent="0.25">
      <c r="B6">
        <v>2015</v>
      </c>
      <c r="C6">
        <v>4</v>
      </c>
      <c r="D6" t="s">
        <v>5</v>
      </c>
      <c r="E6">
        <v>9</v>
      </c>
      <c r="F6">
        <v>21.03</v>
      </c>
      <c r="V6" s="3">
        <v>2</v>
      </c>
      <c r="W6" s="71">
        <v>8.51</v>
      </c>
    </row>
    <row r="7" spans="1:23" x14ac:dyDescent="0.25">
      <c r="B7">
        <v>2015</v>
      </c>
      <c r="C7">
        <v>5</v>
      </c>
      <c r="D7" t="s">
        <v>11</v>
      </c>
      <c r="E7">
        <v>10</v>
      </c>
      <c r="F7">
        <v>12.83</v>
      </c>
      <c r="H7" s="39"/>
      <c r="I7" s="39"/>
      <c r="J7" s="39"/>
      <c r="K7" s="39"/>
      <c r="V7" s="541" t="s">
        <v>15</v>
      </c>
      <c r="W7" s="71">
        <v>8.51</v>
      </c>
    </row>
    <row r="8" spans="1:23" x14ac:dyDescent="0.25">
      <c r="B8">
        <v>2015</v>
      </c>
      <c r="C8">
        <v>6</v>
      </c>
      <c r="D8" t="s">
        <v>13</v>
      </c>
      <c r="E8">
        <v>11</v>
      </c>
      <c r="F8">
        <v>8.1199999999999992</v>
      </c>
      <c r="H8" s="39"/>
      <c r="I8" s="39"/>
      <c r="J8" s="39"/>
      <c r="K8" s="39"/>
      <c r="V8" s="3">
        <v>3</v>
      </c>
      <c r="W8" s="71">
        <v>6.66</v>
      </c>
    </row>
    <row r="9" spans="1:23" x14ac:dyDescent="0.25">
      <c r="B9">
        <v>2015</v>
      </c>
      <c r="C9">
        <v>7</v>
      </c>
      <c r="D9" t="s">
        <v>14</v>
      </c>
      <c r="E9">
        <v>12</v>
      </c>
      <c r="F9">
        <v>3.37</v>
      </c>
      <c r="V9" s="541" t="s">
        <v>6</v>
      </c>
      <c r="W9" s="71">
        <v>6.66</v>
      </c>
    </row>
    <row r="10" spans="1:23" x14ac:dyDescent="0.25">
      <c r="B10">
        <v>2015</v>
      </c>
      <c r="C10">
        <v>8</v>
      </c>
      <c r="D10" t="s">
        <v>7</v>
      </c>
      <c r="E10">
        <v>1</v>
      </c>
      <c r="F10">
        <v>10.54</v>
      </c>
      <c r="V10" s="3">
        <v>4</v>
      </c>
      <c r="W10" s="71">
        <v>5.49</v>
      </c>
    </row>
    <row r="11" spans="1:23" x14ac:dyDescent="0.25">
      <c r="B11">
        <v>2015</v>
      </c>
      <c r="C11">
        <v>9</v>
      </c>
      <c r="D11" t="s">
        <v>15</v>
      </c>
      <c r="E11">
        <v>2</v>
      </c>
      <c r="F11">
        <v>8.51</v>
      </c>
      <c r="V11" s="541" t="s">
        <v>9</v>
      </c>
      <c r="W11" s="71">
        <v>5.49</v>
      </c>
    </row>
    <row r="12" spans="1:23" x14ac:dyDescent="0.25">
      <c r="B12">
        <v>2015</v>
      </c>
      <c r="C12">
        <v>10</v>
      </c>
      <c r="D12" t="s">
        <v>6</v>
      </c>
      <c r="E12">
        <v>3</v>
      </c>
      <c r="F12">
        <v>6.66</v>
      </c>
      <c r="V12" s="3">
        <v>5</v>
      </c>
      <c r="W12" s="71">
        <v>5.73</v>
      </c>
    </row>
    <row r="13" spans="1:23" x14ac:dyDescent="0.25">
      <c r="B13">
        <v>2015</v>
      </c>
      <c r="C13">
        <v>11</v>
      </c>
      <c r="D13" t="s">
        <v>9</v>
      </c>
      <c r="E13">
        <v>4</v>
      </c>
      <c r="F13">
        <v>5.49</v>
      </c>
      <c r="V13" s="541" t="s">
        <v>4</v>
      </c>
      <c r="W13" s="71">
        <v>5.73</v>
      </c>
    </row>
    <row r="14" spans="1:23" x14ac:dyDescent="0.25">
      <c r="B14">
        <v>2015</v>
      </c>
      <c r="C14">
        <v>12</v>
      </c>
      <c r="D14" t="s">
        <v>4</v>
      </c>
      <c r="E14">
        <v>5</v>
      </c>
      <c r="F14">
        <v>5.73</v>
      </c>
      <c r="V14" s="3">
        <v>6</v>
      </c>
      <c r="W14" s="71">
        <v>4.8099999999999996</v>
      </c>
    </row>
    <row r="15" spans="1:23" x14ac:dyDescent="0.25">
      <c r="B15">
        <v>2016</v>
      </c>
      <c r="C15">
        <v>8</v>
      </c>
      <c r="D15" t="s">
        <v>7</v>
      </c>
      <c r="E15">
        <v>1</v>
      </c>
      <c r="F15">
        <v>14.55</v>
      </c>
      <c r="V15" s="541" t="s">
        <v>12</v>
      </c>
      <c r="W15" s="71">
        <v>4.8099999999999996</v>
      </c>
    </row>
    <row r="16" spans="1:23" x14ac:dyDescent="0.25">
      <c r="B16">
        <v>2016</v>
      </c>
      <c r="C16">
        <v>9</v>
      </c>
      <c r="D16" t="s">
        <v>15</v>
      </c>
      <c r="E16">
        <v>2</v>
      </c>
      <c r="F16">
        <v>19.579999999999998</v>
      </c>
      <c r="V16" s="3">
        <v>7</v>
      </c>
      <c r="W16" s="71">
        <v>4.1100000000000003</v>
      </c>
    </row>
    <row r="17" spans="22:23" x14ac:dyDescent="0.25">
      <c r="V17" s="541" t="s">
        <v>8</v>
      </c>
      <c r="W17" s="71">
        <v>4.1100000000000003</v>
      </c>
    </row>
    <row r="18" spans="22:23" x14ac:dyDescent="0.25">
      <c r="V18" s="3">
        <v>8</v>
      </c>
      <c r="W18" s="71">
        <v>6.24</v>
      </c>
    </row>
    <row r="19" spans="22:23" x14ac:dyDescent="0.25">
      <c r="V19" s="541" t="s">
        <v>10</v>
      </c>
      <c r="W19" s="71">
        <v>6.24</v>
      </c>
    </row>
    <row r="20" spans="22:23" x14ac:dyDescent="0.25">
      <c r="V20" s="3">
        <v>9</v>
      </c>
      <c r="W20" s="71">
        <v>21.03</v>
      </c>
    </row>
    <row r="21" spans="22:23" x14ac:dyDescent="0.25">
      <c r="V21" s="541" t="s">
        <v>5</v>
      </c>
      <c r="W21" s="71">
        <v>21.03</v>
      </c>
    </row>
    <row r="22" spans="22:23" x14ac:dyDescent="0.25">
      <c r="V22" s="3">
        <v>10</v>
      </c>
      <c r="W22" s="71">
        <v>12.83</v>
      </c>
    </row>
    <row r="23" spans="22:23" x14ac:dyDescent="0.25">
      <c r="V23" s="541" t="s">
        <v>11</v>
      </c>
      <c r="W23" s="71">
        <v>12.83</v>
      </c>
    </row>
    <row r="24" spans="22:23" x14ac:dyDescent="0.25">
      <c r="V24" s="3">
        <v>11</v>
      </c>
      <c r="W24" s="71">
        <v>8.1199999999999992</v>
      </c>
    </row>
    <row r="25" spans="22:23" x14ac:dyDescent="0.25">
      <c r="V25" s="541" t="s">
        <v>13</v>
      </c>
      <c r="W25" s="71">
        <v>8.1199999999999992</v>
      </c>
    </row>
    <row r="26" spans="22:23" x14ac:dyDescent="0.25">
      <c r="V26" s="3">
        <v>12</v>
      </c>
      <c r="W26" s="71">
        <v>3.37</v>
      </c>
    </row>
    <row r="27" spans="22:23" x14ac:dyDescent="0.25">
      <c r="V27" s="541" t="s">
        <v>14</v>
      </c>
      <c r="W27" s="71">
        <v>3.37</v>
      </c>
    </row>
    <row r="28" spans="22:23" x14ac:dyDescent="0.25">
      <c r="V28" s="2" t="s">
        <v>17</v>
      </c>
      <c r="W28" s="71">
        <v>97.440000000000012</v>
      </c>
    </row>
  </sheetData>
  <pageMargins left="0.7" right="0.7" top="0.75" bottom="0.75" header="0.3" footer="0.3"/>
  <drawing r:id="rId2"/>
  <tableParts count="3">
    <tablePart r:id="rId3"/>
    <tablePart r:id="rId4"/>
    <tablePart r:id="rId5"/>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FFC000"/>
  </sheetPr>
  <dimension ref="A1:U30"/>
  <sheetViews>
    <sheetView topLeftCell="N1" workbookViewId="0">
      <selection activeCell="W7" sqref="W7"/>
    </sheetView>
  </sheetViews>
  <sheetFormatPr defaultRowHeight="15" x14ac:dyDescent="0.25"/>
  <cols>
    <col min="1" max="1" width="11.42578125" customWidth="1"/>
    <col min="2" max="2" width="13.85546875" customWidth="1"/>
    <col min="3" max="3" width="11.140625" customWidth="1"/>
    <col min="4" max="4" width="16.28515625" customWidth="1"/>
    <col min="5" max="5" width="9.85546875" customWidth="1"/>
    <col min="7" max="7" width="11.42578125" customWidth="1"/>
    <col min="8" max="8" width="13.85546875" customWidth="1"/>
    <col min="9" max="9" width="11.140625" customWidth="1"/>
    <col min="10" max="10" width="16.28515625" customWidth="1"/>
    <col min="11" max="11" width="9.85546875" customWidth="1"/>
    <col min="13" max="13" width="11.42578125" customWidth="1"/>
    <col min="14" max="14" width="13.85546875" customWidth="1"/>
    <col min="15" max="15" width="8.85546875" customWidth="1"/>
    <col min="16" max="16" width="16.28515625" customWidth="1"/>
    <col min="17" max="17" width="9.85546875" customWidth="1"/>
    <col min="20" max="20" width="13.140625" bestFit="1" customWidth="1"/>
    <col min="21" max="21" width="13.28515625" bestFit="1" customWidth="1"/>
  </cols>
  <sheetData>
    <row r="1" spans="1:21" s="84" customFormat="1" x14ac:dyDescent="0.25">
      <c r="A1" s="84">
        <v>73</v>
      </c>
      <c r="B1" s="551" t="s">
        <v>1115</v>
      </c>
      <c r="C1" s="556"/>
      <c r="D1" s="556"/>
      <c r="E1" s="557"/>
      <c r="G1" s="84">
        <v>74</v>
      </c>
      <c r="H1" s="739" t="s">
        <v>1120</v>
      </c>
      <c r="I1" s="740"/>
      <c r="J1" s="740"/>
      <c r="K1" s="741"/>
      <c r="M1" s="84">
        <v>75</v>
      </c>
      <c r="N1" s="739" t="s">
        <v>1121</v>
      </c>
      <c r="O1" s="740"/>
      <c r="P1" s="740"/>
      <c r="Q1" s="741"/>
      <c r="T1" s="739" t="s">
        <v>1115</v>
      </c>
      <c r="U1" s="741"/>
    </row>
    <row r="2" spans="1:21" x14ac:dyDescent="0.25">
      <c r="A2" t="s">
        <v>1004</v>
      </c>
      <c r="B2" t="s">
        <v>1005</v>
      </c>
      <c r="C2" t="s">
        <v>476</v>
      </c>
      <c r="D2" t="s">
        <v>1053</v>
      </c>
      <c r="E2" t="s">
        <v>1054</v>
      </c>
      <c r="G2" t="s">
        <v>1004</v>
      </c>
      <c r="H2" t="s">
        <v>1005</v>
      </c>
      <c r="I2" t="s">
        <v>476</v>
      </c>
      <c r="J2" t="s">
        <v>1053</v>
      </c>
      <c r="K2" t="s">
        <v>1054</v>
      </c>
      <c r="M2" t="s">
        <v>1004</v>
      </c>
      <c r="N2" t="s">
        <v>1005</v>
      </c>
      <c r="O2" t="s">
        <v>476</v>
      </c>
      <c r="P2" t="s">
        <v>1053</v>
      </c>
      <c r="Q2" t="s">
        <v>1054</v>
      </c>
    </row>
    <row r="3" spans="1:21" hidden="1" x14ac:dyDescent="0.25">
      <c r="A3">
        <v>2014</v>
      </c>
      <c r="B3">
        <v>7</v>
      </c>
      <c r="C3">
        <v>12855.28</v>
      </c>
      <c r="D3" t="s">
        <v>14</v>
      </c>
      <c r="E3">
        <v>12</v>
      </c>
      <c r="G3">
        <v>2015</v>
      </c>
      <c r="I3">
        <v>1097524.47</v>
      </c>
      <c r="M3">
        <v>2016</v>
      </c>
      <c r="O3">
        <v>-1249.8900000000001</v>
      </c>
    </row>
    <row r="4" spans="1:21" hidden="1" x14ac:dyDescent="0.25">
      <c r="A4">
        <v>2014</v>
      </c>
      <c r="B4">
        <v>10</v>
      </c>
      <c r="C4">
        <v>4354.38</v>
      </c>
      <c r="D4" t="s">
        <v>6</v>
      </c>
      <c r="E4">
        <v>3</v>
      </c>
      <c r="T4" s="1" t="s">
        <v>16</v>
      </c>
      <c r="U4" t="s">
        <v>1114</v>
      </c>
    </row>
    <row r="5" spans="1:21" x14ac:dyDescent="0.25">
      <c r="A5">
        <v>2015</v>
      </c>
      <c r="B5">
        <v>1</v>
      </c>
      <c r="C5">
        <v>448.87</v>
      </c>
      <c r="D5" t="s">
        <v>12</v>
      </c>
      <c r="E5">
        <v>6</v>
      </c>
      <c r="T5" s="2">
        <v>2015</v>
      </c>
      <c r="U5" s="244">
        <v>1097524.4700000002</v>
      </c>
    </row>
    <row r="6" spans="1:21" x14ac:dyDescent="0.25">
      <c r="A6">
        <v>2015</v>
      </c>
      <c r="B6">
        <v>2</v>
      </c>
      <c r="C6">
        <v>1586.53</v>
      </c>
      <c r="D6" t="s">
        <v>8</v>
      </c>
      <c r="E6">
        <v>7</v>
      </c>
      <c r="T6" s="3">
        <v>1</v>
      </c>
      <c r="U6" s="244">
        <v>1026499.36</v>
      </c>
    </row>
    <row r="7" spans="1:21" x14ac:dyDescent="0.25">
      <c r="A7">
        <v>2015</v>
      </c>
      <c r="B7">
        <v>3</v>
      </c>
      <c r="C7">
        <v>-1203.6300000000001</v>
      </c>
      <c r="D7" t="s">
        <v>10</v>
      </c>
      <c r="E7">
        <v>8</v>
      </c>
      <c r="T7" s="541" t="s">
        <v>7</v>
      </c>
      <c r="U7" s="244">
        <v>1026499.36</v>
      </c>
    </row>
    <row r="8" spans="1:21" x14ac:dyDescent="0.25">
      <c r="A8">
        <v>2015</v>
      </c>
      <c r="B8">
        <v>4</v>
      </c>
      <c r="C8">
        <v>97.42</v>
      </c>
      <c r="D8" t="s">
        <v>5</v>
      </c>
      <c r="E8">
        <v>9</v>
      </c>
      <c r="T8" s="3">
        <v>2</v>
      </c>
      <c r="U8" s="244">
        <v>7235.16</v>
      </c>
    </row>
    <row r="9" spans="1:21" x14ac:dyDescent="0.25">
      <c r="A9">
        <v>2015</v>
      </c>
      <c r="B9">
        <v>5</v>
      </c>
      <c r="C9">
        <v>537.46</v>
      </c>
      <c r="D9" t="s">
        <v>11</v>
      </c>
      <c r="E9">
        <v>10</v>
      </c>
      <c r="T9" s="541" t="s">
        <v>15</v>
      </c>
      <c r="U9" s="244">
        <v>7235.16</v>
      </c>
    </row>
    <row r="10" spans="1:21" x14ac:dyDescent="0.25">
      <c r="A10">
        <v>2015</v>
      </c>
      <c r="B10">
        <v>6</v>
      </c>
      <c r="C10">
        <v>406.49</v>
      </c>
      <c r="D10" t="s">
        <v>13</v>
      </c>
      <c r="E10">
        <v>11</v>
      </c>
      <c r="T10" s="3">
        <v>3</v>
      </c>
      <c r="U10" s="244">
        <v>6099.54</v>
      </c>
    </row>
    <row r="11" spans="1:21" x14ac:dyDescent="0.25">
      <c r="A11">
        <v>2015</v>
      </c>
      <c r="B11">
        <v>7</v>
      </c>
      <c r="C11">
        <v>-2921.5</v>
      </c>
      <c r="D11" t="s">
        <v>14</v>
      </c>
      <c r="E11">
        <v>12</v>
      </c>
      <c r="T11" s="541" t="s">
        <v>6</v>
      </c>
      <c r="U11" s="244">
        <v>6099.54</v>
      </c>
    </row>
    <row r="12" spans="1:21" x14ac:dyDescent="0.25">
      <c r="A12">
        <v>2015</v>
      </c>
      <c r="B12">
        <v>8</v>
      </c>
      <c r="C12">
        <v>1026499.36</v>
      </c>
      <c r="D12" t="s">
        <v>7</v>
      </c>
      <c r="E12">
        <v>1</v>
      </c>
      <c r="T12" s="3">
        <v>4</v>
      </c>
      <c r="U12" s="244">
        <v>-3896.59</v>
      </c>
    </row>
    <row r="13" spans="1:21" x14ac:dyDescent="0.25">
      <c r="A13">
        <v>2015</v>
      </c>
      <c r="B13">
        <v>9</v>
      </c>
      <c r="C13">
        <v>7235.16</v>
      </c>
      <c r="D13" t="s">
        <v>15</v>
      </c>
      <c r="E13">
        <v>2</v>
      </c>
      <c r="T13" s="541" t="s">
        <v>9</v>
      </c>
      <c r="U13" s="244">
        <v>-3896.59</v>
      </c>
    </row>
    <row r="14" spans="1:21" x14ac:dyDescent="0.25">
      <c r="A14">
        <v>2015</v>
      </c>
      <c r="B14">
        <v>10</v>
      </c>
      <c r="C14">
        <v>6099.54</v>
      </c>
      <c r="D14" t="s">
        <v>6</v>
      </c>
      <c r="E14">
        <v>3</v>
      </c>
      <c r="T14" s="3">
        <v>5</v>
      </c>
      <c r="U14" s="244">
        <v>62635.360000000001</v>
      </c>
    </row>
    <row r="15" spans="1:21" x14ac:dyDescent="0.25">
      <c r="A15">
        <v>2015</v>
      </c>
      <c r="B15">
        <v>11</v>
      </c>
      <c r="C15">
        <v>-3896.59</v>
      </c>
      <c r="D15" t="s">
        <v>9</v>
      </c>
      <c r="E15">
        <v>4</v>
      </c>
      <c r="T15" s="541" t="s">
        <v>4</v>
      </c>
      <c r="U15" s="244">
        <v>62635.360000000001</v>
      </c>
    </row>
    <row r="16" spans="1:21" x14ac:dyDescent="0.25">
      <c r="A16">
        <v>2015</v>
      </c>
      <c r="B16">
        <v>12</v>
      </c>
      <c r="C16">
        <v>62635.360000000001</v>
      </c>
      <c r="D16" t="s">
        <v>4</v>
      </c>
      <c r="E16">
        <v>5</v>
      </c>
      <c r="T16" s="3">
        <v>6</v>
      </c>
      <c r="U16" s="244">
        <v>448.87</v>
      </c>
    </row>
    <row r="17" spans="1:21" hidden="1" x14ac:dyDescent="0.25">
      <c r="A17">
        <v>2016</v>
      </c>
      <c r="B17">
        <v>8</v>
      </c>
      <c r="C17">
        <v>-1348.18</v>
      </c>
      <c r="D17" t="s">
        <v>7</v>
      </c>
      <c r="E17">
        <v>1</v>
      </c>
      <c r="T17" s="541" t="s">
        <v>12</v>
      </c>
      <c r="U17" s="244">
        <v>448.87</v>
      </c>
    </row>
    <row r="18" spans="1:21" hidden="1" x14ac:dyDescent="0.25">
      <c r="A18">
        <v>2016</v>
      </c>
      <c r="B18">
        <v>9</v>
      </c>
      <c r="C18">
        <v>98.29</v>
      </c>
      <c r="D18" t="s">
        <v>15</v>
      </c>
      <c r="E18">
        <v>2</v>
      </c>
      <c r="T18" s="3">
        <v>7</v>
      </c>
      <c r="U18" s="244">
        <v>1586.53</v>
      </c>
    </row>
    <row r="19" spans="1:21" x14ac:dyDescent="0.25">
      <c r="T19" s="541" t="s">
        <v>8</v>
      </c>
      <c r="U19" s="244">
        <v>1586.53</v>
      </c>
    </row>
    <row r="20" spans="1:21" x14ac:dyDescent="0.25">
      <c r="T20" s="3">
        <v>8</v>
      </c>
      <c r="U20" s="244">
        <v>-1203.6300000000001</v>
      </c>
    </row>
    <row r="21" spans="1:21" x14ac:dyDescent="0.25">
      <c r="T21" s="541" t="s">
        <v>10</v>
      </c>
      <c r="U21" s="244">
        <v>-1203.6300000000001</v>
      </c>
    </row>
    <row r="22" spans="1:21" x14ac:dyDescent="0.25">
      <c r="T22" s="3">
        <v>9</v>
      </c>
      <c r="U22" s="244">
        <v>97.42</v>
      </c>
    </row>
    <row r="23" spans="1:21" x14ac:dyDescent="0.25">
      <c r="T23" s="541" t="s">
        <v>5</v>
      </c>
      <c r="U23" s="244">
        <v>97.42</v>
      </c>
    </row>
    <row r="24" spans="1:21" x14ac:dyDescent="0.25">
      <c r="T24" s="3">
        <v>10</v>
      </c>
      <c r="U24" s="244">
        <v>537.46</v>
      </c>
    </row>
    <row r="25" spans="1:21" x14ac:dyDescent="0.25">
      <c r="T25" s="541" t="s">
        <v>11</v>
      </c>
      <c r="U25" s="244">
        <v>537.46</v>
      </c>
    </row>
    <row r="26" spans="1:21" x14ac:dyDescent="0.25">
      <c r="T26" s="3">
        <v>11</v>
      </c>
      <c r="U26" s="244">
        <v>406.49</v>
      </c>
    </row>
    <row r="27" spans="1:21" x14ac:dyDescent="0.25">
      <c r="T27" s="541" t="s">
        <v>13</v>
      </c>
      <c r="U27" s="244">
        <v>406.49</v>
      </c>
    </row>
    <row r="28" spans="1:21" x14ac:dyDescent="0.25">
      <c r="T28" s="3">
        <v>12</v>
      </c>
      <c r="U28" s="244">
        <v>-2921.5</v>
      </c>
    </row>
    <row r="29" spans="1:21" x14ac:dyDescent="0.25">
      <c r="T29" s="541" t="s">
        <v>14</v>
      </c>
      <c r="U29" s="244">
        <v>-2921.5</v>
      </c>
    </row>
    <row r="30" spans="1:21" x14ac:dyDescent="0.25">
      <c r="T30" s="2" t="s">
        <v>17</v>
      </c>
      <c r="U30" s="244">
        <v>1097524.4700000002</v>
      </c>
    </row>
  </sheetData>
  <mergeCells count="3">
    <mergeCell ref="T1:U1"/>
    <mergeCell ref="H1:K1"/>
    <mergeCell ref="N1:Q1"/>
  </mergeCells>
  <pageMargins left="0.7" right="0.7" top="0.75" bottom="0.75" header="0.3" footer="0.3"/>
  <drawing r:id="rId2"/>
  <tableParts count="3">
    <tablePart r:id="rId3"/>
    <tablePart r:id="rId4"/>
    <tablePart r:id="rId5"/>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FFC000"/>
  </sheetPr>
  <dimension ref="A1:O7"/>
  <sheetViews>
    <sheetView workbookViewId="0">
      <selection activeCell="A29" sqref="A29"/>
    </sheetView>
  </sheetViews>
  <sheetFormatPr defaultRowHeight="15" x14ac:dyDescent="0.25"/>
  <cols>
    <col min="1" max="1" width="13.85546875" customWidth="1"/>
    <col min="2" max="4" width="11" customWidth="1"/>
    <col min="5" max="5" width="10.140625" customWidth="1"/>
    <col min="7" max="7" width="10.85546875" customWidth="1"/>
    <col min="8" max="8" width="25.42578125" customWidth="1"/>
    <col min="9" max="9" width="16.7109375" customWidth="1"/>
    <col min="11" max="11" width="13.85546875" customWidth="1"/>
    <col min="12" max="13" width="11" customWidth="1"/>
    <col min="14" max="15" width="11.140625" customWidth="1"/>
  </cols>
  <sheetData>
    <row r="1" spans="1:15" s="84" customFormat="1" x14ac:dyDescent="0.25">
      <c r="A1" s="561">
        <v>76</v>
      </c>
      <c r="B1" s="732" t="s">
        <v>1113</v>
      </c>
      <c r="C1" s="732"/>
      <c r="D1" s="732"/>
      <c r="E1" s="733"/>
      <c r="G1" s="561">
        <v>77</v>
      </c>
      <c r="H1" s="732" t="s">
        <v>1112</v>
      </c>
      <c r="I1" s="733"/>
      <c r="K1" s="561">
        <v>78</v>
      </c>
      <c r="L1" s="732" t="s">
        <v>1111</v>
      </c>
      <c r="M1" s="732"/>
      <c r="N1" s="732"/>
      <c r="O1" s="733"/>
    </row>
    <row r="2" spans="1:15" x14ac:dyDescent="0.25">
      <c r="A2" t="s">
        <v>1155</v>
      </c>
      <c r="B2" t="s">
        <v>1156</v>
      </c>
      <c r="C2" t="s">
        <v>1157</v>
      </c>
      <c r="D2" t="s">
        <v>1158</v>
      </c>
      <c r="E2" t="s">
        <v>476</v>
      </c>
      <c r="G2" t="s">
        <v>231</v>
      </c>
      <c r="H2" t="s">
        <v>244</v>
      </c>
      <c r="I2" t="s">
        <v>245</v>
      </c>
      <c r="K2" t="s">
        <v>1155</v>
      </c>
      <c r="L2" t="s">
        <v>1156</v>
      </c>
      <c r="M2" t="s">
        <v>1157</v>
      </c>
      <c r="N2" t="s">
        <v>1158</v>
      </c>
      <c r="O2" t="s">
        <v>476</v>
      </c>
    </row>
    <row r="3" spans="1:15" x14ac:dyDescent="0.25">
      <c r="A3">
        <v>1554.12</v>
      </c>
      <c r="B3">
        <v>0</v>
      </c>
      <c r="C3">
        <v>0</v>
      </c>
      <c r="D3">
        <v>831210.31</v>
      </c>
      <c r="E3">
        <v>832764.43</v>
      </c>
      <c r="G3" t="s">
        <v>1267</v>
      </c>
      <c r="H3" t="s">
        <v>1365</v>
      </c>
      <c r="I3">
        <v>998555</v>
      </c>
      <c r="K3">
        <v>0</v>
      </c>
      <c r="L3">
        <v>0</v>
      </c>
      <c r="M3">
        <v>0</v>
      </c>
      <c r="N3">
        <v>1438483.82</v>
      </c>
      <c r="O3">
        <v>1438483.82</v>
      </c>
    </row>
    <row r="4" spans="1:15" x14ac:dyDescent="0.25">
      <c r="G4" t="s">
        <v>1268</v>
      </c>
      <c r="H4" t="s">
        <v>1366</v>
      </c>
      <c r="I4">
        <v>666885</v>
      </c>
    </row>
    <row r="5" spans="1:15" x14ac:dyDescent="0.25">
      <c r="G5" t="s">
        <v>1367</v>
      </c>
      <c r="H5" t="s">
        <v>1368</v>
      </c>
      <c r="I5">
        <v>556856</v>
      </c>
    </row>
    <row r="6" spans="1:15" x14ac:dyDescent="0.25">
      <c r="G6" t="s">
        <v>1269</v>
      </c>
      <c r="H6" t="s">
        <v>1369</v>
      </c>
      <c r="I6">
        <v>555689</v>
      </c>
    </row>
    <row r="7" spans="1:15" x14ac:dyDescent="0.25">
      <c r="G7" t="s">
        <v>1370</v>
      </c>
      <c r="H7" t="s">
        <v>1371</v>
      </c>
      <c r="I7">
        <v>236988</v>
      </c>
    </row>
  </sheetData>
  <mergeCells count="3">
    <mergeCell ref="L1:O1"/>
    <mergeCell ref="H1:I1"/>
    <mergeCell ref="B1:E1"/>
  </mergeCells>
  <pageMargins left="0.7" right="0.7" top="0.75" bottom="0.75" header="0.3" footer="0.3"/>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FC000"/>
  </sheetPr>
  <dimension ref="A1:AP19"/>
  <sheetViews>
    <sheetView workbookViewId="0">
      <selection activeCell="N24" sqref="N24"/>
    </sheetView>
  </sheetViews>
  <sheetFormatPr defaultColWidth="9.140625" defaultRowHeight="15" x14ac:dyDescent="0.25"/>
  <cols>
    <col min="1" max="1" width="9.140625" style="39"/>
    <col min="2" max="2" width="7.85546875" style="39" bestFit="1" customWidth="1"/>
    <col min="3" max="3" width="11" style="39" bestFit="1" customWidth="1"/>
    <col min="4" max="4" width="7.7109375" style="39" bestFit="1" customWidth="1"/>
    <col min="5" max="5" width="11.7109375" style="39" bestFit="1" customWidth="1"/>
    <col min="6" max="7" width="10.7109375" style="39" bestFit="1" customWidth="1"/>
    <col min="8" max="8" width="15.5703125" style="39" bestFit="1" customWidth="1"/>
    <col min="9" max="9" width="14.5703125" style="39" bestFit="1" customWidth="1"/>
    <col min="10" max="10" width="10.7109375" style="39" bestFit="1" customWidth="1"/>
    <col min="11" max="11" width="18.5703125" style="39" bestFit="1" customWidth="1"/>
    <col min="12" max="12" width="20.140625" style="39" bestFit="1" customWidth="1"/>
    <col min="13" max="13" width="11.7109375" style="39" bestFit="1" customWidth="1"/>
    <col min="14" max="14" width="16.85546875" style="39" bestFit="1" customWidth="1"/>
    <col min="15" max="15" width="15.140625" style="39" bestFit="1" customWidth="1"/>
    <col min="16" max="16" width="17.140625" style="39" bestFit="1" customWidth="1"/>
    <col min="17" max="17" width="19.140625" style="39" bestFit="1" customWidth="1"/>
    <col min="18" max="18" width="15.140625" style="39" bestFit="1" customWidth="1"/>
    <col min="19" max="19" width="18.42578125" style="39" bestFit="1" customWidth="1"/>
    <col min="20" max="20" width="21.85546875" style="39" bestFit="1" customWidth="1"/>
    <col min="21" max="21" width="18.140625" style="39" bestFit="1" customWidth="1"/>
    <col min="22" max="22" width="9" style="39" bestFit="1" customWidth="1"/>
    <col min="23" max="23" width="10" style="39" bestFit="1" customWidth="1"/>
    <col min="24" max="25" width="10.28515625" style="39" bestFit="1" customWidth="1"/>
    <col min="26" max="26" width="12.5703125" style="39" bestFit="1" customWidth="1"/>
    <col min="27" max="27" width="10.28515625" style="39" bestFit="1" customWidth="1"/>
    <col min="28" max="29" width="9.140625" style="39"/>
    <col min="30" max="30" width="13.140625" style="39" bestFit="1" customWidth="1"/>
    <col min="31" max="31" width="4.140625" style="39" customWidth="1"/>
    <col min="32" max="32" width="10.85546875" style="39" customWidth="1"/>
    <col min="33" max="33" width="17.28515625" style="39" customWidth="1"/>
    <col min="34" max="34" width="13.5703125" style="39" customWidth="1"/>
    <col min="35" max="35" width="17.28515625" style="39" bestFit="1" customWidth="1"/>
    <col min="36" max="36" width="13.140625" style="39" bestFit="1" customWidth="1"/>
    <col min="37" max="37" width="13.5703125" style="39" bestFit="1" customWidth="1"/>
    <col min="38" max="39" width="17.28515625" style="39" bestFit="1" customWidth="1"/>
    <col min="40" max="40" width="13.140625" style="39" customWidth="1"/>
    <col min="41" max="41" width="13.5703125" style="39" customWidth="1"/>
    <col min="42" max="43" width="17.28515625" style="39" bestFit="1" customWidth="1"/>
    <col min="44" max="16384" width="9.140625" style="39"/>
  </cols>
  <sheetData>
    <row r="1" spans="1:42" x14ac:dyDescent="0.25">
      <c r="B1" s="39" t="s">
        <v>225</v>
      </c>
      <c r="C1" s="39" t="s">
        <v>472</v>
      </c>
      <c r="D1" s="39" t="s">
        <v>628</v>
      </c>
      <c r="E1" s="39" t="s">
        <v>495</v>
      </c>
      <c r="F1" s="39" t="s">
        <v>433</v>
      </c>
      <c r="G1" s="39" t="s">
        <v>496</v>
      </c>
      <c r="H1" s="39" t="s">
        <v>629</v>
      </c>
      <c r="I1" s="39" t="s">
        <v>630</v>
      </c>
      <c r="J1" s="39" t="s">
        <v>497</v>
      </c>
      <c r="K1" s="39" t="s">
        <v>631</v>
      </c>
      <c r="L1" s="39" t="s">
        <v>632</v>
      </c>
      <c r="M1" s="39" t="s">
        <v>221</v>
      </c>
      <c r="N1" s="39" t="s">
        <v>633</v>
      </c>
      <c r="O1" s="39" t="s">
        <v>634</v>
      </c>
      <c r="P1" s="39" t="s">
        <v>635</v>
      </c>
      <c r="Q1" s="39" t="s">
        <v>636</v>
      </c>
      <c r="R1" s="39" t="s">
        <v>637</v>
      </c>
      <c r="S1" s="39" t="s">
        <v>638</v>
      </c>
      <c r="T1" s="39" t="s">
        <v>639</v>
      </c>
      <c r="U1" s="39" t="s">
        <v>640</v>
      </c>
      <c r="V1" s="39" t="s">
        <v>252</v>
      </c>
      <c r="W1" s="39" t="s">
        <v>641</v>
      </c>
      <c r="X1" s="39" t="s">
        <v>224</v>
      </c>
      <c r="Y1" s="39" t="s">
        <v>240</v>
      </c>
      <c r="Z1" s="39" t="s">
        <v>652</v>
      </c>
      <c r="AD1" s="39" t="s">
        <v>16</v>
      </c>
      <c r="AE1" s="39" t="s">
        <v>227</v>
      </c>
      <c r="AF1" s="39" t="s">
        <v>228</v>
      </c>
      <c r="AG1" s="39" t="s">
        <v>642</v>
      </c>
      <c r="AH1" s="39" t="s">
        <v>445</v>
      </c>
      <c r="AJ1" s="542" t="s">
        <v>652</v>
      </c>
      <c r="AL1" s="39" t="s">
        <v>1300</v>
      </c>
      <c r="AN1" s="542" t="s">
        <v>652</v>
      </c>
      <c r="AP1" s="39" t="s">
        <v>1301</v>
      </c>
    </row>
    <row r="2" spans="1:42" x14ac:dyDescent="0.25">
      <c r="A2" s="39">
        <f>Table_Query_from_GLOBAL_ZEN3[[#This Row],[Fiscal Year]]</f>
        <v>2014</v>
      </c>
      <c r="B2" s="39" t="s">
        <v>1243</v>
      </c>
      <c r="C2" s="39">
        <v>2010</v>
      </c>
      <c r="G2" s="39">
        <v>0</v>
      </c>
      <c r="J2" s="39">
        <v>-11566.55</v>
      </c>
      <c r="M2" s="39">
        <v>-1672.7</v>
      </c>
      <c r="S2" s="39">
        <v>11805.69</v>
      </c>
      <c r="X2" s="39" t="s">
        <v>665</v>
      </c>
      <c r="Y2" s="39" t="str">
        <f>TEXT(Table_Query_from_GLOBAL_ZEN3[[#This Row],[MONTH]]*29,"mmm")</f>
        <v>Oct</v>
      </c>
      <c r="Z2" s="39">
        <f>B2+(MONTH(1&amp;LEFT(Y2,3))&gt;='CY - Executive Summary'!$AM$2)</f>
        <v>2014</v>
      </c>
      <c r="AD2" s="543">
        <v>2015</v>
      </c>
      <c r="AE2" s="544"/>
      <c r="AF2" s="544"/>
      <c r="AG2" s="545"/>
      <c r="AH2" s="545"/>
      <c r="AJ2" s="39">
        <f>AJ4</f>
        <v>2015</v>
      </c>
      <c r="AK2" s="546">
        <f>SUMIF(AJ4:AJ7,AJ4,AK4:AK7)</f>
        <v>0</v>
      </c>
      <c r="AL2" s="546">
        <f>SUMIF(AJ4:AJ7,AJ4,AL4:AL7)</f>
        <v>0.43302969688507514</v>
      </c>
      <c r="AN2" s="39">
        <f>AN4</f>
        <v>2016</v>
      </c>
      <c r="AO2" s="546">
        <f>SUMIF(AN4:AN7,AN4,AO4:AO7)</f>
        <v>0</v>
      </c>
      <c r="AP2" s="546">
        <f>SUMIF(AN4:AN7,AN4,AP4:AP7)</f>
        <v>0.48135584620704464</v>
      </c>
    </row>
    <row r="3" spans="1:42" x14ac:dyDescent="0.25">
      <c r="A3" s="39">
        <f>Table_Query_from_GLOBAL_ZEN3[[#This Row],[Fiscal Year]]</f>
        <v>2015</v>
      </c>
      <c r="B3" s="39" t="s">
        <v>1029</v>
      </c>
      <c r="C3" s="39">
        <v>-2010</v>
      </c>
      <c r="J3" s="39">
        <v>11566.57</v>
      </c>
      <c r="M3" s="39">
        <v>1672.7</v>
      </c>
      <c r="S3" s="39">
        <v>-11805.7</v>
      </c>
      <c r="X3" s="39" t="s">
        <v>1244</v>
      </c>
      <c r="Y3" s="39" t="str">
        <f>TEXT(Table_Query_from_GLOBAL_ZEN3[[#This Row],[MONTH]]*29,"mmm")</f>
        <v>Jul</v>
      </c>
      <c r="Z3" s="39">
        <f>B3+(MONTH(1&amp;LEFT(Y3,3))&gt;='CY - Executive Summary'!$AM$2)</f>
        <v>2015</v>
      </c>
      <c r="AD3" s="547" t="s">
        <v>14</v>
      </c>
      <c r="AE3" s="544">
        <v>0</v>
      </c>
      <c r="AF3" s="544">
        <v>-10133</v>
      </c>
      <c r="AG3" s="545">
        <v>-6.0578705087582945</v>
      </c>
      <c r="AH3" s="545">
        <v>0</v>
      </c>
      <c r="AJ3" s="39" t="s">
        <v>16</v>
      </c>
      <c r="AK3" s="39" t="s">
        <v>445</v>
      </c>
      <c r="AL3" s="39" t="s">
        <v>642</v>
      </c>
      <c r="AN3" s="39" t="s">
        <v>16</v>
      </c>
      <c r="AO3" s="39" t="s">
        <v>445</v>
      </c>
      <c r="AP3" s="39" t="s">
        <v>642</v>
      </c>
    </row>
    <row r="4" spans="1:42" x14ac:dyDescent="0.25">
      <c r="A4" s="39">
        <f>Table_Query_from_GLOBAL_ZEN3[[#This Row],[Fiscal Year]]</f>
        <v>2015</v>
      </c>
      <c r="B4" s="39" t="s">
        <v>1029</v>
      </c>
      <c r="C4" s="39">
        <v>241319.03</v>
      </c>
      <c r="E4" s="39">
        <v>-3438251.23</v>
      </c>
      <c r="F4" s="39">
        <v>-210195.52</v>
      </c>
      <c r="G4" s="39">
        <v>71484.240000000005</v>
      </c>
      <c r="I4" s="39">
        <v>-901.56</v>
      </c>
      <c r="J4" s="39">
        <v>365180.42</v>
      </c>
      <c r="M4" s="39">
        <v>-704035.17</v>
      </c>
      <c r="S4" s="39">
        <v>344730.12</v>
      </c>
      <c r="T4" s="39">
        <v>0</v>
      </c>
      <c r="X4" s="39" t="s">
        <v>1245</v>
      </c>
      <c r="Y4" s="39" t="str">
        <f>TEXT(Table_Query_from_GLOBAL_ZEN3[[#This Row],[MONTH]]*29,"mmm")</f>
        <v>Aug</v>
      </c>
      <c r="Z4" s="39">
        <f>B4+(MONTH(1&amp;LEFT(Y4,3))&gt;='CY - Executive Summary'!$AM$2)</f>
        <v>2015</v>
      </c>
      <c r="AD4" s="543">
        <v>2016</v>
      </c>
      <c r="AE4" s="544"/>
      <c r="AF4" s="544"/>
      <c r="AG4" s="545"/>
      <c r="AH4" s="545"/>
      <c r="AJ4" s="543">
        <v>2015</v>
      </c>
      <c r="AK4" s="545">
        <v>0</v>
      </c>
      <c r="AL4" s="545">
        <v>0.43302969688507514</v>
      </c>
      <c r="AN4" s="543">
        <v>2016</v>
      </c>
      <c r="AO4" s="545">
        <v>0</v>
      </c>
      <c r="AP4" s="545">
        <v>0.48135584620704464</v>
      </c>
    </row>
    <row r="5" spans="1:42" x14ac:dyDescent="0.25">
      <c r="A5" s="39">
        <f>Table_Query_from_GLOBAL_ZEN3[[#This Row],[Fiscal Year]]</f>
        <v>2015</v>
      </c>
      <c r="B5" s="39" t="s">
        <v>1029</v>
      </c>
      <c r="C5" s="39">
        <v>654840.06999999995</v>
      </c>
      <c r="E5" s="39">
        <v>2234.9899999999998</v>
      </c>
      <c r="F5" s="39">
        <v>1969.3</v>
      </c>
      <c r="G5" s="39">
        <v>-454472.52</v>
      </c>
      <c r="J5" s="39">
        <v>166674.64999999997</v>
      </c>
      <c r="M5" s="39">
        <v>-899510.01</v>
      </c>
      <c r="S5" s="39">
        <v>651655.16</v>
      </c>
      <c r="X5" s="39" t="s">
        <v>1246</v>
      </c>
      <c r="Y5" s="39" t="str">
        <f>TEXT(Table_Query_from_GLOBAL_ZEN3[[#This Row],[MONTH]]*29,"mmm")</f>
        <v>Sep</v>
      </c>
      <c r="Z5" s="39">
        <f>B5+(MONTH(1&amp;LEFT(Y5,3))&gt;='CY - Executive Summary'!$AM$2)</f>
        <v>2015</v>
      </c>
      <c r="AD5" s="547" t="s">
        <v>10</v>
      </c>
      <c r="AE5" s="544">
        <v>0</v>
      </c>
      <c r="AF5" s="544">
        <v>-95872.699999999953</v>
      </c>
      <c r="AG5" s="545">
        <v>8.5884143126090606E-2</v>
      </c>
      <c r="AH5" s="545">
        <v>0</v>
      </c>
      <c r="AJ5" s="543" t="s">
        <v>17</v>
      </c>
      <c r="AK5" s="545">
        <v>0</v>
      </c>
      <c r="AL5" s="545">
        <v>0.43302969688507514</v>
      </c>
      <c r="AN5" s="543" t="s">
        <v>17</v>
      </c>
      <c r="AO5" s="545">
        <v>0</v>
      </c>
      <c r="AP5" s="545">
        <v>0.48135584620704464</v>
      </c>
    </row>
    <row r="6" spans="1:42" x14ac:dyDescent="0.25">
      <c r="A6" s="39">
        <f>Table_Query_from_GLOBAL_ZEN3[[#This Row],[Fiscal Year]]</f>
        <v>2015</v>
      </c>
      <c r="B6" s="39" t="s">
        <v>1029</v>
      </c>
      <c r="C6" s="39">
        <v>-663358.18999999994</v>
      </c>
      <c r="F6" s="39">
        <v>1129.24</v>
      </c>
      <c r="G6" s="39">
        <v>424906.84</v>
      </c>
      <c r="J6" s="39">
        <v>-872611.96</v>
      </c>
      <c r="M6" s="39">
        <v>-967433.74</v>
      </c>
      <c r="S6" s="39">
        <v>700677.2</v>
      </c>
      <c r="V6" s="39">
        <v>13180.35</v>
      </c>
      <c r="X6" s="39" t="s">
        <v>665</v>
      </c>
      <c r="Y6" s="39" t="str">
        <f>TEXT(Table_Query_from_GLOBAL_ZEN3[[#This Row],[MONTH]]*29,"mmm")</f>
        <v>Oct</v>
      </c>
      <c r="Z6" s="39">
        <f>B6+(MONTH(1&amp;LEFT(Y6,3))&gt;='CY - Executive Summary'!$AM$2)</f>
        <v>2015</v>
      </c>
      <c r="AD6" s="547" t="s">
        <v>5</v>
      </c>
      <c r="AE6" s="544">
        <v>0</v>
      </c>
      <c r="AF6" s="544">
        <v>-617221.18999999994</v>
      </c>
      <c r="AG6" s="545">
        <v>0.73586490146383565</v>
      </c>
      <c r="AH6" s="545">
        <v>0</v>
      </c>
      <c r="AJ6"/>
      <c r="AK6"/>
      <c r="AL6"/>
    </row>
    <row r="7" spans="1:42" x14ac:dyDescent="0.25">
      <c r="A7" s="39">
        <f>Table_Query_from_GLOBAL_ZEN3[[#This Row],[Fiscal Year]]</f>
        <v>2015</v>
      </c>
      <c r="B7" s="39" t="s">
        <v>1029</v>
      </c>
      <c r="C7" s="39">
        <v>75793.42</v>
      </c>
      <c r="F7" s="39">
        <v>380.16</v>
      </c>
      <c r="G7" s="39">
        <v>174217.62</v>
      </c>
      <c r="J7" s="39">
        <v>229328.01</v>
      </c>
      <c r="M7" s="39">
        <v>-823560.37</v>
      </c>
      <c r="S7" s="39">
        <v>437341.18</v>
      </c>
      <c r="X7" s="39" t="s">
        <v>992</v>
      </c>
      <c r="Y7" s="39" t="str">
        <f>TEXT(Table_Query_from_GLOBAL_ZEN3[[#This Row],[MONTH]]*29,"mmm")</f>
        <v>Nov</v>
      </c>
      <c r="Z7" s="39">
        <f>B7+(MONTH(1&amp;LEFT(Y7,3))&gt;='CY - Executive Summary'!$AM$2)</f>
        <v>2015</v>
      </c>
      <c r="AD7" s="547" t="s">
        <v>11</v>
      </c>
      <c r="AE7" s="544">
        <v>0</v>
      </c>
      <c r="AF7" s="544">
        <v>-449959.72</v>
      </c>
      <c r="AG7" s="545">
        <v>0.47030334490553849</v>
      </c>
      <c r="AH7" s="545">
        <v>0</v>
      </c>
    </row>
    <row r="8" spans="1:42" x14ac:dyDescent="0.25">
      <c r="A8" s="39">
        <f>Table_Query_from_GLOBAL_ZEN3[[#This Row],[Fiscal Year]]</f>
        <v>2015</v>
      </c>
      <c r="B8" s="39" t="s">
        <v>1029</v>
      </c>
      <c r="C8" s="39">
        <v>125218.47</v>
      </c>
      <c r="F8" s="39">
        <v>2231.79</v>
      </c>
      <c r="G8" s="39">
        <v>-748.53</v>
      </c>
      <c r="J8" s="39">
        <v>196123.41</v>
      </c>
      <c r="M8" s="39">
        <v>-692472.99</v>
      </c>
      <c r="S8" s="39">
        <v>193668.26</v>
      </c>
      <c r="X8" s="39" t="s">
        <v>997</v>
      </c>
      <c r="Y8" s="39" t="str">
        <f>TEXT(Table_Query_from_GLOBAL_ZEN3[[#This Row],[MONTH]]*29,"mmm")</f>
        <v>Dec</v>
      </c>
      <c r="Z8" s="39">
        <f>B8+(MONTH(1&amp;LEFT(Y8,3))&gt;='CY - Executive Summary'!$AM$2)</f>
        <v>2015</v>
      </c>
      <c r="AD8" s="547" t="s">
        <v>13</v>
      </c>
      <c r="AE8" s="544">
        <v>0</v>
      </c>
      <c r="AF8" s="544">
        <v>-452568.08999999997</v>
      </c>
      <c r="AG8" s="545">
        <v>0.70259235114533114</v>
      </c>
      <c r="AH8" s="545">
        <v>0</v>
      </c>
    </row>
    <row r="9" spans="1:42" x14ac:dyDescent="0.25">
      <c r="A9" s="39">
        <f>Table_Query_from_GLOBAL_ZEN3[[#This Row],[Fiscal Year]]</f>
        <v>2016</v>
      </c>
      <c r="B9" s="39" t="s">
        <v>664</v>
      </c>
      <c r="C9" s="39">
        <v>136634.4</v>
      </c>
      <c r="E9" s="39">
        <v>1777.48</v>
      </c>
      <c r="F9" s="39">
        <v>685.24</v>
      </c>
      <c r="G9" s="39">
        <v>-378072.31</v>
      </c>
      <c r="J9" s="39">
        <v>466811.56999999995</v>
      </c>
      <c r="M9" s="39">
        <v>-769791.86</v>
      </c>
      <c r="S9" s="39">
        <v>239765.79</v>
      </c>
      <c r="V9" s="39">
        <v>13758.95</v>
      </c>
      <c r="X9" s="39" t="s">
        <v>1247</v>
      </c>
      <c r="Y9" s="39" t="str">
        <f>TEXT(Table_Query_from_GLOBAL_ZEN3[[#This Row],[MONTH]]*29,"mmm")</f>
        <v>Jan</v>
      </c>
      <c r="Z9" s="39">
        <f>B9+(MONTH(1&amp;LEFT(Y9,3))&gt;='CY - Executive Summary'!$AM$2)</f>
        <v>2016</v>
      </c>
      <c r="AD9" s="547" t="s">
        <v>14</v>
      </c>
      <c r="AE9" s="544">
        <v>0</v>
      </c>
      <c r="AF9" s="544">
        <v>-428313.22</v>
      </c>
      <c r="AG9" s="545">
        <v>0.40645299128590923</v>
      </c>
      <c r="AH9" s="545">
        <v>0</v>
      </c>
    </row>
    <row r="10" spans="1:42" x14ac:dyDescent="0.25">
      <c r="A10" s="39">
        <f>Table_Query_from_GLOBAL_ZEN3[[#This Row],[Fiscal Year]]</f>
        <v>2016</v>
      </c>
      <c r="B10" s="39" t="s">
        <v>664</v>
      </c>
      <c r="C10" s="39">
        <v>-343408.17</v>
      </c>
      <c r="E10" s="39">
        <v>5547.09</v>
      </c>
      <c r="F10" s="39">
        <v>2969.96</v>
      </c>
      <c r="G10" s="39">
        <v>257121.93</v>
      </c>
      <c r="J10" s="39">
        <v>-477290.52</v>
      </c>
      <c r="M10" s="39">
        <v>-885249</v>
      </c>
      <c r="S10" s="39">
        <v>533173.39</v>
      </c>
      <c r="X10" s="39" t="s">
        <v>1248</v>
      </c>
      <c r="Y10" s="39" t="str">
        <f>TEXT(Table_Query_from_GLOBAL_ZEN3[[#This Row],[MONTH]]*29,"mmm")</f>
        <v>Feb</v>
      </c>
      <c r="Z10" s="39">
        <f>B10+(MONTH(1&amp;LEFT(Y10,3))&gt;='CY - Executive Summary'!$AM$2)</f>
        <v>2016</v>
      </c>
      <c r="AD10" s="543" t="s">
        <v>17</v>
      </c>
      <c r="AE10" s="544">
        <v>0</v>
      </c>
      <c r="AF10" s="544">
        <v>-2054067.92</v>
      </c>
      <c r="AG10" s="545">
        <v>0.44575482577824466</v>
      </c>
      <c r="AH10" s="545">
        <v>0</v>
      </c>
    </row>
    <row r="11" spans="1:42" x14ac:dyDescent="0.25">
      <c r="A11" s="39">
        <f>Table_Query_from_GLOBAL_ZEN3[[#This Row],[Fiscal Year]]</f>
        <v>2016</v>
      </c>
      <c r="B11" s="39" t="s">
        <v>664</v>
      </c>
      <c r="C11" s="39">
        <v>171337.56</v>
      </c>
      <c r="E11" s="39">
        <v>155.52000000000001</v>
      </c>
      <c r="F11" s="39">
        <v>1581.46</v>
      </c>
      <c r="G11" s="39">
        <v>304250.86</v>
      </c>
      <c r="J11" s="39">
        <v>-836138.85000000009</v>
      </c>
      <c r="M11" s="39">
        <v>-1116302.69</v>
      </c>
      <c r="S11" s="39">
        <v>1020429.99</v>
      </c>
      <c r="X11" s="39" t="s">
        <v>1249</v>
      </c>
      <c r="Y11" s="39" t="str">
        <f>TEXT(Table_Query_from_GLOBAL_ZEN3[[#This Row],[MONTH]]*29,"mmm")</f>
        <v>Mar</v>
      </c>
      <c r="Z11" s="39">
        <f>B11+(MONTH(1&amp;LEFT(Y11,3))&gt;='CY - Executive Summary'!$AM$2)</f>
        <v>2016</v>
      </c>
    </row>
    <row r="12" spans="1:42" x14ac:dyDescent="0.25">
      <c r="A12" s="39">
        <f>Table_Query_from_GLOBAL_ZEN3[[#This Row],[Fiscal Year]]</f>
        <v>2016</v>
      </c>
      <c r="B12" s="39" t="s">
        <v>664</v>
      </c>
      <c r="C12" s="39">
        <v>-925359.28</v>
      </c>
      <c r="E12" s="39">
        <v>0</v>
      </c>
      <c r="G12" s="39">
        <v>326788.59000000003</v>
      </c>
      <c r="J12" s="39">
        <v>-449510.66000000003</v>
      </c>
      <c r="M12" s="39">
        <v>-838769.71</v>
      </c>
      <c r="S12" s="39">
        <v>221548.52</v>
      </c>
      <c r="X12" s="39" t="s">
        <v>1250</v>
      </c>
      <c r="Y12" s="39" t="str">
        <f>TEXT(Table_Query_from_GLOBAL_ZEN3[[#This Row],[MONTH]]*29,"mmm")</f>
        <v>Apr</v>
      </c>
      <c r="Z12" s="39">
        <f>B12+(MONTH(1&amp;LEFT(Y12,3))&gt;='CY - Executive Summary'!$AM$2)</f>
        <v>2016</v>
      </c>
    </row>
    <row r="13" spans="1:42" x14ac:dyDescent="0.25">
      <c r="A13" s="39">
        <f>Table_Query_from_GLOBAL_ZEN3[[#This Row],[Fiscal Year]]</f>
        <v>2016</v>
      </c>
      <c r="B13" s="39" t="s">
        <v>664</v>
      </c>
      <c r="C13" s="39">
        <v>442864.78</v>
      </c>
      <c r="E13" s="39">
        <v>870.1</v>
      </c>
      <c r="F13" s="39">
        <v>518.4</v>
      </c>
      <c r="G13" s="39">
        <v>-395675.37</v>
      </c>
      <c r="J13" s="39">
        <v>707401.73</v>
      </c>
      <c r="M13" s="39">
        <v>-956743.61</v>
      </c>
      <c r="S13" s="39">
        <v>506783.89</v>
      </c>
      <c r="V13" s="39">
        <v>15677.17</v>
      </c>
      <c r="X13" s="39" t="s">
        <v>1251</v>
      </c>
      <c r="Y13" s="39" t="str">
        <f>TEXT(Table_Query_from_GLOBAL_ZEN3[[#This Row],[MONTH]]*29,"mmm")</f>
        <v>May</v>
      </c>
      <c r="Z13" s="39">
        <f>B13+(MONTH(1&amp;LEFT(Y13,3))&gt;='CY - Executive Summary'!$AM$2)</f>
        <v>2016</v>
      </c>
    </row>
    <row r="14" spans="1:42" x14ac:dyDescent="0.25">
      <c r="A14" s="39">
        <f>Table_Query_from_GLOBAL_ZEN3[[#This Row],[Fiscal Year]]</f>
        <v>2016</v>
      </c>
      <c r="B14" s="39" t="s">
        <v>664</v>
      </c>
      <c r="C14" s="39">
        <v>408263.45</v>
      </c>
      <c r="E14" s="39">
        <v>2021.76</v>
      </c>
      <c r="F14" s="39">
        <v>2604.88</v>
      </c>
      <c r="G14" s="39">
        <v>-515149.26</v>
      </c>
      <c r="J14" s="39">
        <v>597859.88</v>
      </c>
      <c r="M14" s="39">
        <v>-644140.36</v>
      </c>
      <c r="S14" s="39">
        <v>191572.27</v>
      </c>
      <c r="X14" s="39" t="s">
        <v>1252</v>
      </c>
      <c r="Y14" s="39" t="str">
        <f>TEXT(Table_Query_from_GLOBAL_ZEN3[[#This Row],[MONTH]]*29,"mmm")</f>
        <v>Jun</v>
      </c>
      <c r="Z14" s="39">
        <f>B14+(MONTH(1&amp;LEFT(Y14,3))&gt;='CY - Executive Summary'!$AM$2)</f>
        <v>2016</v>
      </c>
    </row>
    <row r="15" spans="1:42" x14ac:dyDescent="0.25">
      <c r="A15" s="39">
        <f>Table_Query_from_GLOBAL_ZEN3[[#This Row],[Fiscal Year]]</f>
        <v>2016</v>
      </c>
      <c r="B15" s="39" t="s">
        <v>664</v>
      </c>
      <c r="C15" s="39">
        <v>-354650.27</v>
      </c>
      <c r="E15" s="39">
        <v>3528367.53</v>
      </c>
      <c r="F15" s="39">
        <v>-23743.22</v>
      </c>
      <c r="G15" s="39">
        <v>784333.9</v>
      </c>
      <c r="J15" s="39">
        <v>-678170.74</v>
      </c>
      <c r="M15" s="39">
        <v>-1053782.92</v>
      </c>
      <c r="S15" s="39">
        <v>625469.69999999995</v>
      </c>
      <c r="V15" s="39">
        <v>17354.2</v>
      </c>
      <c r="X15" s="39" t="s">
        <v>1244</v>
      </c>
      <c r="Y15" s="39" t="str">
        <f>TEXT(Table_Query_from_GLOBAL_ZEN3[[#This Row],[MONTH]]*29,"mmm")</f>
        <v>Jul</v>
      </c>
      <c r="Z15" s="39">
        <f>B15+(MONTH(1&amp;LEFT(Y15,3))&gt;='CY - Executive Summary'!$AM$2)</f>
        <v>2016</v>
      </c>
    </row>
    <row r="16" spans="1:42" x14ac:dyDescent="0.25">
      <c r="A16" s="39">
        <f>Table_Query_from_GLOBAL_ZEN3[[#This Row],[Fiscal Year]]</f>
        <v>2016</v>
      </c>
      <c r="B16" s="39" t="s">
        <v>664</v>
      </c>
      <c r="C16" s="39">
        <v>1037810.29</v>
      </c>
      <c r="F16" s="39">
        <v>2586.33</v>
      </c>
      <c r="G16" s="39">
        <v>-791649.52</v>
      </c>
      <c r="J16" s="39">
        <v>1183541.6000000001</v>
      </c>
      <c r="M16" s="39">
        <v>-649684.92000000004</v>
      </c>
      <c r="S16" s="39">
        <v>339350.08</v>
      </c>
      <c r="X16" s="39" t="s">
        <v>1245</v>
      </c>
      <c r="Y16" s="39" t="str">
        <f>TEXT(Table_Query_from_GLOBAL_ZEN3[[#This Row],[MONTH]]*29,"mmm")</f>
        <v>Aug</v>
      </c>
      <c r="Z16" s="39">
        <f>B16+(MONTH(1&amp;LEFT(Y16,3))&gt;='CY - Executive Summary'!$AM$2)</f>
        <v>2016</v>
      </c>
    </row>
    <row r="17" spans="1:26" x14ac:dyDescent="0.25">
      <c r="A17" s="39">
        <f>Table_Query_from_GLOBAL_ZEN3[[#This Row],[Fiscal Year]]</f>
        <v>2016</v>
      </c>
      <c r="B17" s="39" t="s">
        <v>664</v>
      </c>
      <c r="G17" s="39">
        <v>194194.19</v>
      </c>
      <c r="M17" s="39">
        <v>-177282.91</v>
      </c>
      <c r="X17" s="39" t="s">
        <v>1246</v>
      </c>
      <c r="Y17" s="39" t="str">
        <f>TEXT(Table_Query_from_GLOBAL_ZEN3[[#This Row],[MONTH]]*29,"mmm")</f>
        <v>Sep</v>
      </c>
      <c r="Z17" s="39">
        <f>B17+(MONTH(1&amp;LEFT(Y17,3))&gt;='CY - Executive Summary'!$AM$2)</f>
        <v>2016</v>
      </c>
    </row>
    <row r="18" spans="1:26" x14ac:dyDescent="0.25">
      <c r="B18" s="39" t="s">
        <v>1243</v>
      </c>
      <c r="C18" s="39">
        <v>-394682.76</v>
      </c>
      <c r="E18" s="39">
        <v>3438251.22</v>
      </c>
      <c r="F18" s="39">
        <v>219868.12</v>
      </c>
      <c r="G18" s="39">
        <v>1441240.4</v>
      </c>
      <c r="I18" s="39">
        <v>0</v>
      </c>
      <c r="J18" s="39">
        <v>-836483.56</v>
      </c>
      <c r="M18" s="39">
        <v>0</v>
      </c>
      <c r="S18" s="39">
        <v>0</v>
      </c>
      <c r="T18" s="39">
        <v>0</v>
      </c>
      <c r="V18" s="39">
        <v>0</v>
      </c>
      <c r="X18" s="39" t="s">
        <v>1253</v>
      </c>
      <c r="Y18" s="39" t="str">
        <f>TEXT(Table_Query_from_GLOBAL_ZEN3[[#This Row],[MONTH]]*29,"mmm")</f>
        <v>Jan</v>
      </c>
      <c r="Z18" s="39">
        <f>B18+(MONTH(1&amp;LEFT(Y18,3))&gt;='CY - Executive Summary'!$AM$2)</f>
        <v>2014</v>
      </c>
    </row>
    <row r="19" spans="1:26" x14ac:dyDescent="0.25">
      <c r="Y19" s="517"/>
    </row>
  </sheetData>
  <pageMargins left="0.7" right="0.7" top="0.75" bottom="0.75" header="0.3" footer="0.3"/>
  <drawing r:id="rId4"/>
  <tableParts count="1">
    <tablePart r:id="rId5"/>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C000"/>
  </sheetPr>
  <dimension ref="A1:BW241"/>
  <sheetViews>
    <sheetView workbookViewId="0">
      <pane xSplit="1" topLeftCell="B1" activePane="topRight" state="frozen"/>
      <selection activeCell="A5" sqref="A5"/>
      <selection pane="topRight" activeCell="BO25" sqref="BO20:BO26"/>
    </sheetView>
  </sheetViews>
  <sheetFormatPr defaultRowHeight="15" x14ac:dyDescent="0.25"/>
  <cols>
    <col min="1" max="1" width="16.140625" bestFit="1" customWidth="1"/>
    <col min="2" max="3" width="11.5703125" style="88" bestFit="1" customWidth="1"/>
    <col min="4" max="4" width="12.5703125" style="88" bestFit="1" customWidth="1"/>
    <col min="5" max="6" width="12.5703125" style="88" customWidth="1"/>
    <col min="7" max="7" width="15" style="88" customWidth="1"/>
    <col min="8" max="8" width="15" style="497" customWidth="1"/>
    <col min="9" max="9" width="12.5703125" style="88" bestFit="1" customWidth="1"/>
    <col min="10" max="10" width="15.5703125" style="88" customWidth="1"/>
    <col min="11" max="11" width="15.5703125" style="497" customWidth="1"/>
    <col min="12" max="12" width="13.140625" style="497" bestFit="1" customWidth="1"/>
    <col min="13" max="13" width="13.140625" style="383" customWidth="1"/>
    <col min="14" max="14" width="15.42578125" style="383" bestFit="1" customWidth="1"/>
    <col min="15" max="15" width="15.7109375" style="383" customWidth="1"/>
    <col min="16" max="17" width="15.7109375" style="497" customWidth="1"/>
    <col min="18" max="19" width="15.7109375" style="383" customWidth="1"/>
    <col min="20" max="20" width="20.28515625" style="497" customWidth="1"/>
    <col min="21" max="28" width="15.7109375" style="88" customWidth="1"/>
    <col min="29" max="30" width="15.7109375" style="497" customWidth="1"/>
    <col min="31" max="31" width="15.7109375" style="383" customWidth="1"/>
    <col min="32" max="32" width="14" style="88" customWidth="1"/>
    <col min="33" max="33" width="15.7109375" style="88" customWidth="1"/>
    <col min="34" max="35" width="15.7109375" style="497" customWidth="1"/>
    <col min="36" max="36" width="15.7109375" style="88" customWidth="1"/>
    <col min="37" max="37" width="15.7109375" style="497" customWidth="1"/>
    <col min="38" max="38" width="17.5703125" style="274" customWidth="1"/>
    <col min="39" max="39" width="15.7109375" style="274" customWidth="1"/>
    <col min="40" max="40" width="14.140625" style="14" bestFit="1" customWidth="1"/>
    <col min="41" max="41" width="15.85546875" style="14" bestFit="1" customWidth="1"/>
    <col min="42" max="42" width="17.5703125" style="14" bestFit="1" customWidth="1"/>
    <col min="43" max="43" width="30.140625" style="14" customWidth="1"/>
    <col min="44" max="44" width="15.85546875" style="14" bestFit="1" customWidth="1"/>
    <col min="45" max="45" width="17" customWidth="1"/>
    <col min="46" max="46" width="18" customWidth="1"/>
    <col min="47" max="47" width="17" customWidth="1"/>
    <col min="48" max="48" width="20.85546875" bestFit="1" customWidth="1"/>
    <col min="49" max="49" width="17" customWidth="1"/>
    <col min="50" max="50" width="17" style="39" customWidth="1"/>
    <col min="51" max="51" width="13.140625" bestFit="1" customWidth="1"/>
    <col min="52" max="52" width="7.85546875" customWidth="1"/>
    <col min="53" max="53" width="6.140625" customWidth="1"/>
    <col min="54" max="54" width="11" bestFit="1" customWidth="1"/>
    <col min="57" max="57" width="13.140625" bestFit="1" customWidth="1"/>
    <col min="58" max="59" width="10.140625" customWidth="1"/>
    <col min="60" max="60" width="9.7109375" customWidth="1"/>
    <col min="63" max="63" width="13.140625" bestFit="1" customWidth="1"/>
    <col min="64" max="64" width="19.5703125" customWidth="1"/>
    <col min="67" max="67" width="13.140625" bestFit="1" customWidth="1"/>
    <col min="68" max="68" width="18.7109375" customWidth="1"/>
    <col min="69" max="69" width="7" customWidth="1"/>
    <col min="71" max="71" width="13.28515625" customWidth="1"/>
    <col min="72" max="72" width="10" bestFit="1" customWidth="1"/>
    <col min="75" max="75" width="14.28515625" bestFit="1" customWidth="1"/>
  </cols>
  <sheetData>
    <row r="1" spans="1:75" x14ac:dyDescent="0.25">
      <c r="AL1" s="384" t="s">
        <v>519</v>
      </c>
      <c r="AM1" s="384"/>
      <c r="AN1" s="385" t="s">
        <v>520</v>
      </c>
      <c r="AO1" s="385" t="s">
        <v>521</v>
      </c>
      <c r="AP1" s="386" t="s">
        <v>522</v>
      </c>
      <c r="AQ1" s="385"/>
      <c r="AR1" s="386"/>
      <c r="AS1" s="386" t="s">
        <v>523</v>
      </c>
      <c r="AT1" s="386"/>
      <c r="AU1" s="386"/>
      <c r="AV1" s="387" t="s">
        <v>524</v>
      </c>
      <c r="AW1" s="742" t="s">
        <v>525</v>
      </c>
      <c r="AX1" s="7"/>
    </row>
    <row r="2" spans="1:75" x14ac:dyDescent="0.25">
      <c r="A2" s="500" t="s">
        <v>622</v>
      </c>
      <c r="B2" s="497"/>
      <c r="AL2" s="388" t="s">
        <v>526</v>
      </c>
      <c r="AM2" s="388"/>
      <c r="AN2" s="389" t="s">
        <v>527</v>
      </c>
      <c r="AO2" s="389" t="s">
        <v>528</v>
      </c>
      <c r="AP2" s="390" t="s">
        <v>529</v>
      </c>
      <c r="AQ2" s="737" t="s">
        <v>530</v>
      </c>
      <c r="AR2" s="744"/>
      <c r="AS2" s="391" t="s">
        <v>531</v>
      </c>
      <c r="AT2" s="391"/>
      <c r="AU2" s="391"/>
      <c r="AV2" s="392" t="s">
        <v>532</v>
      </c>
      <c r="AW2" s="743"/>
      <c r="AX2" s="7"/>
    </row>
    <row r="3" spans="1:75" x14ac:dyDescent="0.25">
      <c r="O3" s="383">
        <f>L10-T10</f>
        <v>0</v>
      </c>
      <c r="AL3" s="388" t="s">
        <v>533</v>
      </c>
      <c r="AM3" s="388"/>
      <c r="AN3" s="389" t="s">
        <v>534</v>
      </c>
      <c r="AO3" s="389" t="s">
        <v>535</v>
      </c>
      <c r="AP3" s="390" t="s">
        <v>536</v>
      </c>
      <c r="AQ3" s="389"/>
      <c r="AR3" s="390"/>
      <c r="AS3" s="389" t="s">
        <v>537</v>
      </c>
      <c r="AT3" s="389" t="s">
        <v>537</v>
      </c>
      <c r="AU3" s="389" t="s">
        <v>537</v>
      </c>
      <c r="AV3" s="389" t="s">
        <v>79</v>
      </c>
      <c r="AW3" s="390"/>
      <c r="AX3" s="44"/>
    </row>
    <row r="4" spans="1:75" ht="30" x14ac:dyDescent="0.25">
      <c r="AL4" s="388" t="s">
        <v>538</v>
      </c>
      <c r="AM4" s="388"/>
      <c r="AN4" s="390"/>
      <c r="AO4" s="390"/>
      <c r="AP4" s="390" t="s">
        <v>539</v>
      </c>
      <c r="AQ4" s="745" t="s">
        <v>540</v>
      </c>
      <c r="AR4" s="746"/>
      <c r="AS4" s="389" t="s">
        <v>0</v>
      </c>
      <c r="AT4" s="389" t="s">
        <v>138</v>
      </c>
      <c r="AU4" s="389" t="s">
        <v>541</v>
      </c>
      <c r="AV4" s="389" t="s">
        <v>498</v>
      </c>
      <c r="AW4" s="393" t="s">
        <v>542</v>
      </c>
      <c r="AX4" s="44"/>
    </row>
    <row r="5" spans="1:75" x14ac:dyDescent="0.25">
      <c r="AI5" s="503" t="s">
        <v>624</v>
      </c>
      <c r="AL5" s="394"/>
      <c r="AM5" s="388"/>
      <c r="AN5" s="389" t="s">
        <v>543</v>
      </c>
      <c r="AO5" s="389" t="s">
        <v>544</v>
      </c>
      <c r="AP5" s="389"/>
      <c r="AQ5" s="389"/>
      <c r="AR5" s="390"/>
      <c r="AS5" s="395" t="s">
        <v>545</v>
      </c>
      <c r="AT5" s="395" t="s">
        <v>545</v>
      </c>
      <c r="AU5" s="395" t="s">
        <v>545</v>
      </c>
      <c r="AV5" s="395" t="s">
        <v>546</v>
      </c>
      <c r="AW5" s="395"/>
      <c r="AX5" s="44"/>
    </row>
    <row r="6" spans="1:75" ht="30.75" customHeight="1" x14ac:dyDescent="0.25">
      <c r="A6" s="396" t="s">
        <v>2</v>
      </c>
      <c r="B6" s="397" t="s">
        <v>498</v>
      </c>
      <c r="C6" s="397" t="s">
        <v>496</v>
      </c>
      <c r="D6" s="397" t="s">
        <v>568</v>
      </c>
      <c r="E6" s="397" t="s">
        <v>569</v>
      </c>
      <c r="F6" s="397" t="s">
        <v>433</v>
      </c>
      <c r="G6" s="397" t="s">
        <v>246</v>
      </c>
      <c r="H6" s="498" t="s">
        <v>247</v>
      </c>
      <c r="I6" s="397" t="s">
        <v>248</v>
      </c>
      <c r="J6" s="397" t="s">
        <v>547</v>
      </c>
      <c r="K6" s="498" t="s">
        <v>548</v>
      </c>
      <c r="L6" s="498" t="s">
        <v>249</v>
      </c>
      <c r="M6" s="397" t="s">
        <v>250</v>
      </c>
      <c r="N6" s="397" t="s">
        <v>251</v>
      </c>
      <c r="O6" s="397" t="s">
        <v>549</v>
      </c>
      <c r="P6" s="498" t="s">
        <v>572</v>
      </c>
      <c r="Q6" s="498" t="s">
        <v>662</v>
      </c>
      <c r="R6" s="397" t="s">
        <v>663</v>
      </c>
      <c r="S6" s="397" t="s">
        <v>550</v>
      </c>
      <c r="T6" s="498" t="s">
        <v>643</v>
      </c>
      <c r="U6" s="397" t="s">
        <v>0</v>
      </c>
      <c r="V6" s="397" t="s">
        <v>647</v>
      </c>
      <c r="W6" s="397" t="s">
        <v>648</v>
      </c>
      <c r="X6" s="397" t="s">
        <v>644</v>
      </c>
      <c r="Y6" s="397" t="s">
        <v>645</v>
      </c>
      <c r="Z6" s="397" t="s">
        <v>649</v>
      </c>
      <c r="AA6" s="397" t="s">
        <v>627</v>
      </c>
      <c r="AB6" s="397" t="s">
        <v>646</v>
      </c>
      <c r="AC6" s="498" t="s">
        <v>96</v>
      </c>
      <c r="AD6" s="498" t="s">
        <v>551</v>
      </c>
      <c r="AE6" s="397" t="s">
        <v>570</v>
      </c>
      <c r="AF6" s="397" t="s">
        <v>571</v>
      </c>
      <c r="AG6" s="397" t="s">
        <v>552</v>
      </c>
      <c r="AH6" s="498" t="s">
        <v>553</v>
      </c>
      <c r="AI6" s="498" t="s">
        <v>554</v>
      </c>
      <c r="AJ6" s="397" t="s">
        <v>500</v>
      </c>
      <c r="AK6" s="502" t="s">
        <v>623</v>
      </c>
      <c r="AL6" s="397" t="s">
        <v>54</v>
      </c>
      <c r="AM6" s="398" t="s">
        <v>555</v>
      </c>
      <c r="AN6" s="399" t="s">
        <v>556</v>
      </c>
      <c r="AO6" s="399" t="s">
        <v>557</v>
      </c>
      <c r="AP6" s="400" t="s">
        <v>60</v>
      </c>
      <c r="AQ6" s="401" t="s">
        <v>64</v>
      </c>
      <c r="AR6" s="400" t="s">
        <v>69</v>
      </c>
      <c r="AS6" s="402" t="s">
        <v>253</v>
      </c>
      <c r="AT6" s="402" t="s">
        <v>26</v>
      </c>
      <c r="AU6" s="403" t="s">
        <v>38</v>
      </c>
      <c r="AV6" s="403" t="s">
        <v>43</v>
      </c>
      <c r="AW6" s="402" t="s">
        <v>558</v>
      </c>
      <c r="AX6" s="404"/>
      <c r="AY6" s="405" t="s">
        <v>2</v>
      </c>
      <c r="AZ6" s="405" t="s">
        <v>63</v>
      </c>
      <c r="BA6" s="405" t="s">
        <v>68</v>
      </c>
      <c r="BB6" s="405" t="s">
        <v>559</v>
      </c>
      <c r="BE6" s="405" t="s">
        <v>2</v>
      </c>
      <c r="BF6" s="406" t="str">
        <f t="shared" ref="BF6:BF16" si="0">AS6</f>
        <v>DSO</v>
      </c>
      <c r="BG6" s="406" t="str">
        <f t="shared" ref="BG6:BG16" si="1">AV6</f>
        <v>CC</v>
      </c>
      <c r="BH6" s="405" t="s">
        <v>560</v>
      </c>
      <c r="BK6" s="405" t="s">
        <v>2</v>
      </c>
      <c r="BL6" s="406" t="s">
        <v>447</v>
      </c>
      <c r="BO6" s="407" t="s">
        <v>2</v>
      </c>
      <c r="BP6" s="408" t="s">
        <v>542</v>
      </c>
      <c r="BQ6" s="409" t="s">
        <v>3</v>
      </c>
      <c r="BS6" s="273" t="s">
        <v>499</v>
      </c>
      <c r="BT6" s="273">
        <v>2015</v>
      </c>
      <c r="BU6" s="273"/>
      <c r="BV6" s="273" t="s">
        <v>138</v>
      </c>
      <c r="BW6" s="273">
        <v>2015</v>
      </c>
    </row>
    <row r="7" spans="1:75" x14ac:dyDescent="0.25">
      <c r="A7">
        <v>2010</v>
      </c>
      <c r="B7" s="410">
        <v>0</v>
      </c>
      <c r="C7" s="410">
        <v>0</v>
      </c>
      <c r="D7" s="410">
        <v>0</v>
      </c>
      <c r="E7" s="410"/>
      <c r="F7" s="410"/>
      <c r="G7" s="410">
        <v>0</v>
      </c>
      <c r="H7" s="499">
        <f t="shared" ref="H7:H25" si="2">SUM(B7:G7)</f>
        <v>0</v>
      </c>
      <c r="I7" s="410">
        <v>0</v>
      </c>
      <c r="J7" s="410">
        <v>0</v>
      </c>
      <c r="K7" s="497">
        <f t="shared" ref="K7:K13" si="3">SUM(I7:J7)</f>
        <v>0</v>
      </c>
      <c r="L7" s="497">
        <f t="shared" ref="L7:L13" si="4">K7+H7</f>
        <v>0</v>
      </c>
      <c r="M7" s="410">
        <v>0</v>
      </c>
      <c r="N7" s="410">
        <v>0</v>
      </c>
      <c r="O7" s="410">
        <v>0</v>
      </c>
      <c r="P7" s="499">
        <f>M7+N7+O7</f>
        <v>0</v>
      </c>
      <c r="Q7" s="499"/>
      <c r="R7" s="410">
        <v>0</v>
      </c>
      <c r="S7" s="410">
        <v>0</v>
      </c>
      <c r="T7" s="499">
        <f>P7+R7+S7+Q7</f>
        <v>0</v>
      </c>
      <c r="U7" s="410">
        <v>0</v>
      </c>
      <c r="V7" s="410">
        <v>0</v>
      </c>
      <c r="W7" s="410">
        <v>0</v>
      </c>
      <c r="X7" s="410">
        <v>0</v>
      </c>
      <c r="Y7" s="410">
        <v>0</v>
      </c>
      <c r="Z7" s="410">
        <v>0</v>
      </c>
      <c r="AA7" s="410">
        <v>0</v>
      </c>
      <c r="AB7" s="410">
        <v>0</v>
      </c>
      <c r="AC7" s="499">
        <f>(U7-(AB7))</f>
        <v>0</v>
      </c>
      <c r="AD7" s="501">
        <f>IFERROR(AC7/U7,0)</f>
        <v>0</v>
      </c>
      <c r="AE7" s="410">
        <v>0</v>
      </c>
      <c r="AF7" s="410">
        <v>0</v>
      </c>
      <c r="AG7" s="410">
        <v>0</v>
      </c>
      <c r="AH7" s="497">
        <f>AF7+AG7+AE7</f>
        <v>0</v>
      </c>
      <c r="AI7" s="497">
        <f t="shared" ref="AI7:AI16" si="5">AC7-AH7</f>
        <v>0</v>
      </c>
      <c r="AJ7" s="88">
        <f>AI7*0.4</f>
        <v>0</v>
      </c>
      <c r="AK7" s="497">
        <f>AI7-AJ7</f>
        <v>0</v>
      </c>
      <c r="AL7" s="411" t="e">
        <f>H7/N7</f>
        <v>#DIV/0!</v>
      </c>
      <c r="AM7" s="411">
        <f t="shared" ref="AM7:AM16" si="6">IFERROR((N7+O7)/L7,0)</f>
        <v>0</v>
      </c>
      <c r="AN7" s="412">
        <f t="shared" ref="AN7:AN16" si="7">IFERROR(AI7/U7,0)</f>
        <v>0</v>
      </c>
      <c r="AO7" s="413">
        <f t="shared" ref="AO7:AO16" si="8">IFERROR(U7/L7,0)</f>
        <v>0</v>
      </c>
      <c r="AP7" s="413">
        <f t="shared" ref="AP7:AP16" si="9">IFERROR((L7/R7),0)</f>
        <v>0</v>
      </c>
      <c r="AQ7" s="414">
        <f t="shared" ref="AQ7:AQ16" si="10">IFERROR(AN7*AO7,0)</f>
        <v>0</v>
      </c>
      <c r="AR7" s="412">
        <f>AQ7*AP7</f>
        <v>0</v>
      </c>
      <c r="AS7" s="413"/>
      <c r="AT7" s="507"/>
      <c r="AU7" s="413"/>
      <c r="AV7" s="413"/>
      <c r="AW7" s="413"/>
      <c r="AX7" s="415"/>
      <c r="AY7" s="416">
        <f t="shared" ref="AY7:AY13" si="11">A7</f>
        <v>2010</v>
      </c>
      <c r="AZ7" s="509">
        <f t="shared" ref="AZ7:BA16" si="12">AQ7</f>
        <v>0</v>
      </c>
      <c r="BA7" s="155">
        <f t="shared" si="12"/>
        <v>0</v>
      </c>
      <c r="BB7" s="509">
        <v>0.255</v>
      </c>
      <c r="BE7" s="416">
        <f t="shared" ref="BE7:BE16" si="13">AY7</f>
        <v>2010</v>
      </c>
      <c r="BF7" s="512">
        <f t="shared" si="0"/>
        <v>0</v>
      </c>
      <c r="BG7" s="417">
        <f t="shared" si="1"/>
        <v>0</v>
      </c>
      <c r="BH7" s="512">
        <v>45</v>
      </c>
      <c r="BK7" s="416">
        <f>BE7</f>
        <v>2010</v>
      </c>
      <c r="BL7" s="418"/>
      <c r="BO7" s="416">
        <f>BK7</f>
        <v>2010</v>
      </c>
      <c r="BP7" s="417"/>
      <c r="BQ7" s="419"/>
      <c r="BS7" s="14" t="s">
        <v>498</v>
      </c>
      <c r="BT7" s="275">
        <f>B12</f>
        <v>431802.80000000005</v>
      </c>
      <c r="BU7" s="14"/>
      <c r="BV7" s="14" t="s">
        <v>495</v>
      </c>
      <c r="BW7" s="275">
        <f>D12</f>
        <v>-3436016.2399999998</v>
      </c>
    </row>
    <row r="8" spans="1:75" x14ac:dyDescent="0.25">
      <c r="A8">
        <v>2011</v>
      </c>
      <c r="B8" s="410">
        <v>0</v>
      </c>
      <c r="C8" s="410">
        <v>0</v>
      </c>
      <c r="D8" s="410">
        <v>0</v>
      </c>
      <c r="E8" s="410"/>
      <c r="F8" s="410"/>
      <c r="G8" s="410">
        <v>0</v>
      </c>
      <c r="H8" s="499">
        <f t="shared" si="2"/>
        <v>0</v>
      </c>
      <c r="I8" s="410">
        <v>0</v>
      </c>
      <c r="J8" s="410">
        <v>0</v>
      </c>
      <c r="K8" s="497">
        <f t="shared" si="3"/>
        <v>0</v>
      </c>
      <c r="L8" s="497">
        <f t="shared" si="4"/>
        <v>0</v>
      </c>
      <c r="M8" s="410">
        <v>0</v>
      </c>
      <c r="N8" s="410">
        <v>0</v>
      </c>
      <c r="O8" s="410">
        <v>0</v>
      </c>
      <c r="P8" s="499">
        <f t="shared" ref="P8:P25" si="14">M8+N8+O8</f>
        <v>0</v>
      </c>
      <c r="Q8" s="499"/>
      <c r="R8" s="410">
        <v>0</v>
      </c>
      <c r="S8" s="410">
        <v>0</v>
      </c>
      <c r="T8" s="499">
        <f t="shared" ref="T8:T25" si="15">P8+R8+S8+Q8</f>
        <v>0</v>
      </c>
      <c r="U8" s="410">
        <v>0</v>
      </c>
      <c r="V8" s="410">
        <v>0</v>
      </c>
      <c r="W8" s="410">
        <v>0</v>
      </c>
      <c r="X8" s="410">
        <v>0</v>
      </c>
      <c r="Y8" s="410">
        <v>0</v>
      </c>
      <c r="Z8" s="410">
        <v>0</v>
      </c>
      <c r="AA8" s="410">
        <v>0</v>
      </c>
      <c r="AB8" s="410">
        <v>0</v>
      </c>
      <c r="AC8" s="499">
        <f t="shared" ref="AC8:AC16" si="16">(U8-(AB8))</f>
        <v>0</v>
      </c>
      <c r="AD8" s="501">
        <f t="shared" ref="AD8:AD16" si="17">IFERROR(AC8/U8,0)</f>
        <v>0</v>
      </c>
      <c r="AE8" s="410">
        <v>0</v>
      </c>
      <c r="AF8" s="410">
        <v>0</v>
      </c>
      <c r="AG8" s="410">
        <v>0</v>
      </c>
      <c r="AH8" s="497">
        <f t="shared" ref="AH8:AH16" si="18">AF8+AG8+AE8</f>
        <v>0</v>
      </c>
      <c r="AI8" s="497">
        <f t="shared" si="5"/>
        <v>0</v>
      </c>
      <c r="AJ8" s="88">
        <f>AI8*0.4</f>
        <v>0</v>
      </c>
      <c r="AK8" s="497">
        <f t="shared" ref="AK8:AK25" si="19">AI8-AJ8</f>
        <v>0</v>
      </c>
      <c r="AL8" s="420" t="e">
        <f>H8/N8</f>
        <v>#DIV/0!</v>
      </c>
      <c r="AM8" s="420">
        <f t="shared" si="6"/>
        <v>0</v>
      </c>
      <c r="AN8" s="421">
        <f t="shared" si="7"/>
        <v>0</v>
      </c>
      <c r="AO8" s="422">
        <f t="shared" si="8"/>
        <v>0</v>
      </c>
      <c r="AP8" s="422">
        <f t="shared" si="9"/>
        <v>0</v>
      </c>
      <c r="AQ8" s="423">
        <f t="shared" si="10"/>
        <v>0</v>
      </c>
      <c r="AR8" s="421">
        <f>AQ8*AP8</f>
        <v>0</v>
      </c>
      <c r="AS8" s="422">
        <f>IFERROR(((C8+C7)/2)/(U8/365),0)</f>
        <v>0</v>
      </c>
      <c r="AT8" s="508">
        <f>IFERROR(((D7+D8+E7+E8+F7+F8)/2)/(V8/365),0)</f>
        <v>0</v>
      </c>
      <c r="AU8" s="422">
        <f>IFERROR(((M7+M8)/2)/(AB8/365),0)</f>
        <v>0</v>
      </c>
      <c r="AV8" s="422">
        <f t="shared" ref="AV8:AV16" si="20">(AS8+AT8-AU8)</f>
        <v>0</v>
      </c>
      <c r="AW8" s="422">
        <f>IFERROR((AB8/(D7+D8+E7+E8+F7+F8)/2),0)</f>
        <v>0</v>
      </c>
      <c r="AX8" s="415"/>
      <c r="AY8" s="416">
        <f t="shared" si="11"/>
        <v>2011</v>
      </c>
      <c r="AZ8" s="510">
        <f t="shared" si="12"/>
        <v>0</v>
      </c>
      <c r="BA8" s="155">
        <f>AR8</f>
        <v>0</v>
      </c>
      <c r="BB8" s="510">
        <v>0.255</v>
      </c>
      <c r="BE8" s="416">
        <f t="shared" si="13"/>
        <v>2011</v>
      </c>
      <c r="BF8" s="513">
        <f t="shared" si="0"/>
        <v>0</v>
      </c>
      <c r="BG8" s="417">
        <f t="shared" si="1"/>
        <v>0</v>
      </c>
      <c r="BH8" s="513">
        <v>45</v>
      </c>
      <c r="BK8" s="416">
        <f t="shared" ref="BK8:BK16" si="21">BE8</f>
        <v>2011</v>
      </c>
      <c r="BL8" s="424">
        <f t="shared" ref="BL8:BL16" si="22">IFERROR((U8-U7)/U7,0)</f>
        <v>0</v>
      </c>
      <c r="BO8" s="416">
        <f t="shared" ref="BO8:BO16" si="23">BK8</f>
        <v>2011</v>
      </c>
      <c r="BP8" s="425">
        <f>AW8</f>
        <v>0</v>
      </c>
      <c r="BQ8" s="419">
        <v>1.25</v>
      </c>
      <c r="BS8" s="14" t="s">
        <v>496</v>
      </c>
      <c r="BT8" s="275">
        <f>C12</f>
        <v>215387.65</v>
      </c>
      <c r="BU8" s="14"/>
      <c r="BV8" s="14" t="s">
        <v>433</v>
      </c>
      <c r="BW8" s="275">
        <f>E12</f>
        <v>0</v>
      </c>
    </row>
    <row r="9" spans="1:75" x14ac:dyDescent="0.25">
      <c r="A9">
        <v>2012</v>
      </c>
      <c r="B9" s="410">
        <v>0</v>
      </c>
      <c r="C9" s="410">
        <v>0</v>
      </c>
      <c r="D9" s="410">
        <v>0</v>
      </c>
      <c r="E9" s="410"/>
      <c r="F9" s="410"/>
      <c r="G9" s="410">
        <v>0</v>
      </c>
      <c r="H9" s="499">
        <f t="shared" si="2"/>
        <v>0</v>
      </c>
      <c r="I9" s="410">
        <v>0</v>
      </c>
      <c r="J9" s="410">
        <v>0</v>
      </c>
      <c r="K9" s="497">
        <f t="shared" si="3"/>
        <v>0</v>
      </c>
      <c r="L9" s="497">
        <f t="shared" si="4"/>
        <v>0</v>
      </c>
      <c r="M9" s="410">
        <v>0</v>
      </c>
      <c r="N9" s="410">
        <v>0</v>
      </c>
      <c r="O9" s="410">
        <v>0</v>
      </c>
      <c r="P9" s="499">
        <f t="shared" si="14"/>
        <v>0</v>
      </c>
      <c r="Q9" s="499"/>
      <c r="R9" s="410">
        <v>0</v>
      </c>
      <c r="S9" s="410">
        <v>0</v>
      </c>
      <c r="T9" s="499">
        <f t="shared" si="15"/>
        <v>0</v>
      </c>
      <c r="U9" s="410">
        <v>0</v>
      </c>
      <c r="V9" s="410">
        <v>0</v>
      </c>
      <c r="W9" s="410">
        <v>0</v>
      </c>
      <c r="X9" s="410">
        <v>0</v>
      </c>
      <c r="Y9" s="410">
        <v>0</v>
      </c>
      <c r="Z9" s="410">
        <v>0</v>
      </c>
      <c r="AA9" s="410">
        <v>0</v>
      </c>
      <c r="AB9" s="410">
        <v>0</v>
      </c>
      <c r="AC9" s="499">
        <f t="shared" si="16"/>
        <v>0</v>
      </c>
      <c r="AD9" s="501">
        <f t="shared" si="17"/>
        <v>0</v>
      </c>
      <c r="AE9" s="410">
        <v>0</v>
      </c>
      <c r="AF9" s="410">
        <v>0</v>
      </c>
      <c r="AG9" s="410">
        <v>0</v>
      </c>
      <c r="AH9" s="497">
        <f t="shared" si="18"/>
        <v>0</v>
      </c>
      <c r="AI9" s="497">
        <f t="shared" si="5"/>
        <v>0</v>
      </c>
      <c r="AJ9" s="88">
        <f>AI9*0.4</f>
        <v>0</v>
      </c>
      <c r="AK9" s="497">
        <f t="shared" si="19"/>
        <v>0</v>
      </c>
      <c r="AL9" s="420" t="e">
        <f>H9/N9</f>
        <v>#DIV/0!</v>
      </c>
      <c r="AM9" s="420">
        <f t="shared" si="6"/>
        <v>0</v>
      </c>
      <c r="AN9" s="421">
        <f t="shared" si="7"/>
        <v>0</v>
      </c>
      <c r="AO9" s="422">
        <f t="shared" si="8"/>
        <v>0</v>
      </c>
      <c r="AP9" s="422">
        <f t="shared" si="9"/>
        <v>0</v>
      </c>
      <c r="AQ9" s="423">
        <f t="shared" si="10"/>
        <v>0</v>
      </c>
      <c r="AR9" s="421">
        <f>AQ9*AP9</f>
        <v>0</v>
      </c>
      <c r="AS9" s="422">
        <f t="shared" ref="AS9:AS16" si="24">IFERROR(((C9+C8)/2)/(U9/365),0)</f>
        <v>0</v>
      </c>
      <c r="AT9" s="508">
        <f t="shared" ref="AT9:AT16" si="25">IFERROR(((D8+D9+E8+E9+F8+F9)/2)/(V9/365),0)</f>
        <v>0</v>
      </c>
      <c r="AU9" s="422">
        <f t="shared" ref="AU9:AU16" si="26">IFERROR(((M8+M9)/2)/(AB9/365),0)</f>
        <v>0</v>
      </c>
      <c r="AV9" s="422">
        <f t="shared" si="20"/>
        <v>0</v>
      </c>
      <c r="AW9" s="422">
        <f t="shared" ref="AW9:AW16" si="27">IFERROR((AB9/(D8+D9+E8+E9+F8+F9)/2),0)</f>
        <v>0</v>
      </c>
      <c r="AX9" s="415"/>
      <c r="AY9" s="416">
        <f t="shared" si="11"/>
        <v>2012</v>
      </c>
      <c r="AZ9" s="510">
        <f t="shared" si="12"/>
        <v>0</v>
      </c>
      <c r="BA9" s="155">
        <f t="shared" si="12"/>
        <v>0</v>
      </c>
      <c r="BB9" s="510">
        <v>0.255</v>
      </c>
      <c r="BE9" s="416">
        <f t="shared" si="13"/>
        <v>2012</v>
      </c>
      <c r="BF9" s="513">
        <f t="shared" si="0"/>
        <v>0</v>
      </c>
      <c r="BG9" s="417">
        <f t="shared" si="1"/>
        <v>0</v>
      </c>
      <c r="BH9" s="513">
        <v>45</v>
      </c>
      <c r="BK9" s="416">
        <f t="shared" si="21"/>
        <v>2012</v>
      </c>
      <c r="BL9" s="424">
        <f t="shared" si="22"/>
        <v>0</v>
      </c>
      <c r="BO9" s="416">
        <f t="shared" si="23"/>
        <v>2012</v>
      </c>
      <c r="BP9" s="425">
        <f t="shared" ref="BP9:BP16" si="28">AW9</f>
        <v>0</v>
      </c>
      <c r="BQ9" s="419">
        <v>1.25</v>
      </c>
      <c r="BS9" s="14" t="s">
        <v>497</v>
      </c>
      <c r="BT9" s="275">
        <f>M12</f>
        <v>-96261.099999999948</v>
      </c>
      <c r="BU9" s="14"/>
      <c r="BV9" s="14" t="s">
        <v>491</v>
      </c>
      <c r="BW9" s="275">
        <f>F12</f>
        <v>-204485.03</v>
      </c>
    </row>
    <row r="10" spans="1:75" ht="15.75" thickBot="1" x14ac:dyDescent="0.3">
      <c r="A10">
        <v>2013</v>
      </c>
      <c r="B10" s="88">
        <f>SUMIF('GL Data'!Z:Z,2013,'GL Data'!C:C)</f>
        <v>0</v>
      </c>
      <c r="C10" s="410">
        <v>0</v>
      </c>
      <c r="D10" s="410">
        <v>0</v>
      </c>
      <c r="E10" s="410"/>
      <c r="F10" s="410"/>
      <c r="G10" s="410">
        <v>0</v>
      </c>
      <c r="H10" s="499">
        <f t="shared" si="2"/>
        <v>0</v>
      </c>
      <c r="I10" s="410">
        <v>0</v>
      </c>
      <c r="J10" s="410">
        <v>0</v>
      </c>
      <c r="K10" s="497">
        <f t="shared" si="3"/>
        <v>0</v>
      </c>
      <c r="L10" s="497">
        <f t="shared" si="4"/>
        <v>0</v>
      </c>
      <c r="M10" s="410">
        <v>0</v>
      </c>
      <c r="N10" s="410">
        <v>0</v>
      </c>
      <c r="O10" s="410">
        <v>0</v>
      </c>
      <c r="P10" s="499">
        <f t="shared" si="14"/>
        <v>0</v>
      </c>
      <c r="Q10" s="499"/>
      <c r="R10" s="410">
        <v>0</v>
      </c>
      <c r="S10" s="410">
        <v>0</v>
      </c>
      <c r="T10" s="499">
        <f t="shared" si="15"/>
        <v>0</v>
      </c>
      <c r="U10" s="410">
        <v>0</v>
      </c>
      <c r="V10" s="410">
        <v>0</v>
      </c>
      <c r="W10" s="410">
        <v>0</v>
      </c>
      <c r="X10" s="410">
        <v>0</v>
      </c>
      <c r="Y10" s="410">
        <v>0</v>
      </c>
      <c r="Z10" s="410">
        <v>0</v>
      </c>
      <c r="AA10" s="410">
        <v>0</v>
      </c>
      <c r="AB10" s="410">
        <v>0</v>
      </c>
      <c r="AC10" s="499">
        <f t="shared" si="16"/>
        <v>0</v>
      </c>
      <c r="AD10" s="501">
        <f t="shared" si="17"/>
        <v>0</v>
      </c>
      <c r="AE10" s="410">
        <v>0</v>
      </c>
      <c r="AF10" s="410">
        <v>0</v>
      </c>
      <c r="AG10" s="410">
        <v>0</v>
      </c>
      <c r="AH10" s="497">
        <f t="shared" si="18"/>
        <v>0</v>
      </c>
      <c r="AI10" s="497">
        <f t="shared" si="5"/>
        <v>0</v>
      </c>
      <c r="AJ10" s="88">
        <f>AI10*0.4</f>
        <v>0</v>
      </c>
      <c r="AK10" s="497">
        <f t="shared" si="19"/>
        <v>0</v>
      </c>
      <c r="AL10" s="420" t="e">
        <f>H10/N10</f>
        <v>#DIV/0!</v>
      </c>
      <c r="AM10" s="420">
        <f t="shared" si="6"/>
        <v>0</v>
      </c>
      <c r="AN10" s="421">
        <f t="shared" si="7"/>
        <v>0</v>
      </c>
      <c r="AO10" s="422">
        <f t="shared" si="8"/>
        <v>0</v>
      </c>
      <c r="AP10" s="422">
        <f t="shared" si="9"/>
        <v>0</v>
      </c>
      <c r="AQ10" s="423">
        <f t="shared" si="10"/>
        <v>0</v>
      </c>
      <c r="AR10" s="421">
        <f>AQ10*AP10</f>
        <v>0</v>
      </c>
      <c r="AS10" s="422">
        <f t="shared" si="24"/>
        <v>0</v>
      </c>
      <c r="AT10" s="508">
        <f t="shared" si="25"/>
        <v>0</v>
      </c>
      <c r="AU10" s="422">
        <f t="shared" si="26"/>
        <v>0</v>
      </c>
      <c r="AV10" s="422">
        <f t="shared" si="20"/>
        <v>0</v>
      </c>
      <c r="AW10" s="422">
        <f t="shared" si="27"/>
        <v>0</v>
      </c>
      <c r="AX10" s="415"/>
      <c r="AY10" s="416">
        <f t="shared" si="11"/>
        <v>2013</v>
      </c>
      <c r="AZ10" s="510">
        <f t="shared" si="12"/>
        <v>0</v>
      </c>
      <c r="BA10" s="155">
        <f t="shared" si="12"/>
        <v>0</v>
      </c>
      <c r="BB10" s="510">
        <v>0.255</v>
      </c>
      <c r="BE10" s="416">
        <f t="shared" si="13"/>
        <v>2013</v>
      </c>
      <c r="BF10" s="513">
        <f t="shared" si="0"/>
        <v>0</v>
      </c>
      <c r="BG10" s="417">
        <f t="shared" si="1"/>
        <v>0</v>
      </c>
      <c r="BH10" s="513">
        <v>45</v>
      </c>
      <c r="BK10" s="416">
        <f t="shared" si="21"/>
        <v>2013</v>
      </c>
      <c r="BL10" s="424">
        <f t="shared" si="22"/>
        <v>0</v>
      </c>
      <c r="BO10" s="416">
        <f t="shared" si="23"/>
        <v>2013</v>
      </c>
      <c r="BP10" s="425">
        <f t="shared" si="28"/>
        <v>0</v>
      </c>
      <c r="BQ10" s="419">
        <v>1.25</v>
      </c>
      <c r="BS10" s="14" t="s">
        <v>79</v>
      </c>
      <c r="BT10" s="436">
        <f>BT7+BT8-BT9</f>
        <v>743451.55</v>
      </c>
      <c r="BU10" s="14"/>
      <c r="BV10" s="14" t="s">
        <v>79</v>
      </c>
      <c r="BW10" s="437">
        <f>BW7+BW8+BW9</f>
        <v>-3640501.2699999996</v>
      </c>
    </row>
    <row r="11" spans="1:75" ht="15.75" thickTop="1" x14ac:dyDescent="0.25">
      <c r="A11">
        <v>2014</v>
      </c>
      <c r="B11" s="88">
        <f>SUMIF('GL Data'!Z:Z,2014,'GL Data'!C:C)</f>
        <v>-392672.76</v>
      </c>
      <c r="C11" s="88">
        <f>SUMIF('GL Data'!Z:Z,2014,'GL Data'!G:G)</f>
        <v>1441240.4</v>
      </c>
      <c r="D11" s="88">
        <f>SUMIF('GL Data'!Z:Z,2014,'GL Data'!E:E)</f>
        <v>3438251.22</v>
      </c>
      <c r="E11" s="88">
        <f>SUMIF('GL Data'!Z:Z,2014,'GL Data'!D:D)</f>
        <v>0</v>
      </c>
      <c r="F11" s="88">
        <f>SUMIF('GL Data'!Z:Z,2014,'GL Data'!F:F)</f>
        <v>219868.12</v>
      </c>
      <c r="G11" s="88">
        <f>SUMIF('GL Data'!Z:Z,2014,'GL Data'!H:H)</f>
        <v>0</v>
      </c>
      <c r="H11" s="497">
        <f t="shared" si="2"/>
        <v>4706686.9800000004</v>
      </c>
      <c r="I11" s="88">
        <f>SUMIF('GL Data'!Z:Z,2014,'GL Data'!I:I)</f>
        <v>0</v>
      </c>
      <c r="J11" s="383"/>
      <c r="K11" s="497">
        <f t="shared" si="3"/>
        <v>0</v>
      </c>
      <c r="L11" s="497">
        <f t="shared" si="4"/>
        <v>4706686.9800000004</v>
      </c>
      <c r="M11" s="88">
        <f>-SUMIF('GL Data'!Z:Z,2014,'GL Data'!J:J)</f>
        <v>848050.1100000001</v>
      </c>
      <c r="N11" s="88">
        <f>-SUMIF('GL Data'!Z:Z,2014,'GL Data'!K:K)</f>
        <v>0</v>
      </c>
      <c r="O11" s="88">
        <f>-SUMIF('GL Data'!Z:Z,2014,'GL Data'!L:L)</f>
        <v>0</v>
      </c>
      <c r="P11" s="499">
        <f t="shared" si="14"/>
        <v>848050.1100000001</v>
      </c>
      <c r="Q11" s="499">
        <f>AK11</f>
        <v>-10132.99</v>
      </c>
      <c r="S11" s="88">
        <f>SUMIF('GL Data'!Z:Z,2014,'GL Data'!W:W)</f>
        <v>0</v>
      </c>
      <c r="T11" s="499">
        <f t="shared" si="15"/>
        <v>837917.12000000011</v>
      </c>
      <c r="U11" s="88">
        <f>-SUMIF('GL Data'!Z:Z,2014,'GL Data'!M:M)</f>
        <v>1672.7</v>
      </c>
      <c r="V11" s="88">
        <f>SUMIF('GL Data'!Z:Z,2014,'GL Data'!S:S)</f>
        <v>11805.69</v>
      </c>
      <c r="W11" s="88">
        <f>SUMIF('GL Data'!Z:Z,2014,'GL Data'!N:N)</f>
        <v>0</v>
      </c>
      <c r="X11" s="88">
        <f>SUMIF('GL Data'!Z:Z,2014,'GL Data'!P:P)</f>
        <v>0</v>
      </c>
      <c r="Y11" s="88">
        <f>SUMIF('GL Data'!Z:Z,2014,'GL Data'!R:R)</f>
        <v>0</v>
      </c>
      <c r="Z11" s="88">
        <f>SUMIF('GL Data'!Z:Z,2014,'GL Data'!O:O)</f>
        <v>0</v>
      </c>
      <c r="AA11" s="88">
        <f>SUMIF('GL Data'!Z:Z,2014,'GL Data'!Q:Q)</f>
        <v>0</v>
      </c>
      <c r="AB11" s="410">
        <f t="shared" ref="AB11:AB16" si="29">SUM(V11:AA11)</f>
        <v>11805.69</v>
      </c>
      <c r="AC11" s="499">
        <f t="shared" si="16"/>
        <v>-10132.99</v>
      </c>
      <c r="AD11" s="501">
        <f t="shared" si="17"/>
        <v>-6.0578645303999519</v>
      </c>
      <c r="AE11" s="88">
        <f>SUMIF('GL Data'!Z:Z,2014,'GL Data'!T:T)</f>
        <v>0</v>
      </c>
      <c r="AF11" s="88">
        <f>SUMIF('GL Data'!Z:Z,2014,'GL Data'!U:U)</f>
        <v>0</v>
      </c>
      <c r="AG11" s="383"/>
      <c r="AH11" s="497">
        <f t="shared" si="18"/>
        <v>0</v>
      </c>
      <c r="AI11" s="497">
        <f t="shared" si="5"/>
        <v>-10132.99</v>
      </c>
      <c r="AJ11" s="88">
        <f>SUMIF('GL Data'!Z:Z,2014,'GL Data'!V:V)</f>
        <v>0</v>
      </c>
      <c r="AK11" s="497">
        <f t="shared" si="19"/>
        <v>-10132.99</v>
      </c>
      <c r="AL11" s="420">
        <f t="shared" ref="AL11:AL16" si="30">IFERROR(H11/N11,)</f>
        <v>0</v>
      </c>
      <c r="AM11" s="420">
        <f t="shared" si="6"/>
        <v>0</v>
      </c>
      <c r="AN11" s="421">
        <f t="shared" si="7"/>
        <v>-6.0578645303999519</v>
      </c>
      <c r="AO11" s="422">
        <f t="shared" si="8"/>
        <v>3.5538798460738085E-4</v>
      </c>
      <c r="AP11" s="422">
        <f t="shared" si="9"/>
        <v>0</v>
      </c>
      <c r="AQ11" s="423">
        <f t="shared" si="10"/>
        <v>-2.1528922664833766E-3</v>
      </c>
      <c r="AR11" s="421">
        <f t="shared" ref="AR11:AR16" si="31">IFERROR(AQ11*AP11,0)</f>
        <v>0</v>
      </c>
      <c r="AS11" s="422">
        <f t="shared" si="24"/>
        <v>157246.59114007291</v>
      </c>
      <c r="AT11" s="508">
        <f>IFERROR(((D10+D11+E10+E11+F10+F11)/2)/(V11/365),0)</f>
        <v>56549.577326695857</v>
      </c>
      <c r="AU11" s="422">
        <f t="shared" si="26"/>
        <v>13109.707698152333</v>
      </c>
      <c r="AV11" s="422">
        <f t="shared" si="20"/>
        <v>200686.46076861641</v>
      </c>
      <c r="AW11" s="422">
        <f t="shared" si="27"/>
        <v>1.6136283295776785E-3</v>
      </c>
      <c r="AX11" s="415"/>
      <c r="AY11" s="416">
        <f t="shared" si="11"/>
        <v>2014</v>
      </c>
      <c r="AZ11" s="510">
        <f t="shared" si="12"/>
        <v>-2.1528922664833766E-3</v>
      </c>
      <c r="BA11" s="155">
        <f t="shared" si="12"/>
        <v>0</v>
      </c>
      <c r="BB11" s="510">
        <v>0.255</v>
      </c>
      <c r="BE11" s="416">
        <f t="shared" si="13"/>
        <v>2014</v>
      </c>
      <c r="BF11" s="513">
        <f t="shared" si="0"/>
        <v>157246.59114007291</v>
      </c>
      <c r="BG11" s="417">
        <f t="shared" si="1"/>
        <v>200686.46076861641</v>
      </c>
      <c r="BH11" s="513">
        <v>45</v>
      </c>
      <c r="BK11" s="416">
        <f t="shared" si="21"/>
        <v>2014</v>
      </c>
      <c r="BL11" s="424">
        <f t="shared" si="22"/>
        <v>0</v>
      </c>
      <c r="BO11" s="416">
        <f t="shared" si="23"/>
        <v>2014</v>
      </c>
      <c r="BP11" s="425">
        <f t="shared" si="28"/>
        <v>1.6136283295776785E-3</v>
      </c>
      <c r="BQ11" s="419">
        <v>1.25</v>
      </c>
    </row>
    <row r="12" spans="1:75" x14ac:dyDescent="0.25">
      <c r="A12">
        <v>2015</v>
      </c>
      <c r="B12" s="383">
        <f>SUMIF('GL Data'!Z:Z,2015,'GL Data'!C:C)</f>
        <v>431802.80000000005</v>
      </c>
      <c r="C12" s="383">
        <f>SUMIF('GL Data'!Z:Z,2015,'GL Data'!G:G)</f>
        <v>215387.65</v>
      </c>
      <c r="D12" s="383">
        <f>SUMIF('GL Data'!Z:Z,2015,'GL Data'!E:E)</f>
        <v>-3436016.2399999998</v>
      </c>
      <c r="E12" s="383">
        <f>SUMIF('GL Data'!Z:Z,2015,'GL Data'!D:D)</f>
        <v>0</v>
      </c>
      <c r="F12" s="383">
        <f>SUMIF('GL Data'!Z:Z,2015,'GL Data'!F:F)</f>
        <v>-204485.03</v>
      </c>
      <c r="G12" s="88">
        <f>SUMIF('GL Data'!Z:Z,2015,'GL Data'!H:H)</f>
        <v>0</v>
      </c>
      <c r="H12" s="497">
        <f>SUM(B12:G12)</f>
        <v>-2993310.8199999994</v>
      </c>
      <c r="I12" s="88">
        <f>SUMIF('GL Data'!Z:Z,2015,'GL Data'!I:I)</f>
        <v>-901.56</v>
      </c>
      <c r="J12" s="383"/>
      <c r="K12" s="497">
        <f>SUM(I12:J12)</f>
        <v>-901.56</v>
      </c>
      <c r="L12" s="497">
        <f>K12+H12</f>
        <v>-2994212.3799999994</v>
      </c>
      <c r="M12" s="383">
        <f>-SUMIF('GL Data'!Z:Z,2015,'GL Data'!J:J)</f>
        <v>-96261.099999999948</v>
      </c>
      <c r="N12" s="383">
        <f>-SUMIF('GL Data'!Z:Z,2015,'GL Data'!K:K)</f>
        <v>0</v>
      </c>
      <c r="O12" s="383">
        <f>-SUMIF('GL Data'!Z:Z,2015,'GL Data'!L:L)</f>
        <v>0</v>
      </c>
      <c r="P12" s="499">
        <f t="shared" si="14"/>
        <v>-96261.099999999948</v>
      </c>
      <c r="Q12" s="499">
        <f>AK12</f>
        <v>1755893.0100000002</v>
      </c>
      <c r="S12" s="88">
        <f>SUMIF('GL Data'!Z:Z,2015,'GL Data'!W:W)</f>
        <v>0</v>
      </c>
      <c r="T12" s="499">
        <f>P12+R12+S12+Q12</f>
        <v>1659631.9100000004</v>
      </c>
      <c r="U12" s="88">
        <f>-SUMIF('GL Data'!Z:Z,2015,'GL Data'!M:M)</f>
        <v>4085339.58</v>
      </c>
      <c r="V12" s="88">
        <f>SUMIF('GL Data'!Z:Z,2015,'GL Data'!S:S)</f>
        <v>2316266.2199999997</v>
      </c>
      <c r="W12" s="88">
        <f>SUMIF('GL Data'!Z:Z,2015,'GL Data'!N:N)</f>
        <v>0</v>
      </c>
      <c r="X12" s="88">
        <f>SUMIF('GL Data'!Z:Z,2015,'GL Data'!P:P)</f>
        <v>0</v>
      </c>
      <c r="Y12" s="88">
        <f>SUMIF('GL Data'!Z:Z,2015,'GL Data'!R:R)</f>
        <v>0</v>
      </c>
      <c r="Z12" s="88">
        <f>SUMIF('GL Data'!Z:Z,2015,'GL Data'!O:O)</f>
        <v>0</v>
      </c>
      <c r="AA12" s="88">
        <f>SUMIF('GL Data'!Z:Z,2015,'GL Data'!Q:Q)</f>
        <v>0</v>
      </c>
      <c r="AB12" s="410">
        <f t="shared" si="29"/>
        <v>2316266.2199999997</v>
      </c>
      <c r="AC12" s="499">
        <f t="shared" si="16"/>
        <v>1769073.3600000003</v>
      </c>
      <c r="AD12" s="501">
        <f t="shared" si="17"/>
        <v>0.43302969688507514</v>
      </c>
      <c r="AE12" s="88">
        <f>SUMIF('GL Data'!Z:Z,2015,'GL Data'!T:T)</f>
        <v>0</v>
      </c>
      <c r="AF12" s="88">
        <f>SUMIF('GL Data'!Z:Z,2015,'GL Data'!U:U)</f>
        <v>0</v>
      </c>
      <c r="AG12" s="383"/>
      <c r="AH12" s="497">
        <f t="shared" si="18"/>
        <v>0</v>
      </c>
      <c r="AI12" s="497">
        <f>AC12-AH12</f>
        <v>1769073.3600000003</v>
      </c>
      <c r="AJ12" s="88">
        <f>SUMIF('GL Data'!Z:Z,2015,'GL Data'!V:V)</f>
        <v>13180.35</v>
      </c>
      <c r="AK12" s="497">
        <f>AI12-AJ12</f>
        <v>1755893.0100000002</v>
      </c>
      <c r="AL12" s="420">
        <f t="shared" si="30"/>
        <v>0</v>
      </c>
      <c r="AM12" s="420">
        <f t="shared" si="6"/>
        <v>0</v>
      </c>
      <c r="AN12" s="421">
        <f t="shared" si="7"/>
        <v>0.43302969688507514</v>
      </c>
      <c r="AO12" s="422">
        <f t="shared" si="8"/>
        <v>-1.3644120929057146</v>
      </c>
      <c r="AP12" s="422">
        <f t="shared" si="9"/>
        <v>0</v>
      </c>
      <c r="AQ12" s="423">
        <f t="shared" si="10"/>
        <v>-0.59083095501729255</v>
      </c>
      <c r="AR12" s="421">
        <f t="shared" si="31"/>
        <v>0</v>
      </c>
      <c r="AS12" s="422">
        <f t="shared" si="24"/>
        <v>74.004770767427843</v>
      </c>
      <c r="AT12" s="508">
        <f t="shared" si="25"/>
        <v>1.3881382663345501</v>
      </c>
      <c r="AU12" s="422">
        <f t="shared" si="26"/>
        <v>59.233905472661966</v>
      </c>
      <c r="AV12" s="422">
        <f t="shared" si="20"/>
        <v>16.159003561100427</v>
      </c>
      <c r="AW12" s="422">
        <f t="shared" si="27"/>
        <v>65.735526649625683</v>
      </c>
      <c r="AX12" s="415"/>
      <c r="AY12" s="416">
        <f t="shared" si="11"/>
        <v>2015</v>
      </c>
      <c r="AZ12" s="510">
        <f t="shared" si="12"/>
        <v>-0.59083095501729255</v>
      </c>
      <c r="BA12" s="155">
        <f t="shared" si="12"/>
        <v>0</v>
      </c>
      <c r="BB12" s="510">
        <v>0.255</v>
      </c>
      <c r="BE12" s="416">
        <f t="shared" si="13"/>
        <v>2015</v>
      </c>
      <c r="BF12" s="513">
        <f t="shared" si="0"/>
        <v>74.004770767427843</v>
      </c>
      <c r="BG12" s="417">
        <f t="shared" si="1"/>
        <v>16.159003561100427</v>
      </c>
      <c r="BH12" s="513">
        <v>45</v>
      </c>
      <c r="BK12" s="416">
        <f t="shared" si="21"/>
        <v>2015</v>
      </c>
      <c r="BL12" s="424">
        <f t="shared" si="22"/>
        <v>2441.3623961260237</v>
      </c>
      <c r="BO12" s="416">
        <f t="shared" si="23"/>
        <v>2015</v>
      </c>
      <c r="BP12" s="425">
        <f t="shared" si="28"/>
        <v>65.735526649625683</v>
      </c>
      <c r="BQ12" s="419">
        <v>1.25</v>
      </c>
    </row>
    <row r="13" spans="1:75" x14ac:dyDescent="0.25">
      <c r="A13">
        <v>2016</v>
      </c>
      <c r="B13" s="383">
        <f>SUMIF('GL Data'!Z:Z,2016,'GL Data'!C:C)</f>
        <v>573492.76</v>
      </c>
      <c r="C13" s="383">
        <f>SUMIF('GL Data'!Z:Z,2016,'GL Data'!G:G)</f>
        <v>-213856.99</v>
      </c>
      <c r="D13" s="383">
        <f>SUMIF('GL Data'!Z:Z,2016,'GL Data'!E:E)</f>
        <v>3538739.48</v>
      </c>
      <c r="E13" s="383">
        <f>SUMIF('GL Data'!Z:Z,2016,'GL Data'!D:D)</f>
        <v>0</v>
      </c>
      <c r="F13" s="383">
        <f>SUMIF('GL Data'!Z:Z,2016,'GL Data'!F:F)</f>
        <v>-12796.950000000003</v>
      </c>
      <c r="G13" s="88">
        <f>SUMIF('GL Data'!Z:Z,2016,'GL Data'!H:H)</f>
        <v>0</v>
      </c>
      <c r="H13" s="497">
        <f>SUM(B13:G13)</f>
        <v>3885578.3</v>
      </c>
      <c r="I13" s="88">
        <f>SUMIF('GL Data'!Z:Z,2016,'GL Data'!I:I)</f>
        <v>0</v>
      </c>
      <c r="J13" s="383"/>
      <c r="K13" s="497">
        <f t="shared" si="3"/>
        <v>0</v>
      </c>
      <c r="L13" s="497">
        <f t="shared" si="4"/>
        <v>3885578.3</v>
      </c>
      <c r="M13" s="383">
        <f>-SUMIF('GL Data'!Z:Z,2016,'GL Data'!J:J)</f>
        <v>-514504.00999999989</v>
      </c>
      <c r="N13" s="383">
        <f>-SUMIF('GL Data'!Z:Z,2016,'GL Data'!K:K)</f>
        <v>0</v>
      </c>
      <c r="O13" s="383">
        <f>-SUMIF('GL Data'!Z:Z,2016,'GL Data'!L:L)</f>
        <v>0</v>
      </c>
      <c r="P13" s="499">
        <f t="shared" si="14"/>
        <v>-514504.00999999989</v>
      </c>
      <c r="Q13" s="499">
        <f>AK13</f>
        <v>3366864.0300000007</v>
      </c>
      <c r="S13" s="88">
        <f>SUMIF('GL Data'!Z:Z,2016,'GL Data'!W:W)</f>
        <v>0</v>
      </c>
      <c r="T13" s="499">
        <f t="shared" si="15"/>
        <v>2852360.0200000009</v>
      </c>
      <c r="U13" s="88">
        <f>-SUMIF('GL Data'!Z:Z,2016,'GL Data'!M:M)</f>
        <v>7091747.9800000004</v>
      </c>
      <c r="V13" s="88">
        <f>SUMIF('GL Data'!Z:Z,2016,'GL Data'!S:S)</f>
        <v>3678093.63</v>
      </c>
      <c r="W13" s="88">
        <f>SUMIF('GL Data'!Z:Z,2016,'GL Data'!N:N)</f>
        <v>0</v>
      </c>
      <c r="X13" s="88">
        <f>SUMIF('GL Data'!Z:Z,2016,'GL Data'!P:P)</f>
        <v>0</v>
      </c>
      <c r="Y13" s="88">
        <f>SUMIF('GL Data'!Z:Z,2016,'GL Data'!R:R)</f>
        <v>0</v>
      </c>
      <c r="Z13" s="88">
        <f>SUMIF('GL Data'!Z:Z,2016,'GL Data'!O:O)</f>
        <v>0</v>
      </c>
      <c r="AA13" s="88">
        <f>SUMIF('GL Data'!Z:Z,2016,'GL Data'!Q:Q)</f>
        <v>0</v>
      </c>
      <c r="AB13" s="410">
        <f t="shared" si="29"/>
        <v>3678093.63</v>
      </c>
      <c r="AC13" s="499">
        <f t="shared" si="16"/>
        <v>3413654.3500000006</v>
      </c>
      <c r="AD13" s="501">
        <f t="shared" si="17"/>
        <v>0.48135584620704475</v>
      </c>
      <c r="AE13" s="88">
        <f>SUMIF('GL Data'!Z:Z,2016,'GL Data'!T:T)</f>
        <v>0</v>
      </c>
      <c r="AF13" s="88">
        <f>SUMIF('GL Data'!Z:Z,2016,'GL Data'!U:U)</f>
        <v>0</v>
      </c>
      <c r="AG13" s="383"/>
      <c r="AH13" s="497">
        <f t="shared" si="18"/>
        <v>0</v>
      </c>
      <c r="AI13" s="497">
        <f t="shared" si="5"/>
        <v>3413654.3500000006</v>
      </c>
      <c r="AJ13" s="88">
        <f>SUMIF('GL Data'!Z:Z,2016,'GL Data'!V:V)</f>
        <v>46790.320000000007</v>
      </c>
      <c r="AK13" s="497">
        <f t="shared" si="19"/>
        <v>3366864.0300000007</v>
      </c>
      <c r="AL13" s="420">
        <f t="shared" si="30"/>
        <v>0</v>
      </c>
      <c r="AM13" s="420">
        <f t="shared" si="6"/>
        <v>0</v>
      </c>
      <c r="AN13" s="421">
        <f t="shared" si="7"/>
        <v>0.48135584620704475</v>
      </c>
      <c r="AO13" s="422">
        <f t="shared" si="8"/>
        <v>1.8251460741377932</v>
      </c>
      <c r="AP13" s="422">
        <f t="shared" si="9"/>
        <v>0</v>
      </c>
      <c r="AQ13" s="423">
        <f t="shared" si="10"/>
        <v>0.87854473296806301</v>
      </c>
      <c r="AR13" s="421">
        <f t="shared" si="31"/>
        <v>0</v>
      </c>
      <c r="AS13" s="422">
        <f t="shared" si="24"/>
        <v>3.9390211099972088E-2</v>
      </c>
      <c r="AT13" s="508">
        <f t="shared" si="25"/>
        <v>-5.684186470804975</v>
      </c>
      <c r="AU13" s="422">
        <f t="shared" si="26"/>
        <v>-30.305001391440918</v>
      </c>
      <c r="AV13" s="422">
        <f t="shared" si="20"/>
        <v>24.660205131735914</v>
      </c>
      <c r="AW13" s="422">
        <f t="shared" si="27"/>
        <v>-16.053308678150646</v>
      </c>
      <c r="AX13" s="415"/>
      <c r="AY13" s="416">
        <f t="shared" si="11"/>
        <v>2016</v>
      </c>
      <c r="AZ13" s="510">
        <f t="shared" si="12"/>
        <v>0.87854473296806301</v>
      </c>
      <c r="BA13" s="155">
        <f t="shared" si="12"/>
        <v>0</v>
      </c>
      <c r="BB13" s="510">
        <v>0.255</v>
      </c>
      <c r="BE13" s="416">
        <f t="shared" si="13"/>
        <v>2016</v>
      </c>
      <c r="BF13" s="513">
        <f t="shared" si="0"/>
        <v>3.9390211099972088E-2</v>
      </c>
      <c r="BG13" s="417">
        <f t="shared" si="1"/>
        <v>24.660205131735914</v>
      </c>
      <c r="BH13" s="513">
        <v>45</v>
      </c>
      <c r="BK13" s="416">
        <f t="shared" si="21"/>
        <v>2016</v>
      </c>
      <c r="BL13" s="424">
        <f t="shared" si="22"/>
        <v>0.73590171419728112</v>
      </c>
      <c r="BO13" s="416">
        <f t="shared" si="23"/>
        <v>2016</v>
      </c>
      <c r="BP13" s="425">
        <f t="shared" si="28"/>
        <v>-16.053308678150646</v>
      </c>
      <c r="BQ13" s="419">
        <v>1.25</v>
      </c>
    </row>
    <row r="14" spans="1:75" x14ac:dyDescent="0.25">
      <c r="A14">
        <v>2017</v>
      </c>
      <c r="B14" s="383">
        <f>SUMIF('GL Data'!Z:Z,2017,'GL Data'!C:C)</f>
        <v>0</v>
      </c>
      <c r="C14" s="383">
        <f>SUMIF('GL Data'!Z:Z,2017,'GL Data'!G:G)</f>
        <v>0</v>
      </c>
      <c r="D14" s="383">
        <f>SUMIF('GL Data'!Z:Z,2017,'GL Data'!E:E)</f>
        <v>0</v>
      </c>
      <c r="E14" s="383">
        <f>SUMIF('GL Data'!Z:Z,2017,'GL Data'!D:D)</f>
        <v>0</v>
      </c>
      <c r="F14" s="383">
        <f>SUMIF('GL Data'!Z:Z,2017,'GL Data'!F:F)</f>
        <v>0</v>
      </c>
      <c r="G14" s="88">
        <f>SUMIF('GL Data'!Z:Z,2017,'GL Data'!H:H)</f>
        <v>0</v>
      </c>
      <c r="H14" s="497">
        <f t="shared" si="2"/>
        <v>0</v>
      </c>
      <c r="I14" s="88">
        <f>SUMIF('GL Data'!Z:Z,2017,'GL Data'!I:I)</f>
        <v>0</v>
      </c>
      <c r="J14" s="383"/>
      <c r="K14" s="497">
        <f t="shared" ref="K14:K25" si="32">SUM(I14:J14)</f>
        <v>0</v>
      </c>
      <c r="L14" s="497">
        <f t="shared" ref="L14:L25" si="33">K14+H14</f>
        <v>0</v>
      </c>
      <c r="M14" s="88">
        <f>-SUMIF('GL Data'!Z:Z,2017,'GL Data'!J:J)</f>
        <v>0</v>
      </c>
      <c r="N14" s="88">
        <f>-SUMIF('GL Data'!Z:Z,2017,'GL Data'!K:K)</f>
        <v>0</v>
      </c>
      <c r="O14" s="88">
        <f>-SUMIF('GL Data'!Z:Z,2017,'GL Data'!L:L)</f>
        <v>0</v>
      </c>
      <c r="P14" s="499">
        <f t="shared" si="14"/>
        <v>0</v>
      </c>
      <c r="Q14" s="499">
        <f t="shared" ref="Q14:Q25" si="34">AK14</f>
        <v>0</v>
      </c>
      <c r="S14" s="88">
        <f>SUMIF('GL Data'!Z:Z,2017,'GL Data'!W:W)</f>
        <v>0</v>
      </c>
      <c r="T14" s="499">
        <f t="shared" si="15"/>
        <v>0</v>
      </c>
      <c r="U14" s="88">
        <f>-SUMIF('GL Data'!Z:Z,2017,'GL Data'!M:M)</f>
        <v>0</v>
      </c>
      <c r="V14" s="88">
        <f>SUMIF('GL Data'!Z:Z,2017,'GL Data'!S:S)</f>
        <v>0</v>
      </c>
      <c r="W14" s="88">
        <f>SUMIF('GL Data'!Z:Z,2017,'GL Data'!N:N)</f>
        <v>0</v>
      </c>
      <c r="X14" s="88">
        <f>SUMIF('GL Data'!Z:Z,2017,'GL Data'!P:P)</f>
        <v>0</v>
      </c>
      <c r="Y14" s="88">
        <f>SUMIF('GL Data'!Z:Z,2017,'GL Data'!R:R)</f>
        <v>0</v>
      </c>
      <c r="Z14" s="88">
        <f>SUMIF('GL Data'!Z:Z,2017,'GL Data'!O:O)</f>
        <v>0</v>
      </c>
      <c r="AA14" s="88">
        <f>SUMIF('GL Data'!Z:Z,2017,'GL Data'!Q:Q)</f>
        <v>0</v>
      </c>
      <c r="AB14" s="410">
        <f t="shared" si="29"/>
        <v>0</v>
      </c>
      <c r="AC14" s="499">
        <f t="shared" si="16"/>
        <v>0</v>
      </c>
      <c r="AD14" s="501">
        <f t="shared" si="17"/>
        <v>0</v>
      </c>
      <c r="AE14" s="88">
        <f>SUMIF('GL Data'!Z:Z,2017,'GL Data'!T:T)</f>
        <v>0</v>
      </c>
      <c r="AF14" s="88">
        <f>SUMIF('GL Data'!Z:Z,2017,'GL Data'!U:U)</f>
        <v>0</v>
      </c>
      <c r="AG14" s="383"/>
      <c r="AH14" s="497">
        <f t="shared" si="18"/>
        <v>0</v>
      </c>
      <c r="AI14" s="497">
        <f t="shared" si="5"/>
        <v>0</v>
      </c>
      <c r="AJ14" s="88">
        <f>SUMIF('GL Data'!Z:Z,2017,'GL Data'!V:V)</f>
        <v>0</v>
      </c>
      <c r="AK14" s="497">
        <f t="shared" si="19"/>
        <v>0</v>
      </c>
      <c r="AL14" s="420">
        <f t="shared" si="30"/>
        <v>0</v>
      </c>
      <c r="AM14" s="420">
        <f t="shared" si="6"/>
        <v>0</v>
      </c>
      <c r="AN14" s="421">
        <f t="shared" si="7"/>
        <v>0</v>
      </c>
      <c r="AO14" s="422">
        <f t="shared" si="8"/>
        <v>0</v>
      </c>
      <c r="AP14" s="422">
        <f t="shared" si="9"/>
        <v>0</v>
      </c>
      <c r="AQ14" s="423">
        <f t="shared" si="10"/>
        <v>0</v>
      </c>
      <c r="AR14" s="421">
        <f t="shared" si="31"/>
        <v>0</v>
      </c>
      <c r="AS14" s="422">
        <f t="shared" si="24"/>
        <v>0</v>
      </c>
      <c r="AT14" s="508">
        <f t="shared" si="25"/>
        <v>0</v>
      </c>
      <c r="AU14" s="422">
        <f t="shared" si="26"/>
        <v>0</v>
      </c>
      <c r="AV14" s="422">
        <f t="shared" si="20"/>
        <v>0</v>
      </c>
      <c r="AW14" s="422">
        <f t="shared" si="27"/>
        <v>0</v>
      </c>
      <c r="AX14" s="415"/>
      <c r="AY14" s="416">
        <v>2017</v>
      </c>
      <c r="AZ14" s="510">
        <f t="shared" si="12"/>
        <v>0</v>
      </c>
      <c r="BA14" s="155">
        <f t="shared" si="12"/>
        <v>0</v>
      </c>
      <c r="BB14" s="510">
        <v>0.255</v>
      </c>
      <c r="BE14" s="416">
        <f t="shared" si="13"/>
        <v>2017</v>
      </c>
      <c r="BF14" s="513">
        <f t="shared" si="0"/>
        <v>0</v>
      </c>
      <c r="BG14" s="417">
        <f t="shared" si="1"/>
        <v>0</v>
      </c>
      <c r="BH14" s="513">
        <v>45</v>
      </c>
      <c r="BK14" s="416">
        <f t="shared" si="21"/>
        <v>2017</v>
      </c>
      <c r="BL14" s="424">
        <f t="shared" si="22"/>
        <v>-1</v>
      </c>
      <c r="BO14" s="416">
        <f t="shared" si="23"/>
        <v>2017</v>
      </c>
      <c r="BP14" s="425">
        <f t="shared" si="28"/>
        <v>0</v>
      </c>
      <c r="BQ14" s="419">
        <v>1.25</v>
      </c>
    </row>
    <row r="15" spans="1:75" x14ac:dyDescent="0.25">
      <c r="A15">
        <v>2018</v>
      </c>
      <c r="B15" s="88">
        <f>SUMIF('GL Data'!Z:Z,2018,'GL Data'!C:C)</f>
        <v>0</v>
      </c>
      <c r="C15" s="88">
        <f>SUMIF('GL Data'!Z:Z,2018,'GL Data'!G:G)</f>
        <v>0</v>
      </c>
      <c r="D15" s="88">
        <f>SUMIF('GL Data'!Z:Z,2018,'GL Data'!E:E)</f>
        <v>0</v>
      </c>
      <c r="E15" s="88">
        <f>SUMIF('GL Data'!Z:Z,2018,'GL Data'!D:D)</f>
        <v>0</v>
      </c>
      <c r="F15" s="88">
        <f>SUMIF('GL Data'!Z:Z,2018,'GL Data'!F:F)</f>
        <v>0</v>
      </c>
      <c r="G15" s="88">
        <f>SUMIF('GL Data'!Z:Z,2018,'GL Data'!H:H)</f>
        <v>0</v>
      </c>
      <c r="H15" s="497">
        <f t="shared" si="2"/>
        <v>0</v>
      </c>
      <c r="I15" s="88">
        <f>SUMIF('GL Data'!Z:Z,2018,'GL Data'!I:I)</f>
        <v>0</v>
      </c>
      <c r="J15" s="383"/>
      <c r="K15" s="497">
        <f t="shared" si="32"/>
        <v>0</v>
      </c>
      <c r="L15" s="497">
        <f t="shared" si="33"/>
        <v>0</v>
      </c>
      <c r="M15" s="88">
        <f>-SUMIF('GL Data'!Z:Z,2018,'GL Data'!J:J)</f>
        <v>0</v>
      </c>
      <c r="N15" s="88">
        <f>-SUMIF('GL Data'!Z:Z,2018,'GL Data'!K:K)</f>
        <v>0</v>
      </c>
      <c r="O15" s="88">
        <f>-SUMIF('GL Data'!Z:Z,2018,'GL Data'!L:L)</f>
        <v>0</v>
      </c>
      <c r="P15" s="499">
        <f t="shared" si="14"/>
        <v>0</v>
      </c>
      <c r="Q15" s="499">
        <f t="shared" si="34"/>
        <v>0</v>
      </c>
      <c r="S15" s="88">
        <f>SUMIF('GL Data'!Z:Z,2018,'GL Data'!W:W)</f>
        <v>0</v>
      </c>
      <c r="T15" s="499">
        <f t="shared" si="15"/>
        <v>0</v>
      </c>
      <c r="U15" s="88">
        <f>-SUMIF('GL Data'!Z:Z,2018,'GL Data'!M:M)</f>
        <v>0</v>
      </c>
      <c r="V15" s="88">
        <f>SUMIF('GL Data'!Z:Z,2018,'GL Data'!S:S)</f>
        <v>0</v>
      </c>
      <c r="W15" s="88">
        <f>SUMIF('GL Data'!Z:Z,2018,'GL Data'!N:N)</f>
        <v>0</v>
      </c>
      <c r="X15" s="88">
        <f>SUMIF('GL Data'!Z:Z,2018,'GL Data'!P:P)</f>
        <v>0</v>
      </c>
      <c r="Y15" s="88">
        <f>SUMIF('GL Data'!Z:Z,2018,'GL Data'!R:R)</f>
        <v>0</v>
      </c>
      <c r="Z15" s="88">
        <f>SUMIF('GL Data'!Z:Z,2018,'GL Data'!O:O)</f>
        <v>0</v>
      </c>
      <c r="AA15" s="88">
        <f>SUMIF('GL Data'!Z:Z,2018,'GL Data'!Q:Q)</f>
        <v>0</v>
      </c>
      <c r="AB15" s="410">
        <f t="shared" si="29"/>
        <v>0</v>
      </c>
      <c r="AC15" s="499">
        <f t="shared" si="16"/>
        <v>0</v>
      </c>
      <c r="AD15" s="501">
        <f t="shared" si="17"/>
        <v>0</v>
      </c>
      <c r="AE15" s="88">
        <f>SUMIF('GL Data'!Z:Z,2018,'GL Data'!T:T)</f>
        <v>0</v>
      </c>
      <c r="AF15" s="88">
        <f>SUMIF('GL Data'!Z:Z,2018,'GL Data'!U:U)</f>
        <v>0</v>
      </c>
      <c r="AG15" s="383"/>
      <c r="AH15" s="497">
        <f t="shared" si="18"/>
        <v>0</v>
      </c>
      <c r="AI15" s="497">
        <f t="shared" si="5"/>
        <v>0</v>
      </c>
      <c r="AJ15" s="88">
        <f>SUMIF('GL Data'!Z:Z,2018,'GL Data'!V:V)</f>
        <v>0</v>
      </c>
      <c r="AK15" s="497">
        <f t="shared" si="19"/>
        <v>0</v>
      </c>
      <c r="AL15" s="420">
        <f t="shared" si="30"/>
        <v>0</v>
      </c>
      <c r="AM15" s="420">
        <f t="shared" si="6"/>
        <v>0</v>
      </c>
      <c r="AN15" s="421">
        <f t="shared" si="7"/>
        <v>0</v>
      </c>
      <c r="AO15" s="422">
        <f t="shared" si="8"/>
        <v>0</v>
      </c>
      <c r="AP15" s="422">
        <f t="shared" si="9"/>
        <v>0</v>
      </c>
      <c r="AQ15" s="423">
        <f t="shared" si="10"/>
        <v>0</v>
      </c>
      <c r="AR15" s="421">
        <f t="shared" si="31"/>
        <v>0</v>
      </c>
      <c r="AS15" s="422">
        <f t="shared" si="24"/>
        <v>0</v>
      </c>
      <c r="AT15" s="508">
        <f t="shared" si="25"/>
        <v>0</v>
      </c>
      <c r="AU15" s="422">
        <f t="shared" si="26"/>
        <v>0</v>
      </c>
      <c r="AV15" s="422">
        <f t="shared" si="20"/>
        <v>0</v>
      </c>
      <c r="AW15" s="422">
        <f t="shared" si="27"/>
        <v>0</v>
      </c>
      <c r="AX15" s="415"/>
      <c r="AY15" s="416">
        <f>A15</f>
        <v>2018</v>
      </c>
      <c r="AZ15" s="510">
        <f t="shared" si="12"/>
        <v>0</v>
      </c>
      <c r="BA15" s="155">
        <f t="shared" si="12"/>
        <v>0</v>
      </c>
      <c r="BB15" s="510">
        <v>0.255</v>
      </c>
      <c r="BE15" s="416">
        <f t="shared" si="13"/>
        <v>2018</v>
      </c>
      <c r="BF15" s="513">
        <f t="shared" si="0"/>
        <v>0</v>
      </c>
      <c r="BG15" s="417">
        <f t="shared" si="1"/>
        <v>0</v>
      </c>
      <c r="BH15" s="513">
        <v>45</v>
      </c>
      <c r="BK15" s="416">
        <f t="shared" si="21"/>
        <v>2018</v>
      </c>
      <c r="BL15" s="424">
        <f t="shared" si="22"/>
        <v>0</v>
      </c>
      <c r="BO15" s="416">
        <f t="shared" si="23"/>
        <v>2018</v>
      </c>
      <c r="BP15" s="425">
        <f t="shared" si="28"/>
        <v>0</v>
      </c>
      <c r="BQ15" s="419">
        <v>1.25</v>
      </c>
    </row>
    <row r="16" spans="1:75" x14ac:dyDescent="0.25">
      <c r="A16">
        <v>2019</v>
      </c>
      <c r="B16" s="88">
        <f>SUMIF('GL Data'!Z:Z,2019,'GL Data'!C:C)</f>
        <v>0</v>
      </c>
      <c r="C16" s="88">
        <f>SUMIF('GL Data'!Z:Z,2019,'GL Data'!G:G)</f>
        <v>0</v>
      </c>
      <c r="D16" s="88">
        <f>SUMIF('GL Data'!Z:Z,2019,'GL Data'!E:E)</f>
        <v>0</v>
      </c>
      <c r="E16" s="88">
        <f>SUMIF('GL Data'!Z:Z,2019,'GL Data'!D:D)</f>
        <v>0</v>
      </c>
      <c r="F16" s="88">
        <f>SUMIF('GL Data'!Z:Z,2019,'GL Data'!F:F)</f>
        <v>0</v>
      </c>
      <c r="G16" s="88">
        <f>SUMIF('GL Data'!Z:Z,2019,'GL Data'!H:H)</f>
        <v>0</v>
      </c>
      <c r="H16" s="497">
        <f t="shared" si="2"/>
        <v>0</v>
      </c>
      <c r="I16" s="88">
        <f>SUMIF('GL Data'!Z:Z,2019,'GL Data'!I:I)</f>
        <v>0</v>
      </c>
      <c r="J16" s="383"/>
      <c r="K16" s="497">
        <f t="shared" si="32"/>
        <v>0</v>
      </c>
      <c r="L16" s="497">
        <f t="shared" si="33"/>
        <v>0</v>
      </c>
      <c r="M16" s="88">
        <f>-SUMIF('GL Data'!Z:Z,2019,'GL Data'!J:J)</f>
        <v>0</v>
      </c>
      <c r="N16" s="88">
        <f>-SUMIF('GL Data'!Z:Z,2019,'GL Data'!K:K)</f>
        <v>0</v>
      </c>
      <c r="O16" s="88">
        <f>-SUMIF('GL Data'!Z:Z,2019,'GL Data'!L:L)</f>
        <v>0</v>
      </c>
      <c r="P16" s="499">
        <f t="shared" si="14"/>
        <v>0</v>
      </c>
      <c r="Q16" s="499">
        <f t="shared" si="34"/>
        <v>0</v>
      </c>
      <c r="S16" s="88">
        <f>SUMIF('GL Data'!Z:Z,2019,'GL Data'!W:W)</f>
        <v>0</v>
      </c>
      <c r="T16" s="499">
        <f t="shared" si="15"/>
        <v>0</v>
      </c>
      <c r="U16" s="88">
        <f>-SUMIF('GL Data'!Z:Z,2019,'GL Data'!M:M)</f>
        <v>0</v>
      </c>
      <c r="V16" s="88">
        <f>SUMIF('GL Data'!Z:Z,2019,'GL Data'!S:S)</f>
        <v>0</v>
      </c>
      <c r="W16" s="88">
        <f>SUMIF('GL Data'!Z:Z,2014,'GL Data'!N:N)</f>
        <v>0</v>
      </c>
      <c r="X16" s="88">
        <f>SUMIF('GL Data'!Z:Z,2019,'GL Data'!P:P)</f>
        <v>0</v>
      </c>
      <c r="Y16" s="88">
        <f>SUMIF('GL Data'!Z:Z,2019,'GL Data'!R:R)</f>
        <v>0</v>
      </c>
      <c r="Z16" s="88">
        <f>SUMIF('GL Data'!Z:Z,2019,'GL Data'!O:O)</f>
        <v>0</v>
      </c>
      <c r="AA16" s="88">
        <f>SUMIF('GL Data'!Z:Z,2019,'GL Data'!Q:Q)</f>
        <v>0</v>
      </c>
      <c r="AB16" s="410">
        <f t="shared" si="29"/>
        <v>0</v>
      </c>
      <c r="AC16" s="499">
        <f t="shared" si="16"/>
        <v>0</v>
      </c>
      <c r="AD16" s="501">
        <f t="shared" si="17"/>
        <v>0</v>
      </c>
      <c r="AE16" s="88">
        <f>SUMIF('GL Data'!Z:Z,2019,'GL Data'!T:T)</f>
        <v>0</v>
      </c>
      <c r="AF16" s="88">
        <f>SUMIF('GL Data'!Z:Z,2019,'GL Data'!U:U)</f>
        <v>0</v>
      </c>
      <c r="AG16" s="383"/>
      <c r="AH16" s="497">
        <f t="shared" si="18"/>
        <v>0</v>
      </c>
      <c r="AI16" s="497">
        <f t="shared" si="5"/>
        <v>0</v>
      </c>
      <c r="AJ16" s="88">
        <f>SUMIF('GL Data'!Z:Z,2019,'GL Data'!V:V)</f>
        <v>0</v>
      </c>
      <c r="AK16" s="497">
        <f t="shared" si="19"/>
        <v>0</v>
      </c>
      <c r="AL16" s="420">
        <f t="shared" si="30"/>
        <v>0</v>
      </c>
      <c r="AM16" s="426">
        <f t="shared" si="6"/>
        <v>0</v>
      </c>
      <c r="AN16" s="427">
        <f t="shared" si="7"/>
        <v>0</v>
      </c>
      <c r="AO16" s="428">
        <f t="shared" si="8"/>
        <v>0</v>
      </c>
      <c r="AP16" s="428">
        <f t="shared" si="9"/>
        <v>0</v>
      </c>
      <c r="AQ16" s="429">
        <f t="shared" si="10"/>
        <v>0</v>
      </c>
      <c r="AR16" s="427">
        <f t="shared" si="31"/>
        <v>0</v>
      </c>
      <c r="AS16" s="428">
        <f t="shared" si="24"/>
        <v>0</v>
      </c>
      <c r="AT16" s="537">
        <f t="shared" si="25"/>
        <v>0</v>
      </c>
      <c r="AU16" s="428">
        <f t="shared" si="26"/>
        <v>0</v>
      </c>
      <c r="AV16" s="428">
        <f t="shared" si="20"/>
        <v>0</v>
      </c>
      <c r="AW16" s="428">
        <f t="shared" si="27"/>
        <v>0</v>
      </c>
      <c r="AX16" s="415"/>
      <c r="AY16" s="392">
        <f>A16</f>
        <v>2019</v>
      </c>
      <c r="AZ16" s="511">
        <f t="shared" si="12"/>
        <v>0</v>
      </c>
      <c r="BA16" s="430">
        <f t="shared" si="12"/>
        <v>0</v>
      </c>
      <c r="BB16" s="511">
        <v>0.255</v>
      </c>
      <c r="BE16" s="392">
        <f t="shared" si="13"/>
        <v>2019</v>
      </c>
      <c r="BF16" s="514">
        <f t="shared" si="0"/>
        <v>0</v>
      </c>
      <c r="BG16" s="431">
        <f t="shared" si="1"/>
        <v>0</v>
      </c>
      <c r="BH16" s="514">
        <v>45</v>
      </c>
      <c r="BK16" s="392">
        <f t="shared" si="21"/>
        <v>2019</v>
      </c>
      <c r="BL16" s="432">
        <f t="shared" si="22"/>
        <v>0</v>
      </c>
      <c r="BO16" s="392">
        <f t="shared" si="23"/>
        <v>2019</v>
      </c>
      <c r="BP16" s="433">
        <f t="shared" si="28"/>
        <v>0</v>
      </c>
      <c r="BQ16" s="434">
        <v>1.25</v>
      </c>
    </row>
    <row r="17" spans="1:71" x14ac:dyDescent="0.25">
      <c r="H17" s="497">
        <f t="shared" si="2"/>
        <v>0</v>
      </c>
      <c r="K17" s="497">
        <f t="shared" si="32"/>
        <v>0</v>
      </c>
      <c r="L17" s="497">
        <f t="shared" si="33"/>
        <v>0</v>
      </c>
      <c r="M17" s="88"/>
      <c r="P17" s="499">
        <f t="shared" si="14"/>
        <v>0</v>
      </c>
      <c r="Q17" s="499">
        <f t="shared" si="34"/>
        <v>0</v>
      </c>
      <c r="T17" s="499">
        <f t="shared" si="15"/>
        <v>0</v>
      </c>
      <c r="AC17" s="499">
        <f t="shared" ref="AC17:AC25" si="35">(U17-(AB17))</f>
        <v>0</v>
      </c>
      <c r="AD17" s="501">
        <f t="shared" ref="AD17:AD25" si="36">IFERROR(AC17/U17,0)</f>
        <v>0</v>
      </c>
      <c r="AE17" s="435"/>
      <c r="AH17" s="497">
        <f t="shared" ref="AH17:AH25" si="37">AF17+AG17+AE17</f>
        <v>0</v>
      </c>
      <c r="AI17" s="497">
        <f t="shared" ref="AI17:AI25" si="38">AC17-AH17</f>
        <v>0</v>
      </c>
      <c r="AJ17" s="383"/>
      <c r="AK17" s="497">
        <f t="shared" si="19"/>
        <v>0</v>
      </c>
      <c r="AS17" s="86"/>
      <c r="AW17" s="86"/>
    </row>
    <row r="18" spans="1:71" x14ac:dyDescent="0.25">
      <c r="H18" s="497">
        <f t="shared" si="2"/>
        <v>0</v>
      </c>
      <c r="K18" s="497">
        <f t="shared" si="32"/>
        <v>0</v>
      </c>
      <c r="L18" s="497">
        <f t="shared" si="33"/>
        <v>0</v>
      </c>
      <c r="P18" s="499">
        <f t="shared" si="14"/>
        <v>0</v>
      </c>
      <c r="Q18" s="499">
        <f t="shared" si="34"/>
        <v>0</v>
      </c>
      <c r="T18" s="499">
        <f t="shared" si="15"/>
        <v>0</v>
      </c>
      <c r="AC18" s="499">
        <f t="shared" si="35"/>
        <v>0</v>
      </c>
      <c r="AD18" s="501">
        <f t="shared" si="36"/>
        <v>0</v>
      </c>
      <c r="AE18" s="435"/>
      <c r="AH18" s="497">
        <f t="shared" si="37"/>
        <v>0</v>
      </c>
      <c r="AI18" s="497">
        <f t="shared" si="38"/>
        <v>0</v>
      </c>
      <c r="AK18" s="497">
        <f t="shared" si="19"/>
        <v>0</v>
      </c>
      <c r="AU18" s="66"/>
      <c r="AX18" s="435"/>
    </row>
    <row r="19" spans="1:71" x14ac:dyDescent="0.25">
      <c r="H19" s="497">
        <f t="shared" si="2"/>
        <v>0</v>
      </c>
      <c r="K19" s="497">
        <f t="shared" si="32"/>
        <v>0</v>
      </c>
      <c r="L19" s="497">
        <f t="shared" si="33"/>
        <v>0</v>
      </c>
      <c r="P19" s="499">
        <f t="shared" si="14"/>
        <v>0</v>
      </c>
      <c r="Q19" s="499">
        <f t="shared" si="34"/>
        <v>0</v>
      </c>
      <c r="T19" s="499">
        <f t="shared" si="15"/>
        <v>0</v>
      </c>
      <c r="AC19" s="499">
        <f t="shared" si="35"/>
        <v>0</v>
      </c>
      <c r="AD19" s="501">
        <f t="shared" si="36"/>
        <v>0</v>
      </c>
      <c r="AE19" s="435"/>
      <c r="AH19" s="497">
        <f t="shared" si="37"/>
        <v>0</v>
      </c>
      <c r="AI19" s="497">
        <f t="shared" si="38"/>
        <v>0</v>
      </c>
      <c r="AK19" s="497">
        <f t="shared" si="19"/>
        <v>0</v>
      </c>
      <c r="AP19" s="276"/>
      <c r="AY19" s="1" t="s">
        <v>16</v>
      </c>
      <c r="AZ19" t="s">
        <v>561</v>
      </c>
      <c r="BA19" t="s">
        <v>562</v>
      </c>
      <c r="BB19" t="s">
        <v>563</v>
      </c>
      <c r="BE19" s="1" t="s">
        <v>16</v>
      </c>
      <c r="BF19" t="s">
        <v>33</v>
      </c>
      <c r="BG19" t="s">
        <v>564</v>
      </c>
      <c r="BH19" t="s">
        <v>565</v>
      </c>
      <c r="BK19" s="1" t="s">
        <v>16</v>
      </c>
      <c r="BL19" t="s">
        <v>566</v>
      </c>
      <c r="BO19" s="1" t="s">
        <v>16</v>
      </c>
      <c r="BP19" t="s">
        <v>567</v>
      </c>
      <c r="BQ19" t="s">
        <v>213</v>
      </c>
    </row>
    <row r="20" spans="1:71" x14ac:dyDescent="0.25">
      <c r="H20" s="497">
        <f t="shared" si="2"/>
        <v>0</v>
      </c>
      <c r="K20" s="497">
        <f t="shared" si="32"/>
        <v>0</v>
      </c>
      <c r="L20" s="497">
        <f t="shared" si="33"/>
        <v>0</v>
      </c>
      <c r="P20" s="499">
        <f t="shared" si="14"/>
        <v>0</v>
      </c>
      <c r="Q20" s="499">
        <f t="shared" si="34"/>
        <v>0</v>
      </c>
      <c r="T20" s="499">
        <f t="shared" si="15"/>
        <v>0</v>
      </c>
      <c r="AC20" s="499">
        <f t="shared" si="35"/>
        <v>0</v>
      </c>
      <c r="AD20" s="501">
        <f t="shared" si="36"/>
        <v>0</v>
      </c>
      <c r="AE20" s="435"/>
      <c r="AH20" s="497">
        <f t="shared" si="37"/>
        <v>0</v>
      </c>
      <c r="AI20" s="497">
        <f t="shared" si="38"/>
        <v>0</v>
      </c>
      <c r="AK20" s="497">
        <f t="shared" si="19"/>
        <v>0</v>
      </c>
      <c r="AP20" s="276"/>
      <c r="AY20" s="2">
        <v>2010</v>
      </c>
      <c r="AZ20" s="5">
        <v>0</v>
      </c>
      <c r="BA20" s="5">
        <v>0</v>
      </c>
      <c r="BB20" s="5">
        <v>0.255</v>
      </c>
      <c r="BE20" s="2">
        <v>2010</v>
      </c>
      <c r="BF20" s="67">
        <v>0</v>
      </c>
      <c r="BG20" s="67">
        <v>0</v>
      </c>
      <c r="BH20" s="70">
        <v>45</v>
      </c>
      <c r="BK20" s="2">
        <v>2011</v>
      </c>
      <c r="BL20" s="5">
        <v>0</v>
      </c>
      <c r="BO20" s="2">
        <v>2010</v>
      </c>
      <c r="BP20" s="67"/>
      <c r="BQ20" s="67"/>
      <c r="BS20" s="67"/>
    </row>
    <row r="21" spans="1:71" x14ac:dyDescent="0.25">
      <c r="A21" t="s">
        <v>650</v>
      </c>
      <c r="H21" s="497">
        <f t="shared" si="2"/>
        <v>0</v>
      </c>
      <c r="K21" s="497">
        <f t="shared" si="32"/>
        <v>0</v>
      </c>
      <c r="L21" s="497">
        <f t="shared" si="33"/>
        <v>0</v>
      </c>
      <c r="P21" s="499">
        <f t="shared" si="14"/>
        <v>0</v>
      </c>
      <c r="Q21" s="499">
        <f t="shared" si="34"/>
        <v>0</v>
      </c>
      <c r="T21" s="499">
        <f t="shared" si="15"/>
        <v>0</v>
      </c>
      <c r="AC21" s="499">
        <f t="shared" si="35"/>
        <v>0</v>
      </c>
      <c r="AD21" s="501">
        <f t="shared" si="36"/>
        <v>0</v>
      </c>
      <c r="AE21" s="435"/>
      <c r="AH21" s="497">
        <f t="shared" si="37"/>
        <v>0</v>
      </c>
      <c r="AI21" s="497">
        <f t="shared" si="38"/>
        <v>0</v>
      </c>
      <c r="AK21" s="497">
        <f t="shared" si="19"/>
        <v>0</v>
      </c>
      <c r="AP21" s="276"/>
      <c r="AY21" s="2">
        <v>2011</v>
      </c>
      <c r="AZ21" s="5">
        <v>0</v>
      </c>
      <c r="BA21" s="5">
        <v>0</v>
      </c>
      <c r="BB21" s="5">
        <v>0.255</v>
      </c>
      <c r="BE21" s="2">
        <v>2011</v>
      </c>
      <c r="BF21" s="67">
        <v>0</v>
      </c>
      <c r="BG21" s="67">
        <v>0</v>
      </c>
      <c r="BH21" s="70">
        <v>45</v>
      </c>
      <c r="BK21" s="2">
        <v>2012</v>
      </c>
      <c r="BL21" s="5">
        <v>0</v>
      </c>
      <c r="BO21" s="2">
        <v>2011</v>
      </c>
      <c r="BP21" s="67">
        <v>0</v>
      </c>
      <c r="BQ21" s="67">
        <v>1.25</v>
      </c>
      <c r="BS21" s="67"/>
    </row>
    <row r="22" spans="1:71" x14ac:dyDescent="0.25">
      <c r="A22" s="515">
        <v>2015</v>
      </c>
      <c r="B22" s="535">
        <f>VLOOKUP($A$22,A7:B16,2,FALSE)</f>
        <v>431802.80000000005</v>
      </c>
      <c r="C22" s="535">
        <f>VLOOKUP($A$22,A7:C16,3,FALSE)</f>
        <v>215387.65</v>
      </c>
      <c r="D22" s="535">
        <f>VLOOKUP($A$22,A7:D16,4,FALSE)</f>
        <v>-3436016.2399999998</v>
      </c>
      <c r="E22" s="535">
        <f>VLOOKUP($A$22,$A$7:E16,5,FALSE)</f>
        <v>0</v>
      </c>
      <c r="F22" s="535">
        <f>VLOOKUP($A$22,$A$7:F16,6,FALSE)</f>
        <v>-204485.03</v>
      </c>
      <c r="G22" s="535">
        <f>VLOOKUP($A$22,$A$7:G16,7,FALSE)</f>
        <v>0</v>
      </c>
      <c r="H22" s="497">
        <f>SUM(B22:G22)</f>
        <v>-2993310.8199999994</v>
      </c>
      <c r="I22" s="535">
        <f>VLOOKUP($A$22,$A$7:I16,9,FALSE)</f>
        <v>-901.56</v>
      </c>
      <c r="J22" s="535">
        <f>VLOOKUP($A$22,$A$7:J16,10,FALSE)</f>
        <v>0</v>
      </c>
      <c r="K22" s="497">
        <f>SUM(I22:J22)</f>
        <v>-901.56</v>
      </c>
      <c r="L22" s="497">
        <f>K22+H22</f>
        <v>-2994212.3799999994</v>
      </c>
      <c r="M22" s="535">
        <f>VLOOKUP($A$22,$A$7:M16,13,FALSE)</f>
        <v>-96261.099999999948</v>
      </c>
      <c r="N22" s="535">
        <f>VLOOKUP($A$22,$A$7:N16,14,FALSE)</f>
        <v>0</v>
      </c>
      <c r="O22" s="535">
        <f>VLOOKUP($A$22,$A$7:O16,15,FALSE)</f>
        <v>0</v>
      </c>
      <c r="P22" s="499">
        <f>M22+N22+O22</f>
        <v>-96261.099999999948</v>
      </c>
      <c r="Q22" s="499">
        <f>AK22</f>
        <v>1755893.0100000002</v>
      </c>
      <c r="R22" s="535">
        <f>VLOOKUP($A$22,$A$7:R16,18,FALSE)</f>
        <v>0</v>
      </c>
      <c r="S22" s="535">
        <f>VLOOKUP($A$22,$A$7:S16,19,FALSE)</f>
        <v>0</v>
      </c>
      <c r="T22" s="499">
        <f>P22+R22+S22+Q22</f>
        <v>1659631.9100000004</v>
      </c>
      <c r="U22" s="535">
        <f>VLOOKUP($A$22,$A$7:U16,21,FALSE)</f>
        <v>4085339.58</v>
      </c>
      <c r="V22" s="535">
        <f>VLOOKUP($A$22,$A$7:V16,22,FALSE)</f>
        <v>2316266.2199999997</v>
      </c>
      <c r="W22" s="535">
        <f>VLOOKUP($A$22,$A$7:W16,23,FALSE)</f>
        <v>0</v>
      </c>
      <c r="X22" s="535">
        <f>VLOOKUP($A$22,$A$7:X16,24,FALSE)</f>
        <v>0</v>
      </c>
      <c r="Y22" s="535">
        <f>VLOOKUP($A$22,$A$7:Y16,25,FALSE)</f>
        <v>0</v>
      </c>
      <c r="Z22" s="535">
        <f>VLOOKUP($A$22,$A$7:Z16,26,FALSE)</f>
        <v>0</v>
      </c>
      <c r="AA22" s="535">
        <f>VLOOKUP($A$22,$A$7:AA16,27,FALSE)</f>
        <v>0</v>
      </c>
      <c r="AB22" s="535">
        <f>VLOOKUP($A$22,$A$7:AB16,28,FALSE)</f>
        <v>2316266.2199999997</v>
      </c>
      <c r="AC22" s="499">
        <f t="shared" si="35"/>
        <v>1769073.3600000003</v>
      </c>
      <c r="AD22" s="501">
        <f t="shared" si="36"/>
        <v>0.43302969688507514</v>
      </c>
      <c r="AE22" s="535">
        <f>VLOOKUP($A$22,$A$7:AE16,31,FALSE)</f>
        <v>0</v>
      </c>
      <c r="AF22" s="535">
        <f>VLOOKUP($A$22,$A$7:AF16,32,FALSE)</f>
        <v>0</v>
      </c>
      <c r="AG22" s="535">
        <f>VLOOKUP($A$22,$A$7:AG16,33,FALSE)</f>
        <v>0</v>
      </c>
      <c r="AH22" s="497">
        <f>AF22+AG22+AE22</f>
        <v>0</v>
      </c>
      <c r="AI22" s="497">
        <f>AC22-AH22</f>
        <v>1769073.3600000003</v>
      </c>
      <c r="AJ22" s="535">
        <f>VLOOKUP($A$22,$A$7:AJ16,36,FALSE)</f>
        <v>13180.35</v>
      </c>
      <c r="AK22" s="497">
        <f>AI22-AJ22</f>
        <v>1755893.0100000002</v>
      </c>
      <c r="AL22" s="536">
        <f>VLOOKUP($A$22,$A$7:AL16,38,FALSE)</f>
        <v>0</v>
      </c>
      <c r="AM22" s="536">
        <f>VLOOKUP($A$22,$A$7:AM16,39,FALSE)</f>
        <v>0</v>
      </c>
      <c r="AN22" s="538">
        <f>VLOOKUP($A$22,$A$7:AN16,40,FALSE)</f>
        <v>0.43302969688507514</v>
      </c>
      <c r="AO22" s="536">
        <f>VLOOKUP($A$22,$A$7:AO16,41,FALSE)</f>
        <v>-1.3644120929057146</v>
      </c>
      <c r="AP22" s="536">
        <f>VLOOKUP($A$22,$A$7:AP16,42,FALSE)</f>
        <v>0</v>
      </c>
      <c r="AQ22" s="538">
        <f>VLOOKUP($A$22,$A$7:AQ16,43,FALSE)</f>
        <v>-0.59083095501729255</v>
      </c>
      <c r="AR22" s="538">
        <f>VLOOKUP($A$22,$A$7:AR16,44,FALSE)</f>
        <v>0</v>
      </c>
      <c r="AS22" s="536">
        <f>VLOOKUP($A$22,$A$7:AS16,45,FALSE)</f>
        <v>74.004770767427843</v>
      </c>
      <c r="AT22" s="536">
        <f>VLOOKUP($A$22,$A$7:AT16,46,FALSE)</f>
        <v>1.3881382663345501</v>
      </c>
      <c r="AU22" s="536">
        <f>VLOOKUP($A$22,$A$7:AU16,47,FALSE)</f>
        <v>59.233905472661966</v>
      </c>
      <c r="AV22" s="536">
        <f>VLOOKUP($A$22,$A$7:AV16,48,FALSE)</f>
        <v>16.159003561100427</v>
      </c>
      <c r="AW22" s="536">
        <f>VLOOKUP($A$22,$A$7:AW16,49,FALSE)</f>
        <v>65.735526649625683</v>
      </c>
      <c r="AY22" s="2">
        <v>2012</v>
      </c>
      <c r="AZ22" s="5">
        <v>0</v>
      </c>
      <c r="BA22" s="5">
        <v>0</v>
      </c>
      <c r="BB22" s="5">
        <v>0.255</v>
      </c>
      <c r="BE22" s="2">
        <v>2012</v>
      </c>
      <c r="BF22" s="67">
        <v>0</v>
      </c>
      <c r="BG22" s="67">
        <v>0</v>
      </c>
      <c r="BH22" s="70">
        <v>45</v>
      </c>
      <c r="BK22" s="2">
        <v>2013</v>
      </c>
      <c r="BL22" s="5">
        <v>0</v>
      </c>
      <c r="BO22" s="2">
        <v>2012</v>
      </c>
      <c r="BP22" s="67">
        <v>0</v>
      </c>
      <c r="BQ22" s="67">
        <v>1.25</v>
      </c>
      <c r="BS22" s="67"/>
    </row>
    <row r="23" spans="1:71" x14ac:dyDescent="0.25">
      <c r="H23" s="497">
        <f t="shared" si="2"/>
        <v>0</v>
      </c>
      <c r="K23" s="497">
        <f t="shared" si="32"/>
        <v>0</v>
      </c>
      <c r="L23" s="497">
        <f t="shared" si="33"/>
        <v>0</v>
      </c>
      <c r="P23" s="499">
        <f t="shared" si="14"/>
        <v>0</v>
      </c>
      <c r="Q23" s="499">
        <f t="shared" si="34"/>
        <v>0</v>
      </c>
      <c r="T23" s="499">
        <f t="shared" si="15"/>
        <v>0</v>
      </c>
      <c r="AC23" s="499">
        <f t="shared" si="35"/>
        <v>0</v>
      </c>
      <c r="AD23" s="501">
        <f t="shared" si="36"/>
        <v>0</v>
      </c>
      <c r="AE23" s="435"/>
      <c r="AH23" s="497">
        <f t="shared" si="37"/>
        <v>0</v>
      </c>
      <c r="AI23" s="497">
        <f t="shared" si="38"/>
        <v>0</v>
      </c>
      <c r="AK23" s="497">
        <f t="shared" si="19"/>
        <v>0</v>
      </c>
      <c r="AY23" s="2">
        <v>2013</v>
      </c>
      <c r="AZ23" s="5">
        <v>0</v>
      </c>
      <c r="BA23" s="5">
        <v>0</v>
      </c>
      <c r="BB23" s="5">
        <v>0.255</v>
      </c>
      <c r="BE23" s="2">
        <v>2013</v>
      </c>
      <c r="BF23" s="67">
        <v>0</v>
      </c>
      <c r="BG23" s="67">
        <v>0</v>
      </c>
      <c r="BH23" s="70">
        <v>45</v>
      </c>
      <c r="BK23" s="2">
        <v>2014</v>
      </c>
      <c r="BL23" s="5">
        <v>0</v>
      </c>
      <c r="BO23" s="2">
        <v>2013</v>
      </c>
      <c r="BP23" s="67">
        <v>0</v>
      </c>
      <c r="BQ23" s="67">
        <v>1.25</v>
      </c>
      <c r="BS23" s="67"/>
    </row>
    <row r="24" spans="1:71" x14ac:dyDescent="0.25">
      <c r="H24" s="497">
        <f t="shared" si="2"/>
        <v>0</v>
      </c>
      <c r="K24" s="497">
        <f t="shared" si="32"/>
        <v>0</v>
      </c>
      <c r="L24" s="497">
        <f t="shared" si="33"/>
        <v>0</v>
      </c>
      <c r="P24" s="499">
        <f t="shared" si="14"/>
        <v>0</v>
      </c>
      <c r="Q24" s="499">
        <f t="shared" si="34"/>
        <v>0</v>
      </c>
      <c r="T24" s="499">
        <f t="shared" si="15"/>
        <v>0</v>
      </c>
      <c r="AC24" s="499">
        <f t="shared" si="35"/>
        <v>0</v>
      </c>
      <c r="AD24" s="501">
        <f t="shared" si="36"/>
        <v>0</v>
      </c>
      <c r="AE24" s="435"/>
      <c r="AH24" s="497">
        <f t="shared" si="37"/>
        <v>0</v>
      </c>
      <c r="AI24" s="497">
        <f t="shared" si="38"/>
        <v>0</v>
      </c>
      <c r="AK24" s="497">
        <f t="shared" si="19"/>
        <v>0</v>
      </c>
      <c r="AY24" s="2">
        <v>2014</v>
      </c>
      <c r="AZ24" s="5">
        <v>-2.1528922664833766E-3</v>
      </c>
      <c r="BA24" s="5">
        <v>0</v>
      </c>
      <c r="BB24" s="5">
        <v>0.255</v>
      </c>
      <c r="BE24" s="2">
        <v>2014</v>
      </c>
      <c r="BF24" s="67">
        <v>157246.59114007291</v>
      </c>
      <c r="BG24" s="67">
        <v>200686.46076861641</v>
      </c>
      <c r="BH24" s="70">
        <v>45</v>
      </c>
      <c r="BK24" s="2">
        <v>2015</v>
      </c>
      <c r="BL24" s="5">
        <v>2441.3623961260237</v>
      </c>
      <c r="BO24" s="2">
        <v>2014</v>
      </c>
      <c r="BP24" s="67">
        <v>1.6136283295776785E-3</v>
      </c>
      <c r="BQ24" s="67">
        <v>1.25</v>
      </c>
      <c r="BS24" s="67"/>
    </row>
    <row r="25" spans="1:71" x14ac:dyDescent="0.25">
      <c r="H25" s="497">
        <f t="shared" si="2"/>
        <v>0</v>
      </c>
      <c r="K25" s="497">
        <f t="shared" si="32"/>
        <v>0</v>
      </c>
      <c r="L25" s="497">
        <f t="shared" si="33"/>
        <v>0</v>
      </c>
      <c r="P25" s="499">
        <f t="shared" si="14"/>
        <v>0</v>
      </c>
      <c r="Q25" s="499">
        <f t="shared" si="34"/>
        <v>0</v>
      </c>
      <c r="T25" s="499">
        <f t="shared" si="15"/>
        <v>0</v>
      </c>
      <c r="AC25" s="499">
        <f t="shared" si="35"/>
        <v>0</v>
      </c>
      <c r="AD25" s="501">
        <f t="shared" si="36"/>
        <v>0</v>
      </c>
      <c r="AE25" s="435"/>
      <c r="AH25" s="497">
        <f t="shared" si="37"/>
        <v>0</v>
      </c>
      <c r="AI25" s="497">
        <f t="shared" si="38"/>
        <v>0</v>
      </c>
      <c r="AK25" s="497">
        <f t="shared" si="19"/>
        <v>0</v>
      </c>
      <c r="AY25" s="2">
        <v>2015</v>
      </c>
      <c r="AZ25" s="5">
        <v>-0.59083095501729255</v>
      </c>
      <c r="BA25" s="5">
        <v>0</v>
      </c>
      <c r="BB25" s="5">
        <v>0.255</v>
      </c>
      <c r="BE25" s="2">
        <v>2015</v>
      </c>
      <c r="BF25" s="67">
        <v>74.004770767427843</v>
      </c>
      <c r="BG25" s="67">
        <v>16.159003561100427</v>
      </c>
      <c r="BH25" s="70">
        <v>45</v>
      </c>
      <c r="BK25" s="2" t="s">
        <v>17</v>
      </c>
      <c r="BL25" s="5">
        <v>2441.3623961260237</v>
      </c>
      <c r="BO25" s="2">
        <v>2015</v>
      </c>
      <c r="BP25" s="67">
        <v>65.735526649625683</v>
      </c>
      <c r="BQ25" s="67">
        <v>1.25</v>
      </c>
      <c r="BS25" s="67"/>
    </row>
    <row r="26" spans="1:71" x14ac:dyDescent="0.25">
      <c r="T26" s="499"/>
      <c r="AD26" s="501"/>
      <c r="AE26" s="435"/>
      <c r="AY26" s="2">
        <v>2016</v>
      </c>
      <c r="AZ26" s="5">
        <v>0.87854473296806301</v>
      </c>
      <c r="BA26" s="5">
        <v>0</v>
      </c>
      <c r="BB26" s="5">
        <v>0.255</v>
      </c>
      <c r="BE26" s="2" t="s">
        <v>17</v>
      </c>
      <c r="BF26" s="67">
        <v>157320.59591084035</v>
      </c>
      <c r="BG26" s="67">
        <v>200702.61977217751</v>
      </c>
      <c r="BH26" s="70">
        <v>270</v>
      </c>
      <c r="BO26" s="2">
        <v>2016</v>
      </c>
      <c r="BP26" s="67">
        <v>-16.053308678150646</v>
      </c>
      <c r="BQ26" s="67">
        <v>1.25</v>
      </c>
      <c r="BS26" s="67"/>
    </row>
    <row r="27" spans="1:71" x14ac:dyDescent="0.25">
      <c r="T27" s="499"/>
      <c r="AD27" s="501"/>
      <c r="AE27" s="435"/>
      <c r="AY27" s="2" t="s">
        <v>17</v>
      </c>
      <c r="AZ27" s="5">
        <v>0.28556088568428706</v>
      </c>
      <c r="BA27" s="5">
        <v>0</v>
      </c>
      <c r="BB27" s="5">
        <v>1.7849999999999997</v>
      </c>
      <c r="BO27" s="2" t="s">
        <v>17</v>
      </c>
      <c r="BP27" s="67">
        <v>49.68383159980462</v>
      </c>
      <c r="BQ27" s="67">
        <v>7.5</v>
      </c>
      <c r="BS27" s="67"/>
    </row>
    <row r="28" spans="1:71" x14ac:dyDescent="0.25">
      <c r="T28" s="499"/>
      <c r="AD28" s="501"/>
      <c r="AE28" s="435"/>
      <c r="BS28" s="67"/>
    </row>
    <row r="29" spans="1:71" x14ac:dyDescent="0.25">
      <c r="T29" s="499"/>
      <c r="AD29" s="501"/>
      <c r="AE29" s="435"/>
      <c r="BS29" s="67"/>
    </row>
    <row r="30" spans="1:71" x14ac:dyDescent="0.25">
      <c r="T30" s="499"/>
      <c r="AD30" s="501"/>
      <c r="AE30" s="435"/>
      <c r="BS30" s="67"/>
    </row>
    <row r="31" spans="1:71" x14ac:dyDescent="0.25">
      <c r="T31" s="499"/>
      <c r="AD31" s="501"/>
      <c r="AE31" s="435"/>
    </row>
    <row r="32" spans="1:71" x14ac:dyDescent="0.25">
      <c r="T32" s="499"/>
      <c r="AD32" s="501"/>
      <c r="AE32" s="435"/>
    </row>
    <row r="33" spans="20:31" x14ac:dyDescent="0.25">
      <c r="T33" s="499"/>
      <c r="AD33" s="501"/>
      <c r="AE33" s="435"/>
    </row>
    <row r="34" spans="20:31" x14ac:dyDescent="0.25">
      <c r="T34" s="499"/>
      <c r="AD34" s="501"/>
      <c r="AE34" s="435"/>
    </row>
    <row r="35" spans="20:31" x14ac:dyDescent="0.25">
      <c r="T35" s="499"/>
      <c r="AD35" s="501"/>
      <c r="AE35" s="435"/>
    </row>
    <row r="36" spans="20:31" x14ac:dyDescent="0.25">
      <c r="AD36" s="501"/>
      <c r="AE36" s="435"/>
    </row>
    <row r="37" spans="20:31" x14ac:dyDescent="0.25">
      <c r="AD37" s="501"/>
      <c r="AE37" s="435"/>
    </row>
    <row r="125" spans="29:29" x14ac:dyDescent="0.25">
      <c r="AC125" s="497" t="e">
        <f>U125-#REF!</f>
        <v>#REF!</v>
      </c>
    </row>
    <row r="126" spans="29:29" x14ac:dyDescent="0.25">
      <c r="AC126" s="497" t="e">
        <f>U126-#REF!</f>
        <v>#REF!</v>
      </c>
    </row>
    <row r="127" spans="29:29" x14ac:dyDescent="0.25">
      <c r="AC127" s="497" t="e">
        <f>U127-#REF!</f>
        <v>#REF!</v>
      </c>
    </row>
    <row r="128" spans="29:29" x14ac:dyDescent="0.25">
      <c r="AC128" s="497" t="e">
        <f>U128-#REF!</f>
        <v>#REF!</v>
      </c>
    </row>
    <row r="129" spans="29:29" x14ac:dyDescent="0.25">
      <c r="AC129" s="497" t="e">
        <f>U129-#REF!</f>
        <v>#REF!</v>
      </c>
    </row>
    <row r="130" spans="29:29" x14ac:dyDescent="0.25">
      <c r="AC130" s="497" t="e">
        <f>U130-#REF!</f>
        <v>#REF!</v>
      </c>
    </row>
    <row r="131" spans="29:29" x14ac:dyDescent="0.25">
      <c r="AC131" s="497" t="e">
        <f>U131-#REF!</f>
        <v>#REF!</v>
      </c>
    </row>
    <row r="132" spans="29:29" x14ac:dyDescent="0.25">
      <c r="AC132" s="497" t="e">
        <f>U132-#REF!</f>
        <v>#REF!</v>
      </c>
    </row>
    <row r="133" spans="29:29" x14ac:dyDescent="0.25">
      <c r="AC133" s="497" t="e">
        <f>U133-#REF!</f>
        <v>#REF!</v>
      </c>
    </row>
    <row r="134" spans="29:29" x14ac:dyDescent="0.25">
      <c r="AC134" s="497" t="e">
        <f>U134-#REF!</f>
        <v>#REF!</v>
      </c>
    </row>
    <row r="135" spans="29:29" x14ac:dyDescent="0.25">
      <c r="AC135" s="497" t="e">
        <f>U135-#REF!</f>
        <v>#REF!</v>
      </c>
    </row>
    <row r="136" spans="29:29" x14ac:dyDescent="0.25">
      <c r="AC136" s="497" t="e">
        <f>U136-#REF!</f>
        <v>#REF!</v>
      </c>
    </row>
    <row r="137" spans="29:29" x14ac:dyDescent="0.25">
      <c r="AC137" s="497" t="e">
        <f>U137-#REF!</f>
        <v>#REF!</v>
      </c>
    </row>
    <row r="138" spans="29:29" x14ac:dyDescent="0.25">
      <c r="AC138" s="497" t="e">
        <f>U138-#REF!</f>
        <v>#REF!</v>
      </c>
    </row>
    <row r="139" spans="29:29" x14ac:dyDescent="0.25">
      <c r="AC139" s="497" t="e">
        <f>U139-#REF!</f>
        <v>#REF!</v>
      </c>
    </row>
    <row r="140" spans="29:29" x14ac:dyDescent="0.25">
      <c r="AC140" s="497" t="e">
        <f>U140-#REF!</f>
        <v>#REF!</v>
      </c>
    </row>
    <row r="141" spans="29:29" x14ac:dyDescent="0.25">
      <c r="AC141" s="497" t="e">
        <f>U141-#REF!</f>
        <v>#REF!</v>
      </c>
    </row>
    <row r="142" spans="29:29" x14ac:dyDescent="0.25">
      <c r="AC142" s="497" t="e">
        <f>U142-#REF!</f>
        <v>#REF!</v>
      </c>
    </row>
    <row r="143" spans="29:29" x14ac:dyDescent="0.25">
      <c r="AC143" s="497" t="e">
        <f>U143-#REF!</f>
        <v>#REF!</v>
      </c>
    </row>
    <row r="144" spans="29:29" x14ac:dyDescent="0.25">
      <c r="AC144" s="497" t="e">
        <f>U144-#REF!</f>
        <v>#REF!</v>
      </c>
    </row>
    <row r="145" spans="29:29" x14ac:dyDescent="0.25">
      <c r="AC145" s="497" t="e">
        <f>U145-#REF!</f>
        <v>#REF!</v>
      </c>
    </row>
    <row r="146" spans="29:29" x14ac:dyDescent="0.25">
      <c r="AC146" s="497" t="e">
        <f>U146-#REF!</f>
        <v>#REF!</v>
      </c>
    </row>
    <row r="147" spans="29:29" x14ac:dyDescent="0.25">
      <c r="AC147" s="497" t="e">
        <f>U147-#REF!</f>
        <v>#REF!</v>
      </c>
    </row>
    <row r="148" spans="29:29" x14ac:dyDescent="0.25">
      <c r="AC148" s="497" t="e">
        <f>U148-#REF!</f>
        <v>#REF!</v>
      </c>
    </row>
    <row r="149" spans="29:29" x14ac:dyDescent="0.25">
      <c r="AC149" s="497" t="e">
        <f>U149-#REF!</f>
        <v>#REF!</v>
      </c>
    </row>
    <row r="150" spans="29:29" x14ac:dyDescent="0.25">
      <c r="AC150" s="497" t="e">
        <f>U150-#REF!</f>
        <v>#REF!</v>
      </c>
    </row>
    <row r="151" spans="29:29" x14ac:dyDescent="0.25">
      <c r="AC151" s="497" t="e">
        <f>U151-#REF!</f>
        <v>#REF!</v>
      </c>
    </row>
    <row r="152" spans="29:29" x14ac:dyDescent="0.25">
      <c r="AC152" s="497" t="e">
        <f>U152-#REF!</f>
        <v>#REF!</v>
      </c>
    </row>
    <row r="153" spans="29:29" x14ac:dyDescent="0.25">
      <c r="AC153" s="497" t="e">
        <f>U153-#REF!</f>
        <v>#REF!</v>
      </c>
    </row>
    <row r="154" spans="29:29" x14ac:dyDescent="0.25">
      <c r="AC154" s="497" t="e">
        <f>U154-#REF!</f>
        <v>#REF!</v>
      </c>
    </row>
    <row r="155" spans="29:29" x14ac:dyDescent="0.25">
      <c r="AC155" s="497" t="e">
        <f>U155-#REF!</f>
        <v>#REF!</v>
      </c>
    </row>
    <row r="156" spans="29:29" x14ac:dyDescent="0.25">
      <c r="AC156" s="497" t="e">
        <f>U156-#REF!</f>
        <v>#REF!</v>
      </c>
    </row>
    <row r="157" spans="29:29" x14ac:dyDescent="0.25">
      <c r="AC157" s="497" t="e">
        <f>U157-#REF!</f>
        <v>#REF!</v>
      </c>
    </row>
    <row r="158" spans="29:29" x14ac:dyDescent="0.25">
      <c r="AC158" s="497" t="e">
        <f>U158-#REF!</f>
        <v>#REF!</v>
      </c>
    </row>
    <row r="159" spans="29:29" x14ac:dyDescent="0.25">
      <c r="AC159" s="497" t="e">
        <f>U159-#REF!</f>
        <v>#REF!</v>
      </c>
    </row>
    <row r="160" spans="29:29" x14ac:dyDescent="0.25">
      <c r="AC160" s="497" t="e">
        <f>U160-#REF!</f>
        <v>#REF!</v>
      </c>
    </row>
    <row r="161" spans="29:29" x14ac:dyDescent="0.25">
      <c r="AC161" s="497" t="e">
        <f>U161-#REF!</f>
        <v>#REF!</v>
      </c>
    </row>
    <row r="162" spans="29:29" x14ac:dyDescent="0.25">
      <c r="AC162" s="497" t="e">
        <f>U162-#REF!</f>
        <v>#REF!</v>
      </c>
    </row>
    <row r="163" spans="29:29" x14ac:dyDescent="0.25">
      <c r="AC163" s="497" t="e">
        <f>U163-#REF!</f>
        <v>#REF!</v>
      </c>
    </row>
    <row r="164" spans="29:29" x14ac:dyDescent="0.25">
      <c r="AC164" s="497" t="e">
        <f>U164-#REF!</f>
        <v>#REF!</v>
      </c>
    </row>
    <row r="165" spans="29:29" x14ac:dyDescent="0.25">
      <c r="AC165" s="497" t="e">
        <f>U165-#REF!</f>
        <v>#REF!</v>
      </c>
    </row>
    <row r="166" spans="29:29" x14ac:dyDescent="0.25">
      <c r="AC166" s="497" t="e">
        <f>U166-#REF!</f>
        <v>#REF!</v>
      </c>
    </row>
    <row r="167" spans="29:29" x14ac:dyDescent="0.25">
      <c r="AC167" s="497" t="e">
        <f>U167-#REF!</f>
        <v>#REF!</v>
      </c>
    </row>
    <row r="168" spans="29:29" x14ac:dyDescent="0.25">
      <c r="AC168" s="497" t="e">
        <f>U168-#REF!</f>
        <v>#REF!</v>
      </c>
    </row>
    <row r="169" spans="29:29" x14ac:dyDescent="0.25">
      <c r="AC169" s="497" t="e">
        <f>U169-#REF!</f>
        <v>#REF!</v>
      </c>
    </row>
    <row r="170" spans="29:29" x14ac:dyDescent="0.25">
      <c r="AC170" s="497" t="e">
        <f>U170-#REF!</f>
        <v>#REF!</v>
      </c>
    </row>
    <row r="171" spans="29:29" x14ac:dyDescent="0.25">
      <c r="AC171" s="497" t="e">
        <f>U171-#REF!</f>
        <v>#REF!</v>
      </c>
    </row>
    <row r="172" spans="29:29" x14ac:dyDescent="0.25">
      <c r="AC172" s="497" t="e">
        <f>U172-#REF!</f>
        <v>#REF!</v>
      </c>
    </row>
    <row r="173" spans="29:29" x14ac:dyDescent="0.25">
      <c r="AC173" s="497" t="e">
        <f>U173-#REF!</f>
        <v>#REF!</v>
      </c>
    </row>
    <row r="174" spans="29:29" x14ac:dyDescent="0.25">
      <c r="AC174" s="497" t="e">
        <f>U174-#REF!</f>
        <v>#REF!</v>
      </c>
    </row>
    <row r="175" spans="29:29" x14ac:dyDescent="0.25">
      <c r="AC175" s="497" t="e">
        <f>U175-#REF!</f>
        <v>#REF!</v>
      </c>
    </row>
    <row r="176" spans="29:29" x14ac:dyDescent="0.25">
      <c r="AC176" s="497" t="e">
        <f>U176-#REF!</f>
        <v>#REF!</v>
      </c>
    </row>
    <row r="177" spans="29:29" x14ac:dyDescent="0.25">
      <c r="AC177" s="497" t="e">
        <f>U177-#REF!</f>
        <v>#REF!</v>
      </c>
    </row>
    <row r="178" spans="29:29" x14ac:dyDescent="0.25">
      <c r="AC178" s="497" t="e">
        <f>U178-#REF!</f>
        <v>#REF!</v>
      </c>
    </row>
    <row r="179" spans="29:29" x14ac:dyDescent="0.25">
      <c r="AC179" s="497" t="e">
        <f>U179-#REF!</f>
        <v>#REF!</v>
      </c>
    </row>
    <row r="180" spans="29:29" x14ac:dyDescent="0.25">
      <c r="AC180" s="497" t="e">
        <f>U180-#REF!</f>
        <v>#REF!</v>
      </c>
    </row>
    <row r="181" spans="29:29" x14ac:dyDescent="0.25">
      <c r="AC181" s="497" t="e">
        <f>U181-#REF!</f>
        <v>#REF!</v>
      </c>
    </row>
    <row r="182" spans="29:29" x14ac:dyDescent="0.25">
      <c r="AC182" s="497" t="e">
        <f>U182-#REF!</f>
        <v>#REF!</v>
      </c>
    </row>
    <row r="183" spans="29:29" x14ac:dyDescent="0.25">
      <c r="AC183" s="497" t="e">
        <f>U183-#REF!</f>
        <v>#REF!</v>
      </c>
    </row>
    <row r="184" spans="29:29" x14ac:dyDescent="0.25">
      <c r="AC184" s="497" t="e">
        <f>U184-#REF!</f>
        <v>#REF!</v>
      </c>
    </row>
    <row r="185" spans="29:29" x14ac:dyDescent="0.25">
      <c r="AC185" s="497" t="e">
        <f>U185-#REF!</f>
        <v>#REF!</v>
      </c>
    </row>
    <row r="186" spans="29:29" x14ac:dyDescent="0.25">
      <c r="AC186" s="497" t="e">
        <f>U186-#REF!</f>
        <v>#REF!</v>
      </c>
    </row>
    <row r="187" spans="29:29" x14ac:dyDescent="0.25">
      <c r="AC187" s="497" t="e">
        <f>U187-#REF!</f>
        <v>#REF!</v>
      </c>
    </row>
    <row r="188" spans="29:29" x14ac:dyDescent="0.25">
      <c r="AC188" s="497" t="e">
        <f>U188-#REF!</f>
        <v>#REF!</v>
      </c>
    </row>
    <row r="189" spans="29:29" x14ac:dyDescent="0.25">
      <c r="AC189" s="497" t="e">
        <f>U189-#REF!</f>
        <v>#REF!</v>
      </c>
    </row>
    <row r="190" spans="29:29" x14ac:dyDescent="0.25">
      <c r="AC190" s="497" t="e">
        <f>U190-#REF!</f>
        <v>#REF!</v>
      </c>
    </row>
    <row r="191" spans="29:29" x14ac:dyDescent="0.25">
      <c r="AC191" s="497" t="e">
        <f>U191-#REF!</f>
        <v>#REF!</v>
      </c>
    </row>
    <row r="192" spans="29:29" x14ac:dyDescent="0.25">
      <c r="AC192" s="497" t="e">
        <f>U192-#REF!</f>
        <v>#REF!</v>
      </c>
    </row>
    <row r="193" spans="29:29" x14ac:dyDescent="0.25">
      <c r="AC193" s="497" t="e">
        <f>U193-#REF!</f>
        <v>#REF!</v>
      </c>
    </row>
    <row r="194" spans="29:29" x14ac:dyDescent="0.25">
      <c r="AC194" s="497" t="e">
        <f>U194-#REF!</f>
        <v>#REF!</v>
      </c>
    </row>
    <row r="195" spans="29:29" x14ac:dyDescent="0.25">
      <c r="AC195" s="497" t="e">
        <f>U195-#REF!</f>
        <v>#REF!</v>
      </c>
    </row>
    <row r="196" spans="29:29" x14ac:dyDescent="0.25">
      <c r="AC196" s="497" t="e">
        <f>U196-#REF!</f>
        <v>#REF!</v>
      </c>
    </row>
    <row r="197" spans="29:29" x14ac:dyDescent="0.25">
      <c r="AC197" s="497" t="e">
        <f>U197-#REF!</f>
        <v>#REF!</v>
      </c>
    </row>
    <row r="198" spans="29:29" x14ac:dyDescent="0.25">
      <c r="AC198" s="497" t="e">
        <f>U198-#REF!</f>
        <v>#REF!</v>
      </c>
    </row>
    <row r="199" spans="29:29" x14ac:dyDescent="0.25">
      <c r="AC199" s="497" t="e">
        <f>U199-#REF!</f>
        <v>#REF!</v>
      </c>
    </row>
    <row r="200" spans="29:29" x14ac:dyDescent="0.25">
      <c r="AC200" s="497" t="e">
        <f>U200-#REF!</f>
        <v>#REF!</v>
      </c>
    </row>
    <row r="201" spans="29:29" x14ac:dyDescent="0.25">
      <c r="AC201" s="497" t="e">
        <f>U201-#REF!</f>
        <v>#REF!</v>
      </c>
    </row>
    <row r="202" spans="29:29" x14ac:dyDescent="0.25">
      <c r="AC202" s="497" t="e">
        <f>U202-#REF!</f>
        <v>#REF!</v>
      </c>
    </row>
    <row r="203" spans="29:29" x14ac:dyDescent="0.25">
      <c r="AC203" s="497" t="e">
        <f>U203-#REF!</f>
        <v>#REF!</v>
      </c>
    </row>
    <row r="204" spans="29:29" x14ac:dyDescent="0.25">
      <c r="AC204" s="497" t="e">
        <f>U204-#REF!</f>
        <v>#REF!</v>
      </c>
    </row>
    <row r="205" spans="29:29" x14ac:dyDescent="0.25">
      <c r="AC205" s="497" t="e">
        <f>U205-#REF!</f>
        <v>#REF!</v>
      </c>
    </row>
    <row r="206" spans="29:29" x14ac:dyDescent="0.25">
      <c r="AC206" s="497" t="e">
        <f>U206-#REF!</f>
        <v>#REF!</v>
      </c>
    </row>
    <row r="207" spans="29:29" x14ac:dyDescent="0.25">
      <c r="AC207" s="497" t="e">
        <f>U207-#REF!</f>
        <v>#REF!</v>
      </c>
    </row>
    <row r="208" spans="29:29" x14ac:dyDescent="0.25">
      <c r="AC208" s="497" t="e">
        <f>U208-#REF!</f>
        <v>#REF!</v>
      </c>
    </row>
    <row r="209" spans="29:29" x14ac:dyDescent="0.25">
      <c r="AC209" s="497" t="e">
        <f>U209-#REF!</f>
        <v>#REF!</v>
      </c>
    </row>
    <row r="210" spans="29:29" x14ac:dyDescent="0.25">
      <c r="AC210" s="497" t="e">
        <f>U210-#REF!</f>
        <v>#REF!</v>
      </c>
    </row>
    <row r="211" spans="29:29" x14ac:dyDescent="0.25">
      <c r="AC211" s="497" t="e">
        <f>U211-#REF!</f>
        <v>#REF!</v>
      </c>
    </row>
    <row r="212" spans="29:29" x14ac:dyDescent="0.25">
      <c r="AC212" s="497" t="e">
        <f>U212-#REF!</f>
        <v>#REF!</v>
      </c>
    </row>
    <row r="213" spans="29:29" x14ac:dyDescent="0.25">
      <c r="AC213" s="497" t="e">
        <f>U213-#REF!</f>
        <v>#REF!</v>
      </c>
    </row>
    <row r="214" spans="29:29" x14ac:dyDescent="0.25">
      <c r="AC214" s="497" t="e">
        <f>U214-#REF!</f>
        <v>#REF!</v>
      </c>
    </row>
    <row r="215" spans="29:29" x14ac:dyDescent="0.25">
      <c r="AC215" s="497" t="e">
        <f>U215-#REF!</f>
        <v>#REF!</v>
      </c>
    </row>
    <row r="216" spans="29:29" x14ac:dyDescent="0.25">
      <c r="AC216" s="497" t="e">
        <f>U216-#REF!</f>
        <v>#REF!</v>
      </c>
    </row>
    <row r="217" spans="29:29" x14ac:dyDescent="0.25">
      <c r="AC217" s="497" t="e">
        <f>U217-#REF!</f>
        <v>#REF!</v>
      </c>
    </row>
    <row r="218" spans="29:29" x14ac:dyDescent="0.25">
      <c r="AC218" s="497" t="e">
        <f>U218-#REF!</f>
        <v>#REF!</v>
      </c>
    </row>
    <row r="219" spans="29:29" x14ac:dyDescent="0.25">
      <c r="AC219" s="497" t="e">
        <f>U219-#REF!</f>
        <v>#REF!</v>
      </c>
    </row>
    <row r="220" spans="29:29" x14ac:dyDescent="0.25">
      <c r="AC220" s="497" t="e">
        <f>U220-#REF!</f>
        <v>#REF!</v>
      </c>
    </row>
    <row r="221" spans="29:29" x14ac:dyDescent="0.25">
      <c r="AC221" s="497" t="e">
        <f>U221-#REF!</f>
        <v>#REF!</v>
      </c>
    </row>
    <row r="222" spans="29:29" x14ac:dyDescent="0.25">
      <c r="AC222" s="497" t="e">
        <f>U222-#REF!</f>
        <v>#REF!</v>
      </c>
    </row>
    <row r="223" spans="29:29" x14ac:dyDescent="0.25">
      <c r="AC223" s="497" t="e">
        <f>U223-#REF!</f>
        <v>#REF!</v>
      </c>
    </row>
    <row r="224" spans="29:29" x14ac:dyDescent="0.25">
      <c r="AC224" s="497" t="e">
        <f>U224-#REF!</f>
        <v>#REF!</v>
      </c>
    </row>
    <row r="225" spans="29:29" x14ac:dyDescent="0.25">
      <c r="AC225" s="497" t="e">
        <f>U225-#REF!</f>
        <v>#REF!</v>
      </c>
    </row>
    <row r="226" spans="29:29" x14ac:dyDescent="0.25">
      <c r="AC226" s="497" t="e">
        <f>U226-#REF!</f>
        <v>#REF!</v>
      </c>
    </row>
    <row r="227" spans="29:29" x14ac:dyDescent="0.25">
      <c r="AC227" s="497" t="e">
        <f>U227-#REF!</f>
        <v>#REF!</v>
      </c>
    </row>
    <row r="228" spans="29:29" x14ac:dyDescent="0.25">
      <c r="AC228" s="497" t="e">
        <f>U228-#REF!</f>
        <v>#REF!</v>
      </c>
    </row>
    <row r="229" spans="29:29" x14ac:dyDescent="0.25">
      <c r="AC229" s="497" t="e">
        <f>U229-#REF!</f>
        <v>#REF!</v>
      </c>
    </row>
    <row r="230" spans="29:29" x14ac:dyDescent="0.25">
      <c r="AC230" s="497" t="e">
        <f>U230-#REF!</f>
        <v>#REF!</v>
      </c>
    </row>
    <row r="231" spans="29:29" x14ac:dyDescent="0.25">
      <c r="AC231" s="497" t="e">
        <f>U231-#REF!</f>
        <v>#REF!</v>
      </c>
    </row>
    <row r="232" spans="29:29" x14ac:dyDescent="0.25">
      <c r="AC232" s="497" t="e">
        <f>U232-#REF!</f>
        <v>#REF!</v>
      </c>
    </row>
    <row r="233" spans="29:29" x14ac:dyDescent="0.25">
      <c r="AC233" s="497" t="e">
        <f>U233-#REF!</f>
        <v>#REF!</v>
      </c>
    </row>
    <row r="234" spans="29:29" x14ac:dyDescent="0.25">
      <c r="AC234" s="497" t="e">
        <f>U234-#REF!</f>
        <v>#REF!</v>
      </c>
    </row>
    <row r="235" spans="29:29" x14ac:dyDescent="0.25">
      <c r="AC235" s="497" t="e">
        <f>U235-#REF!</f>
        <v>#REF!</v>
      </c>
    </row>
    <row r="236" spans="29:29" x14ac:dyDescent="0.25">
      <c r="AC236" s="497" t="e">
        <f>U236-#REF!</f>
        <v>#REF!</v>
      </c>
    </row>
    <row r="237" spans="29:29" x14ac:dyDescent="0.25">
      <c r="AC237" s="497" t="e">
        <f>U237-#REF!</f>
        <v>#REF!</v>
      </c>
    </row>
    <row r="238" spans="29:29" x14ac:dyDescent="0.25">
      <c r="AC238" s="497" t="e">
        <f>U238-#REF!</f>
        <v>#REF!</v>
      </c>
    </row>
    <row r="239" spans="29:29" x14ac:dyDescent="0.25">
      <c r="AC239" s="497" t="e">
        <f>U239-#REF!</f>
        <v>#REF!</v>
      </c>
    </row>
    <row r="240" spans="29:29" x14ac:dyDescent="0.25">
      <c r="AC240" s="497" t="e">
        <f>U240-#REF!</f>
        <v>#REF!</v>
      </c>
    </row>
    <row r="241" spans="29:29" x14ac:dyDescent="0.25">
      <c r="AC241" s="497" t="e">
        <f>U241-#REF!</f>
        <v>#REF!</v>
      </c>
    </row>
  </sheetData>
  <mergeCells count="3">
    <mergeCell ref="AW1:AW2"/>
    <mergeCell ref="AQ2:AR2"/>
    <mergeCell ref="AQ4:AR4"/>
  </mergeCells>
  <pageMargins left="0.7" right="0.7" top="0.75" bottom="0.75" header="0.3" footer="0.3"/>
  <drawing r:id="rId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BA8"/>
  <sheetViews>
    <sheetView zoomScale="93" zoomScaleNormal="93" workbookViewId="0">
      <selection activeCell="AC3" sqref="AC3"/>
    </sheetView>
  </sheetViews>
  <sheetFormatPr defaultRowHeight="15" x14ac:dyDescent="0.25"/>
  <cols>
    <col min="1" max="1" width="14.7109375" customWidth="1"/>
    <col min="2" max="3" width="13" customWidth="1"/>
    <col min="4" max="4" width="12.42578125" customWidth="1"/>
    <col min="8" max="8" width="11.85546875" customWidth="1"/>
    <col min="9" max="9" width="14.28515625" customWidth="1"/>
    <col min="15" max="15" width="13.7109375" style="39" bestFit="1" customWidth="1"/>
    <col min="16" max="16" width="4.28515625" style="39" customWidth="1"/>
    <col min="17" max="17" width="11.5703125" style="39" customWidth="1"/>
    <col min="18" max="18" width="17.7109375" style="39" customWidth="1"/>
    <col min="19" max="19" width="13.7109375" style="39" customWidth="1"/>
    <col min="22" max="22" width="13.7109375" customWidth="1"/>
    <col min="23" max="24" width="10.85546875" customWidth="1"/>
    <col min="25" max="25" width="15.28515625" customWidth="1"/>
    <col min="29" max="29" width="13.7109375" bestFit="1" customWidth="1"/>
    <col min="30" max="30" width="12" customWidth="1"/>
    <col min="31" max="31" width="8.42578125" customWidth="1"/>
    <col min="32" max="32" width="17.5703125" customWidth="1"/>
    <col min="36" max="36" width="13.7109375" customWidth="1"/>
    <col min="37" max="37" width="9.5703125" customWidth="1"/>
    <col min="38" max="38" width="5.85546875" customWidth="1"/>
    <col min="39" max="39" width="6" customWidth="1"/>
    <col min="40" max="40" width="10.7109375" customWidth="1"/>
    <col min="44" max="44" width="13.7109375" customWidth="1"/>
    <col min="45" max="45" width="26.140625" customWidth="1"/>
    <col min="50" max="50" width="13.7109375" customWidth="1"/>
    <col min="51" max="51" width="14.5703125" customWidth="1"/>
    <col min="52" max="52" width="15.28515625" customWidth="1"/>
    <col min="53" max="53" width="23" customWidth="1"/>
  </cols>
  <sheetData>
    <row r="1" spans="1:53" x14ac:dyDescent="0.25">
      <c r="A1" s="734" t="s">
        <v>1272</v>
      </c>
      <c r="B1" s="732"/>
      <c r="C1" s="732"/>
      <c r="D1" s="733"/>
      <c r="H1" s="734" t="s">
        <v>1273</v>
      </c>
      <c r="I1" s="733"/>
      <c r="O1" s="39" t="s">
        <v>16</v>
      </c>
      <c r="P1" s="39" t="s">
        <v>227</v>
      </c>
      <c r="Q1" s="39" t="s">
        <v>228</v>
      </c>
      <c r="R1" s="39" t="s">
        <v>642</v>
      </c>
      <c r="S1" s="39" t="s">
        <v>445</v>
      </c>
      <c r="V1" s="561" t="s">
        <v>1078</v>
      </c>
      <c r="W1" s="559"/>
      <c r="X1" s="559"/>
      <c r="Y1" s="560"/>
      <c r="AR1" s="747" t="s">
        <v>1305</v>
      </c>
      <c r="AS1" s="747"/>
      <c r="AX1" s="734" t="s">
        <v>1116</v>
      </c>
      <c r="AY1" s="732"/>
      <c r="AZ1" s="732"/>
      <c r="BA1" s="733"/>
    </row>
    <row r="2" spans="1:53" x14ac:dyDescent="0.25">
      <c r="O2" s="543">
        <v>2014</v>
      </c>
      <c r="P2" s="544">
        <v>0</v>
      </c>
      <c r="Q2" s="544">
        <v>10132.99</v>
      </c>
      <c r="R2" s="545">
        <v>-6.0578645303999519</v>
      </c>
      <c r="S2" s="545">
        <v>0</v>
      </c>
      <c r="AC2" s="734" t="s">
        <v>1140</v>
      </c>
      <c r="AD2" s="732"/>
      <c r="AE2" s="732"/>
      <c r="AF2" s="733"/>
      <c r="AJ2" s="1" t="s">
        <v>16</v>
      </c>
      <c r="AK2" t="s">
        <v>1304</v>
      </c>
      <c r="AL2" t="s">
        <v>1302</v>
      </c>
      <c r="AM2" t="s">
        <v>1131</v>
      </c>
      <c r="AN2" t="s">
        <v>1303</v>
      </c>
    </row>
    <row r="3" spans="1:53" x14ac:dyDescent="0.25">
      <c r="A3" s="1" t="s">
        <v>1065</v>
      </c>
      <c r="B3" t="s">
        <v>656</v>
      </c>
      <c r="C3" t="s">
        <v>1060</v>
      </c>
      <c r="D3" t="s">
        <v>446</v>
      </c>
      <c r="H3" s="1" t="s">
        <v>2</v>
      </c>
      <c r="I3" t="s">
        <v>1064</v>
      </c>
      <c r="O3" s="543">
        <v>2015</v>
      </c>
      <c r="P3" s="544">
        <v>0</v>
      </c>
      <c r="Q3" s="544">
        <v>-1769073.3600000003</v>
      </c>
      <c r="R3" s="545">
        <v>0.43302969688507514</v>
      </c>
      <c r="S3" s="545">
        <v>0</v>
      </c>
      <c r="V3" s="1" t="s">
        <v>16</v>
      </c>
      <c r="W3" t="s">
        <v>1084</v>
      </c>
      <c r="X3" t="s">
        <v>1082</v>
      </c>
      <c r="Y3" t="s">
        <v>1085</v>
      </c>
      <c r="AC3" s="1" t="s">
        <v>16</v>
      </c>
      <c r="AD3" t="s">
        <v>658</v>
      </c>
      <c r="AE3" t="s">
        <v>660</v>
      </c>
      <c r="AF3" t="s">
        <v>1153</v>
      </c>
      <c r="AJ3" s="2" t="s">
        <v>17</v>
      </c>
      <c r="AK3" s="4"/>
      <c r="AL3" s="4"/>
      <c r="AM3" s="4"/>
      <c r="AN3" s="86"/>
    </row>
    <row r="4" spans="1:53" x14ac:dyDescent="0.25">
      <c r="A4" s="2">
        <v>2014</v>
      </c>
      <c r="B4" s="244">
        <v>1560888</v>
      </c>
      <c r="C4" s="244">
        <v>25351585.52</v>
      </c>
      <c r="D4" s="85">
        <v>6.1569640240789168E-2</v>
      </c>
      <c r="H4" s="2">
        <v>2014</v>
      </c>
      <c r="I4" s="67">
        <v>0</v>
      </c>
      <c r="O4" s="543">
        <v>2016</v>
      </c>
      <c r="P4" s="544">
        <v>0</v>
      </c>
      <c r="Q4" s="544">
        <v>-3413654.3500000006</v>
      </c>
      <c r="R4" s="545">
        <v>0.48135584620704475</v>
      </c>
      <c r="S4" s="545">
        <v>0</v>
      </c>
      <c r="V4" s="2">
        <v>2015</v>
      </c>
      <c r="W4" s="244">
        <v>1962143.66</v>
      </c>
      <c r="X4" s="244">
        <v>3247094.4</v>
      </c>
      <c r="Y4" s="5">
        <v>0.60427675277934634</v>
      </c>
      <c r="AC4" s="2">
        <v>2014</v>
      </c>
      <c r="AD4" s="4">
        <v>1560888</v>
      </c>
      <c r="AE4" s="4">
        <v>0.04</v>
      </c>
      <c r="AF4" s="86">
        <v>0</v>
      </c>
      <c r="AR4" s="1" t="s">
        <v>16</v>
      </c>
      <c r="AS4" t="s">
        <v>1306</v>
      </c>
    </row>
    <row r="5" spans="1:53" x14ac:dyDescent="0.25">
      <c r="A5" s="2">
        <v>2015</v>
      </c>
      <c r="B5" s="244">
        <v>281496679</v>
      </c>
      <c r="C5" s="244">
        <v>152109513.12</v>
      </c>
      <c r="D5" s="85">
        <v>1.8506184999614441</v>
      </c>
      <c r="H5" s="2">
        <v>2015</v>
      </c>
      <c r="I5" s="67">
        <v>82.003333333333316</v>
      </c>
      <c r="O5" s="543" t="s">
        <v>17</v>
      </c>
      <c r="P5" s="544">
        <v>0</v>
      </c>
      <c r="Q5" s="544">
        <v>-5172594.7200000007</v>
      </c>
      <c r="R5" s="545">
        <v>0.46271631197858792</v>
      </c>
      <c r="S5" s="545">
        <v>0</v>
      </c>
      <c r="V5" s="2">
        <v>2016</v>
      </c>
      <c r="W5" s="244">
        <v>50762.619999999995</v>
      </c>
      <c r="X5" s="244">
        <v>37519.42</v>
      </c>
      <c r="Y5" s="5">
        <v>1.3529692090122927</v>
      </c>
      <c r="AC5" s="2">
        <v>2015</v>
      </c>
      <c r="AD5" s="4">
        <v>281496679</v>
      </c>
      <c r="AE5" s="4">
        <v>29201.499999999996</v>
      </c>
      <c r="AF5" s="86">
        <v>0.13999999999999999</v>
      </c>
      <c r="AR5" s="2">
        <v>2015</v>
      </c>
      <c r="AS5" s="244">
        <v>0</v>
      </c>
      <c r="AX5" s="1" t="s">
        <v>16</v>
      </c>
      <c r="AY5" t="s">
        <v>612</v>
      </c>
      <c r="AZ5" t="s">
        <v>452</v>
      </c>
    </row>
    <row r="6" spans="1:53" x14ac:dyDescent="0.25">
      <c r="A6" s="2">
        <v>2016</v>
      </c>
      <c r="B6" s="244">
        <v>11163687</v>
      </c>
      <c r="C6" s="244">
        <v>25351585.52</v>
      </c>
      <c r="D6" s="85">
        <v>0.44035458812597378</v>
      </c>
      <c r="H6" s="2">
        <v>2016</v>
      </c>
      <c r="I6" s="67">
        <v>86.72999999999999</v>
      </c>
      <c r="O6"/>
      <c r="P6"/>
      <c r="Q6"/>
      <c r="R6"/>
      <c r="S6"/>
      <c r="V6" s="2" t="s">
        <v>17</v>
      </c>
      <c r="W6" s="244">
        <v>2012906.28</v>
      </c>
      <c r="X6" s="244">
        <v>3284613.82</v>
      </c>
      <c r="Y6" s="5">
        <v>0.61282890175503191</v>
      </c>
      <c r="AC6" s="2">
        <v>2016</v>
      </c>
      <c r="AD6" s="4">
        <v>11163687</v>
      </c>
      <c r="AE6" s="4"/>
      <c r="AF6" s="86"/>
      <c r="AR6" s="2">
        <v>2016</v>
      </c>
      <c r="AS6" s="244">
        <v>73530.444168725575</v>
      </c>
      <c r="AX6" s="2">
        <v>2015</v>
      </c>
      <c r="AY6" s="4">
        <v>37286.720000000045</v>
      </c>
      <c r="AZ6" s="4">
        <v>50372</v>
      </c>
    </row>
    <row r="7" spans="1:53" x14ac:dyDescent="0.25">
      <c r="A7" s="2" t="s">
        <v>17</v>
      </c>
      <c r="B7" s="244">
        <v>294221254</v>
      </c>
      <c r="C7" s="244">
        <v>202812684.16000003</v>
      </c>
      <c r="D7" s="85">
        <v>1.4507044035169288</v>
      </c>
      <c r="H7" s="2" t="s">
        <v>17</v>
      </c>
      <c r="I7" s="67">
        <v>72.343749999999986</v>
      </c>
      <c r="O7"/>
      <c r="P7"/>
      <c r="Q7"/>
      <c r="R7"/>
      <c r="S7"/>
      <c r="AC7" s="2" t="s">
        <v>17</v>
      </c>
      <c r="AD7" s="4">
        <v>294221254</v>
      </c>
      <c r="AE7" s="4">
        <v>29201.539999999997</v>
      </c>
      <c r="AF7" s="86">
        <v>0.13999999999999999</v>
      </c>
      <c r="AR7" s="2" t="s">
        <v>17</v>
      </c>
      <c r="AS7" s="244">
        <v>73530.444168725575</v>
      </c>
      <c r="AX7" s="2">
        <v>2016</v>
      </c>
      <c r="AY7" s="4">
        <v>2903.6299999999992</v>
      </c>
      <c r="AZ7" s="4">
        <v>1874.5</v>
      </c>
    </row>
    <row r="8" spans="1:53" x14ac:dyDescent="0.25">
      <c r="O8"/>
      <c r="P8"/>
      <c r="Q8"/>
      <c r="R8"/>
      <c r="S8"/>
      <c r="AX8" s="2" t="s">
        <v>17</v>
      </c>
      <c r="AY8" s="4">
        <v>40190.350000000042</v>
      </c>
      <c r="AZ8" s="4">
        <v>52246.5</v>
      </c>
    </row>
  </sheetData>
  <mergeCells count="5">
    <mergeCell ref="A1:D1"/>
    <mergeCell ref="H1:I1"/>
    <mergeCell ref="AC2:AF2"/>
    <mergeCell ref="AR1:AS1"/>
    <mergeCell ref="AX1:BA1"/>
  </mergeCells>
  <pageMargins left="0.7" right="0.7" top="0.75" bottom="0.75" header="0.3" footer="0.3"/>
  <drawing r:id="rId9"/>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B9"/>
  <sheetViews>
    <sheetView workbookViewId="0">
      <selection activeCell="J16" sqref="J16"/>
    </sheetView>
  </sheetViews>
  <sheetFormatPr defaultRowHeight="15" x14ac:dyDescent="0.25"/>
  <cols>
    <col min="1" max="1" width="13.140625" bestFit="1" customWidth="1"/>
    <col min="2" max="2" width="17.85546875" bestFit="1" customWidth="1"/>
  </cols>
  <sheetData>
    <row r="1" spans="1:2" x14ac:dyDescent="0.25">
      <c r="A1" s="1" t="s">
        <v>16</v>
      </c>
      <c r="B1" t="s">
        <v>181</v>
      </c>
    </row>
    <row r="2" spans="1:2" x14ac:dyDescent="0.25">
      <c r="A2" s="2" t="s">
        <v>174</v>
      </c>
      <c r="B2" s="70">
        <v>5.3428176249753011E-2</v>
      </c>
    </row>
    <row r="3" spans="1:2" x14ac:dyDescent="0.25">
      <c r="A3" s="2" t="s">
        <v>175</v>
      </c>
      <c r="B3" s="70">
        <v>6.9293402487312472E-2</v>
      </c>
    </row>
    <row r="4" spans="1:2" x14ac:dyDescent="0.25">
      <c r="A4" s="2" t="s">
        <v>176</v>
      </c>
      <c r="B4" s="70">
        <v>8.9888689239959865E-2</v>
      </c>
    </row>
    <row r="5" spans="1:2" x14ac:dyDescent="0.25">
      <c r="A5" s="2" t="s">
        <v>177</v>
      </c>
      <c r="B5" s="70">
        <v>5.9467861387949163E-2</v>
      </c>
    </row>
    <row r="6" spans="1:2" x14ac:dyDescent="0.25">
      <c r="A6" s="2" t="s">
        <v>178</v>
      </c>
      <c r="B6" s="70">
        <v>6.9346533439588062E-2</v>
      </c>
    </row>
    <row r="7" spans="1:2" x14ac:dyDescent="0.25">
      <c r="A7" s="2" t="s">
        <v>179</v>
      </c>
      <c r="B7" s="70">
        <v>8.5059400256149803E-2</v>
      </c>
    </row>
    <row r="8" spans="1:2" x14ac:dyDescent="0.25">
      <c r="A8" s="2" t="s">
        <v>180</v>
      </c>
      <c r="B8" s="70">
        <v>7.9565399080651897E-2</v>
      </c>
    </row>
    <row r="9" spans="1:2" x14ac:dyDescent="0.25">
      <c r="A9" s="2" t="s">
        <v>17</v>
      </c>
      <c r="B9" s="70">
        <v>0.50604946214136426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4</vt:i4>
      </vt:variant>
    </vt:vector>
  </HeadingPairs>
  <TitlesOfParts>
    <vt:vector size="43" baseType="lpstr">
      <vt:lpstr>YOY - Executive Summary</vt:lpstr>
      <vt:lpstr>CY - Executive Summary</vt:lpstr>
      <vt:lpstr>KPI Summary</vt:lpstr>
      <vt:lpstr>KPI Mapping</vt:lpstr>
      <vt:lpstr>DuPont Model</vt:lpstr>
      <vt:lpstr>DuPont Plug &amp; Play</vt:lpstr>
      <vt:lpstr>Ratios</vt:lpstr>
      <vt:lpstr>Altman Z-Score</vt:lpstr>
      <vt:lpstr>SIC Codes</vt:lpstr>
      <vt:lpstr>Glossary</vt:lpstr>
      <vt:lpstr>Sales</vt:lpstr>
      <vt:lpstr>Quotes &amp; Inventory</vt:lpstr>
      <vt:lpstr>Quality </vt:lpstr>
      <vt:lpstr>Labor</vt:lpstr>
      <vt:lpstr>Production</vt:lpstr>
      <vt:lpstr>SALES_RU</vt:lpstr>
      <vt:lpstr>Open Orders PVT</vt:lpstr>
      <vt:lpstr>Sales PVT</vt:lpstr>
      <vt:lpstr>QUOTE_RU1&amp;RU2</vt:lpstr>
      <vt:lpstr>Quote PVT</vt:lpstr>
      <vt:lpstr>QUOTE_RU3</vt:lpstr>
      <vt:lpstr>Quote PVT - E vs A</vt:lpstr>
      <vt:lpstr>Quality_RU</vt:lpstr>
      <vt:lpstr>Quality - PV</vt:lpstr>
      <vt:lpstr>Quality_RU_RMA</vt:lpstr>
      <vt:lpstr>Labor Hours</vt:lpstr>
      <vt:lpstr>L2-Ind Hrs</vt:lpstr>
      <vt:lpstr>L3- Rev $ per-labor hr </vt:lpstr>
      <vt:lpstr>P1_WC_RU</vt:lpstr>
      <vt:lpstr>WC PV</vt:lpstr>
      <vt:lpstr>P2_ONTIME_RU</vt:lpstr>
      <vt:lpstr>P3_PRODUCTION_RU</vt:lpstr>
      <vt:lpstr>P4_LABOR_RU</vt:lpstr>
      <vt:lpstr>P16_INV_HIST_RU</vt:lpstr>
      <vt:lpstr>ES_AP_AR_VENDOR_RU</vt:lpstr>
      <vt:lpstr>GL Data</vt:lpstr>
      <vt:lpstr>Ratio Data</vt:lpstr>
      <vt:lpstr>YOY Charts</vt:lpstr>
      <vt:lpstr>Sheet1</vt:lpstr>
      <vt:lpstr>Cust</vt:lpstr>
      <vt:lpstr>'DuPont Model'!Print_Area</vt:lpstr>
      <vt:lpstr>'DuPont Plug &amp; Play'!Print_Area</vt:lpstr>
      <vt:lpstr>Ratios!Print_Area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Joddi</dc:creator>
  <cp:lastModifiedBy>Michelle Mercurio</cp:lastModifiedBy>
  <cp:lastPrinted>2015-07-01T05:16:30Z</cp:lastPrinted>
  <dcterms:created xsi:type="dcterms:W3CDTF">2015-02-15T17:21:36Z</dcterms:created>
  <dcterms:modified xsi:type="dcterms:W3CDTF">2016-04-26T22:50:43Z</dcterms:modified>
</cp:coreProperties>
</file>