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l/Downloads/DataMatrices 3/"/>
    </mc:Choice>
  </mc:AlternateContent>
  <xr:revisionPtr revIDLastSave="0" documentId="13_ncr:1_{60BA5233-A9FA-9B45-BB86-C0D581982D90}" xr6:coauthVersionLast="43" xr6:coauthVersionMax="45" xr10:uidLastSave="{00000000-0000-0000-0000-000000000000}"/>
  <bookViews>
    <workbookView xWindow="2000" yWindow="460" windowWidth="48300" windowHeight="28340" xr2:uid="{9963640C-7DB1-4D0C-B281-5F2C04867D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" i="1" l="1"/>
  <c r="AH9" i="1"/>
  <c r="AG9" i="1"/>
  <c r="AF9" i="1"/>
  <c r="AE9" i="1"/>
  <c r="AD9" i="1"/>
  <c r="AC9" i="1"/>
  <c r="G9" i="1"/>
  <c r="AS88" i="1" l="1"/>
  <c r="AR88" i="1"/>
  <c r="AP88" i="1"/>
  <c r="AO88" i="1"/>
  <c r="AM88" i="1"/>
  <c r="Y88" i="1"/>
  <c r="P88" i="1"/>
  <c r="O88" i="1"/>
  <c r="N88" i="1"/>
  <c r="M88" i="1"/>
  <c r="K88" i="1"/>
  <c r="J88" i="1"/>
  <c r="I88" i="1"/>
  <c r="G88" i="1"/>
  <c r="AJ87" i="1"/>
  <c r="AI87" i="1"/>
  <c r="Z87" i="1"/>
  <c r="Y87" i="1"/>
  <c r="V87" i="1"/>
  <c r="O87" i="1"/>
  <c r="L87" i="1"/>
  <c r="I87" i="1"/>
  <c r="H87" i="1"/>
  <c r="AI86" i="1"/>
  <c r="AA86" i="1"/>
  <c r="Y86" i="1"/>
  <c r="X86" i="1"/>
  <c r="W86" i="1"/>
  <c r="V86" i="1"/>
  <c r="U86" i="1"/>
  <c r="T86" i="1"/>
  <c r="P86" i="1"/>
  <c r="O86" i="1"/>
  <c r="N86" i="1"/>
  <c r="L86" i="1"/>
  <c r="K86" i="1"/>
  <c r="J86" i="1"/>
  <c r="I86" i="1"/>
  <c r="H86" i="1"/>
  <c r="AS85" i="1"/>
  <c r="AR85" i="1"/>
  <c r="AQ85" i="1"/>
  <c r="AP85" i="1"/>
  <c r="AO85" i="1"/>
  <c r="AM85" i="1"/>
  <c r="AL85" i="1"/>
  <c r="AK85" i="1"/>
  <c r="AJ85" i="1"/>
  <c r="AI85" i="1"/>
  <c r="AH85" i="1"/>
  <c r="AG85" i="1"/>
  <c r="AF85" i="1"/>
  <c r="AE85" i="1"/>
  <c r="AD85" i="1"/>
  <c r="AC85" i="1"/>
  <c r="Z85" i="1"/>
  <c r="Y85" i="1"/>
  <c r="X85" i="1"/>
  <c r="W85" i="1"/>
  <c r="V85" i="1"/>
  <c r="U85" i="1"/>
  <c r="T85" i="1"/>
  <c r="R85" i="1"/>
  <c r="P85" i="1"/>
  <c r="O85" i="1"/>
  <c r="N85" i="1"/>
  <c r="M85" i="1"/>
  <c r="L85" i="1"/>
  <c r="K85" i="1"/>
  <c r="J85" i="1"/>
  <c r="I85" i="1"/>
  <c r="H85" i="1"/>
  <c r="G85" i="1"/>
  <c r="AR84" i="1"/>
  <c r="AQ84" i="1"/>
  <c r="AP84" i="1"/>
  <c r="AO84" i="1"/>
  <c r="AM84" i="1"/>
  <c r="AL84" i="1"/>
  <c r="AK84" i="1"/>
  <c r="AJ84" i="1"/>
  <c r="Y84" i="1"/>
  <c r="X84" i="1"/>
  <c r="W84" i="1"/>
  <c r="V84" i="1"/>
  <c r="U84" i="1"/>
  <c r="T84" i="1"/>
  <c r="S84" i="1"/>
  <c r="R84" i="1"/>
  <c r="Q84" i="1"/>
  <c r="L84" i="1"/>
  <c r="H84" i="1"/>
  <c r="G84" i="1"/>
  <c r="AS83" i="1"/>
  <c r="AR83" i="1"/>
  <c r="AQ83" i="1"/>
  <c r="AP83" i="1"/>
  <c r="AO83" i="1"/>
  <c r="AM83" i="1"/>
  <c r="Y83" i="1"/>
  <c r="X83" i="1"/>
  <c r="W83" i="1"/>
  <c r="V83" i="1"/>
  <c r="U83" i="1"/>
  <c r="T83" i="1"/>
  <c r="P83" i="1"/>
  <c r="L83" i="1"/>
  <c r="I83" i="1"/>
  <c r="H83" i="1"/>
  <c r="G83" i="1"/>
  <c r="AI82" i="1"/>
  <c r="AH82" i="1"/>
  <c r="AG82" i="1"/>
  <c r="AF82" i="1"/>
  <c r="AE82" i="1"/>
  <c r="AD82" i="1"/>
  <c r="AC82" i="1"/>
  <c r="Z82" i="1"/>
  <c r="Y82" i="1"/>
  <c r="X82" i="1"/>
  <c r="W82" i="1"/>
  <c r="V82" i="1"/>
  <c r="U82" i="1"/>
  <c r="T82" i="1"/>
  <c r="P82" i="1"/>
  <c r="O82" i="1"/>
  <c r="N82" i="1"/>
  <c r="M82" i="1"/>
  <c r="L82" i="1"/>
  <c r="J82" i="1"/>
  <c r="I82" i="1"/>
  <c r="AS81" i="1"/>
  <c r="AR81" i="1"/>
  <c r="AQ81" i="1"/>
  <c r="AP81" i="1"/>
  <c r="AO81" i="1"/>
  <c r="AN81" i="1"/>
  <c r="AM81" i="1"/>
  <c r="AL81" i="1"/>
  <c r="AK81" i="1"/>
  <c r="AJ81" i="1"/>
  <c r="AI81" i="1"/>
  <c r="AG81" i="1"/>
  <c r="AF81" i="1"/>
  <c r="AD81" i="1"/>
  <c r="Z81" i="1"/>
  <c r="Y81" i="1"/>
  <c r="U81" i="1"/>
  <c r="T81" i="1"/>
  <c r="P81" i="1"/>
  <c r="O81" i="1"/>
  <c r="M81" i="1"/>
  <c r="L81" i="1"/>
  <c r="I81" i="1"/>
  <c r="H81" i="1"/>
  <c r="G81" i="1"/>
  <c r="AI80" i="1"/>
  <c r="AH80" i="1"/>
  <c r="AG80" i="1"/>
  <c r="AF80" i="1"/>
  <c r="AE80" i="1"/>
  <c r="AD80" i="1"/>
  <c r="AC80" i="1"/>
  <c r="Z80" i="1"/>
  <c r="Y80" i="1"/>
  <c r="X80" i="1"/>
  <c r="W80" i="1"/>
  <c r="V80" i="1"/>
  <c r="U80" i="1"/>
  <c r="T80" i="1"/>
  <c r="P80" i="1"/>
  <c r="O80" i="1"/>
  <c r="N80" i="1"/>
  <c r="M80" i="1"/>
  <c r="L80" i="1"/>
  <c r="K80" i="1"/>
  <c r="J80" i="1"/>
  <c r="I80" i="1"/>
  <c r="H80" i="1"/>
  <c r="AS79" i="1"/>
  <c r="AR79" i="1"/>
  <c r="AQ79" i="1"/>
  <c r="AP79" i="1"/>
  <c r="AO79" i="1"/>
  <c r="AN79" i="1"/>
  <c r="AM79" i="1"/>
  <c r="AL79" i="1"/>
  <c r="AK79" i="1"/>
  <c r="AI79" i="1"/>
  <c r="AH79" i="1"/>
  <c r="AG79" i="1"/>
  <c r="AF79" i="1"/>
  <c r="AE79" i="1"/>
  <c r="AD79" i="1"/>
  <c r="AC79" i="1"/>
  <c r="Y79" i="1"/>
  <c r="T79" i="1"/>
  <c r="L79" i="1"/>
  <c r="I79" i="1"/>
  <c r="H79" i="1"/>
  <c r="G79" i="1"/>
  <c r="AR78" i="1"/>
  <c r="AQ78" i="1"/>
  <c r="AP78" i="1"/>
  <c r="AO78" i="1"/>
  <c r="AN78" i="1"/>
  <c r="AM78" i="1"/>
  <c r="AK78" i="1"/>
  <c r="AJ78" i="1"/>
  <c r="AI78" i="1"/>
  <c r="AH78" i="1"/>
  <c r="AG78" i="1"/>
  <c r="AF78" i="1"/>
  <c r="AE78" i="1"/>
  <c r="AD78" i="1"/>
  <c r="AC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R77" i="1"/>
  <c r="AQ77" i="1"/>
  <c r="AP77" i="1"/>
  <c r="AN77" i="1"/>
  <c r="AM77" i="1"/>
  <c r="AL77" i="1"/>
  <c r="AI77" i="1"/>
  <c r="AH77" i="1"/>
  <c r="AG77" i="1"/>
  <c r="AF77" i="1"/>
  <c r="AE77" i="1"/>
  <c r="AD77" i="1"/>
  <c r="AC77" i="1"/>
  <c r="AA77" i="1"/>
  <c r="H77" i="1"/>
  <c r="G77" i="1"/>
  <c r="AS76" i="1"/>
  <c r="AR76" i="1"/>
  <c r="AQ76" i="1"/>
  <c r="AP76" i="1"/>
  <c r="AO76" i="1"/>
  <c r="AN76" i="1"/>
  <c r="AM76" i="1"/>
  <c r="AL76" i="1"/>
  <c r="AK76" i="1"/>
  <c r="AI76" i="1"/>
  <c r="AH76" i="1"/>
  <c r="AG76" i="1"/>
  <c r="AF76" i="1"/>
  <c r="AE76" i="1"/>
  <c r="AD76" i="1"/>
  <c r="AC76" i="1"/>
  <c r="AA76" i="1"/>
  <c r="Y76" i="1"/>
  <c r="X76" i="1"/>
  <c r="W76" i="1"/>
  <c r="V76" i="1"/>
  <c r="U76" i="1"/>
  <c r="T76" i="1"/>
  <c r="L76" i="1"/>
  <c r="I76" i="1"/>
  <c r="H76" i="1"/>
  <c r="G76" i="1"/>
  <c r="AI75" i="1"/>
  <c r="AH75" i="1"/>
  <c r="AG75" i="1"/>
  <c r="AF75" i="1"/>
  <c r="AE75" i="1"/>
  <c r="AD75" i="1"/>
  <c r="AC75" i="1"/>
  <c r="Y75" i="1"/>
  <c r="X75" i="1"/>
  <c r="W75" i="1"/>
  <c r="V75" i="1"/>
  <c r="U75" i="1"/>
  <c r="T75" i="1"/>
  <c r="P75" i="1"/>
  <c r="O75" i="1"/>
  <c r="L75" i="1"/>
  <c r="K75" i="1"/>
  <c r="I75" i="1"/>
  <c r="H75" i="1"/>
  <c r="G75" i="1"/>
  <c r="AD74" i="1"/>
  <c r="AB74" i="1"/>
  <c r="P74" i="1"/>
  <c r="K74" i="1"/>
  <c r="J74" i="1"/>
  <c r="I74" i="1"/>
  <c r="AI73" i="1"/>
  <c r="AB73" i="1"/>
  <c r="Z73" i="1"/>
  <c r="Y73" i="1"/>
  <c r="X73" i="1"/>
  <c r="W73" i="1"/>
  <c r="V73" i="1"/>
  <c r="U73" i="1"/>
  <c r="P73" i="1"/>
  <c r="O73" i="1"/>
  <c r="N73" i="1"/>
  <c r="M73" i="1"/>
  <c r="K73" i="1"/>
  <c r="J73" i="1"/>
  <c r="I73" i="1"/>
  <c r="AS70" i="1"/>
  <c r="AR70" i="1"/>
  <c r="AQ70" i="1"/>
  <c r="AP70" i="1"/>
  <c r="AO70" i="1"/>
  <c r="AM70" i="1"/>
  <c r="AI70" i="1"/>
  <c r="AH70" i="1"/>
  <c r="AG70" i="1"/>
  <c r="AF70" i="1"/>
  <c r="AE70" i="1"/>
  <c r="AD70" i="1"/>
  <c r="AC70" i="1"/>
  <c r="Z70" i="1"/>
  <c r="Y70" i="1"/>
  <c r="X70" i="1"/>
  <c r="W70" i="1"/>
  <c r="V70" i="1"/>
  <c r="U70" i="1"/>
  <c r="T70" i="1"/>
  <c r="O70" i="1"/>
  <c r="M70" i="1"/>
  <c r="L70" i="1"/>
  <c r="I70" i="1"/>
  <c r="H70" i="1"/>
  <c r="G70" i="1"/>
  <c r="Y69" i="1"/>
  <c r="X69" i="1"/>
  <c r="U69" i="1"/>
  <c r="AI68" i="1"/>
  <c r="AH68" i="1"/>
  <c r="AG68" i="1"/>
  <c r="AF68" i="1"/>
  <c r="AE68" i="1"/>
  <c r="AD68" i="1"/>
  <c r="AC68" i="1"/>
  <c r="Z68" i="1"/>
  <c r="Y68" i="1"/>
  <c r="X68" i="1"/>
  <c r="W68" i="1"/>
  <c r="V68" i="1"/>
  <c r="U68" i="1"/>
  <c r="T68" i="1"/>
  <c r="S68" i="1"/>
  <c r="P68" i="1"/>
  <c r="O68" i="1"/>
  <c r="M68" i="1"/>
  <c r="L68" i="1"/>
  <c r="K68" i="1"/>
  <c r="J68" i="1"/>
  <c r="I68" i="1"/>
  <c r="H68" i="1"/>
  <c r="AN67" i="1"/>
  <c r="AJ67" i="1"/>
  <c r="AI67" i="1"/>
  <c r="AH67" i="1"/>
  <c r="AG67" i="1"/>
  <c r="AF67" i="1"/>
  <c r="AE67" i="1"/>
  <c r="AD67" i="1"/>
  <c r="AC67" i="1"/>
  <c r="AA67" i="1"/>
  <c r="Z67" i="1"/>
  <c r="Y67" i="1"/>
  <c r="W67" i="1"/>
  <c r="V67" i="1"/>
  <c r="U67" i="1"/>
  <c r="O67" i="1"/>
  <c r="AS66" i="1"/>
  <c r="AR66" i="1"/>
  <c r="AQ66" i="1"/>
  <c r="AP66" i="1"/>
  <c r="AO66" i="1"/>
  <c r="AM66" i="1"/>
  <c r="AK66" i="1"/>
  <c r="AJ66" i="1"/>
  <c r="Y66" i="1"/>
  <c r="T66" i="1"/>
  <c r="L66" i="1"/>
  <c r="I66" i="1"/>
  <c r="H66" i="1"/>
  <c r="G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I64" i="1"/>
  <c r="AF64" i="1"/>
  <c r="AE64" i="1"/>
  <c r="AD64" i="1"/>
  <c r="AC64" i="1"/>
  <c r="Y64" i="1"/>
  <c r="X64" i="1"/>
  <c r="AS63" i="1"/>
  <c r="AN63" i="1"/>
  <c r="AJ63" i="1"/>
  <c r="Y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Y62" i="1"/>
  <c r="X62" i="1"/>
  <c r="W62" i="1"/>
  <c r="V62" i="1"/>
  <c r="U62" i="1"/>
  <c r="T62" i="1"/>
  <c r="S62" i="1"/>
  <c r="P62" i="1"/>
  <c r="O62" i="1"/>
  <c r="N62" i="1"/>
  <c r="M62" i="1"/>
  <c r="L62" i="1"/>
  <c r="K62" i="1"/>
  <c r="J62" i="1"/>
  <c r="I62" i="1"/>
  <c r="H62" i="1"/>
  <c r="G62" i="1"/>
  <c r="AR61" i="1"/>
  <c r="AQ61" i="1"/>
  <c r="AP61" i="1"/>
  <c r="AO61" i="1"/>
  <c r="AM61" i="1"/>
  <c r="AJ61" i="1"/>
  <c r="AI61" i="1"/>
  <c r="AF61" i="1"/>
  <c r="Y61" i="1"/>
  <c r="X61" i="1"/>
  <c r="W61" i="1"/>
  <c r="V61" i="1"/>
  <c r="U61" i="1"/>
  <c r="T61" i="1"/>
  <c r="P61" i="1"/>
  <c r="O61" i="1"/>
  <c r="L61" i="1"/>
  <c r="I61" i="1"/>
  <c r="H61" i="1"/>
  <c r="G61" i="1"/>
  <c r="AS60" i="1"/>
  <c r="AR60" i="1"/>
  <c r="AQ60" i="1"/>
  <c r="AP60" i="1"/>
  <c r="AO60" i="1"/>
  <c r="AN60" i="1"/>
  <c r="AM60" i="1"/>
  <c r="AL60" i="1"/>
  <c r="AI60" i="1"/>
  <c r="AH60" i="1"/>
  <c r="AG60" i="1"/>
  <c r="AF60" i="1"/>
  <c r="AE60" i="1"/>
  <c r="AD60" i="1"/>
  <c r="AC60" i="1"/>
  <c r="Y60" i="1"/>
  <c r="V60" i="1"/>
  <c r="U60" i="1"/>
  <c r="T60" i="1"/>
  <c r="S60" i="1"/>
  <c r="P60" i="1"/>
  <c r="O60" i="1"/>
  <c r="M60" i="1"/>
  <c r="L60" i="1"/>
  <c r="I60" i="1"/>
  <c r="H60" i="1"/>
  <c r="G60" i="1"/>
  <c r="AJ58" i="1"/>
  <c r="AI58" i="1"/>
  <c r="AG58" i="1"/>
  <c r="AF58" i="1"/>
  <c r="AD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Z57" i="1"/>
  <c r="Y57" i="1"/>
  <c r="X57" i="1"/>
  <c r="W57" i="1"/>
  <c r="V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AI56" i="1"/>
  <c r="AH56" i="1"/>
  <c r="AG56" i="1"/>
  <c r="AF56" i="1"/>
  <c r="AE56" i="1"/>
  <c r="AD56" i="1"/>
  <c r="AC56" i="1"/>
  <c r="AB56" i="1"/>
  <c r="AA56" i="1"/>
  <c r="Y56" i="1"/>
  <c r="M56" i="1"/>
  <c r="AI55" i="1"/>
  <c r="X55" i="1"/>
  <c r="W55" i="1"/>
  <c r="V55" i="1"/>
  <c r="U55" i="1"/>
  <c r="S55" i="1"/>
  <c r="P55" i="1"/>
  <c r="O55" i="1"/>
  <c r="M55" i="1"/>
  <c r="K55" i="1"/>
  <c r="J55" i="1"/>
  <c r="I55" i="1"/>
  <c r="AG54" i="1"/>
  <c r="AI53" i="1"/>
  <c r="AH53" i="1"/>
  <c r="AG53" i="1"/>
  <c r="AF53" i="1"/>
  <c r="AE53" i="1"/>
  <c r="AD53" i="1"/>
  <c r="AC53" i="1"/>
  <c r="Y53" i="1"/>
  <c r="X53" i="1"/>
  <c r="W53" i="1"/>
  <c r="V53" i="1"/>
  <c r="S53" i="1"/>
  <c r="P53" i="1"/>
  <c r="O53" i="1"/>
  <c r="N53" i="1"/>
  <c r="M53" i="1"/>
  <c r="K53" i="1"/>
  <c r="J53" i="1"/>
  <c r="I53" i="1"/>
  <c r="H53" i="1"/>
  <c r="AR52" i="1"/>
  <c r="AP52" i="1"/>
  <c r="AN52" i="1"/>
  <c r="AM52" i="1"/>
  <c r="AI52" i="1"/>
  <c r="AH52" i="1"/>
  <c r="AG52" i="1"/>
  <c r="AF52" i="1"/>
  <c r="AE52" i="1"/>
  <c r="AD52" i="1"/>
  <c r="AC52" i="1"/>
  <c r="Y52" i="1"/>
  <c r="X52" i="1"/>
  <c r="W52" i="1"/>
  <c r="V52" i="1"/>
  <c r="U52" i="1"/>
  <c r="T52" i="1"/>
  <c r="S52" i="1"/>
  <c r="P52" i="1"/>
  <c r="O52" i="1"/>
  <c r="N52" i="1"/>
  <c r="M52" i="1"/>
  <c r="K52" i="1"/>
  <c r="J52" i="1"/>
  <c r="I52" i="1"/>
  <c r="H52" i="1"/>
  <c r="G52" i="1"/>
  <c r="AS51" i="1"/>
  <c r="AR51" i="1"/>
  <c r="AQ51" i="1"/>
  <c r="AP51" i="1"/>
  <c r="AO51" i="1"/>
  <c r="AN51" i="1"/>
  <c r="AM51" i="1"/>
  <c r="AL51" i="1"/>
  <c r="AK51" i="1"/>
  <c r="AI51" i="1"/>
  <c r="AG51" i="1"/>
  <c r="AF51" i="1"/>
  <c r="AD51" i="1"/>
  <c r="Y51" i="1"/>
  <c r="V51" i="1"/>
  <c r="U51" i="1"/>
  <c r="T51" i="1"/>
  <c r="L51" i="1"/>
  <c r="I51" i="1"/>
  <c r="H51" i="1"/>
  <c r="G51" i="1"/>
  <c r="AR50" i="1"/>
  <c r="AQ50" i="1"/>
  <c r="AP50" i="1"/>
  <c r="AO50" i="1"/>
  <c r="AM50" i="1"/>
  <c r="AL50" i="1"/>
  <c r="AK50" i="1"/>
  <c r="AI50" i="1"/>
  <c r="AD50" i="1"/>
  <c r="Y50" i="1"/>
  <c r="I50" i="1"/>
  <c r="H50" i="1"/>
  <c r="G50" i="1"/>
  <c r="AN49" i="1"/>
  <c r="AI49" i="1"/>
  <c r="AH49" i="1"/>
  <c r="AG49" i="1"/>
  <c r="AF49" i="1"/>
  <c r="AE49" i="1"/>
  <c r="AD49" i="1"/>
  <c r="AC49" i="1"/>
  <c r="AB49" i="1"/>
  <c r="Y49" i="1"/>
  <c r="V49" i="1"/>
  <c r="U49" i="1"/>
  <c r="T49" i="1"/>
  <c r="S49" i="1"/>
  <c r="P49" i="1"/>
  <c r="O49" i="1"/>
  <c r="N49" i="1"/>
  <c r="M49" i="1"/>
  <c r="L49" i="1"/>
  <c r="K49" i="1"/>
  <c r="J49" i="1"/>
  <c r="I49" i="1"/>
  <c r="H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Y48" i="1"/>
  <c r="X48" i="1"/>
  <c r="W48" i="1"/>
  <c r="V48" i="1"/>
  <c r="U48" i="1"/>
  <c r="T48" i="1"/>
  <c r="P48" i="1"/>
  <c r="O48" i="1"/>
  <c r="N48" i="1"/>
  <c r="M48" i="1"/>
  <c r="L48" i="1"/>
  <c r="K48" i="1"/>
  <c r="J48" i="1"/>
  <c r="I48" i="1"/>
  <c r="H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Y47" i="1"/>
  <c r="X47" i="1"/>
  <c r="V47" i="1"/>
  <c r="U47" i="1"/>
  <c r="T47" i="1"/>
  <c r="S47" i="1"/>
  <c r="P47" i="1"/>
  <c r="O47" i="1"/>
  <c r="M47" i="1"/>
  <c r="L47" i="1"/>
  <c r="I47" i="1"/>
  <c r="H47" i="1"/>
  <c r="G47" i="1"/>
  <c r="AS46" i="1"/>
  <c r="AR46" i="1"/>
  <c r="AQ46" i="1"/>
  <c r="AP46" i="1"/>
  <c r="AO46" i="1"/>
  <c r="AN46" i="1"/>
  <c r="AM46" i="1"/>
  <c r="AL46" i="1"/>
  <c r="AK46" i="1"/>
  <c r="AI46" i="1"/>
  <c r="AH46" i="1"/>
  <c r="AG46" i="1"/>
  <c r="AF46" i="1"/>
  <c r="AE46" i="1"/>
  <c r="AD46" i="1"/>
  <c r="AC46" i="1"/>
  <c r="Z46" i="1"/>
  <c r="Y46" i="1"/>
  <c r="X46" i="1"/>
  <c r="W46" i="1"/>
  <c r="V46" i="1"/>
  <c r="U46" i="1"/>
  <c r="T46" i="1"/>
  <c r="P46" i="1"/>
  <c r="O46" i="1"/>
  <c r="L46" i="1"/>
  <c r="I46" i="1"/>
  <c r="H46" i="1"/>
  <c r="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Y45" i="1"/>
  <c r="W45" i="1"/>
  <c r="V45" i="1"/>
  <c r="U45" i="1"/>
  <c r="T45" i="1"/>
  <c r="P45" i="1"/>
  <c r="L45" i="1"/>
  <c r="K45" i="1"/>
  <c r="I45" i="1"/>
  <c r="H45" i="1"/>
  <c r="G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Y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S43" i="1"/>
  <c r="AR43" i="1"/>
  <c r="AQ43" i="1"/>
  <c r="AP43" i="1"/>
  <c r="AO43" i="1"/>
  <c r="AN43" i="1"/>
  <c r="AM43" i="1"/>
  <c r="AL43" i="1"/>
  <c r="AK43" i="1"/>
  <c r="AI43" i="1"/>
  <c r="Y43" i="1"/>
  <c r="T43" i="1"/>
  <c r="L43" i="1"/>
  <c r="I43" i="1"/>
  <c r="H43" i="1"/>
  <c r="G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I41" i="1"/>
  <c r="Y41" i="1"/>
  <c r="X41" i="1"/>
  <c r="W41" i="1"/>
  <c r="V41" i="1"/>
  <c r="U41" i="1"/>
  <c r="H41" i="1"/>
  <c r="AR40" i="1"/>
  <c r="AO40" i="1"/>
  <c r="Y40" i="1"/>
  <c r="I40" i="1"/>
  <c r="H40" i="1"/>
  <c r="G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Z39" i="1"/>
  <c r="Y39" i="1"/>
  <c r="X39" i="1"/>
  <c r="W39" i="1"/>
  <c r="V39" i="1"/>
  <c r="U39" i="1"/>
  <c r="T39" i="1"/>
  <c r="P39" i="1"/>
  <c r="O39" i="1"/>
  <c r="L39" i="1"/>
  <c r="K39" i="1"/>
  <c r="I39" i="1"/>
  <c r="H39" i="1"/>
  <c r="G39" i="1"/>
  <c r="AS38" i="1"/>
  <c r="AR38" i="1"/>
  <c r="AQ38" i="1"/>
  <c r="AP38" i="1"/>
  <c r="AO38" i="1"/>
  <c r="AM38" i="1"/>
  <c r="AJ38" i="1"/>
  <c r="AI38" i="1"/>
  <c r="AG38" i="1"/>
  <c r="AF38" i="1"/>
  <c r="AD38" i="1"/>
  <c r="Y38" i="1"/>
  <c r="X38" i="1"/>
  <c r="W38" i="1"/>
  <c r="V38" i="1"/>
  <c r="U38" i="1"/>
  <c r="T38" i="1"/>
  <c r="P38" i="1"/>
  <c r="O38" i="1"/>
  <c r="M38" i="1"/>
  <c r="I38" i="1"/>
  <c r="H38" i="1"/>
  <c r="G38" i="1"/>
  <c r="AR37" i="1"/>
  <c r="AQ37" i="1"/>
  <c r="AP37" i="1"/>
  <c r="AO37" i="1"/>
  <c r="AN37" i="1"/>
  <c r="AM37" i="1"/>
  <c r="AK37" i="1"/>
  <c r="AJ37" i="1"/>
  <c r="P37" i="1"/>
  <c r="K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I35" i="1"/>
  <c r="H35" i="1"/>
  <c r="G35" i="1"/>
  <c r="AJ34" i="1"/>
  <c r="AI34" i="1"/>
  <c r="AH34" i="1"/>
  <c r="AG34" i="1"/>
  <c r="AF34" i="1"/>
  <c r="AE34" i="1"/>
  <c r="AD34" i="1"/>
  <c r="AC34" i="1"/>
  <c r="AB34" i="1"/>
  <c r="Z34" i="1"/>
  <c r="Y34" i="1"/>
  <c r="X34" i="1"/>
  <c r="W34" i="1"/>
  <c r="V34" i="1"/>
  <c r="U34" i="1"/>
  <c r="T34" i="1"/>
  <c r="P34" i="1"/>
  <c r="O34" i="1"/>
  <c r="L34" i="1"/>
  <c r="K34" i="1"/>
  <c r="J34" i="1"/>
  <c r="I34" i="1"/>
  <c r="H34" i="1"/>
  <c r="AI33" i="1"/>
  <c r="AH33" i="1"/>
  <c r="AG33" i="1"/>
  <c r="AF33" i="1"/>
  <c r="AE33" i="1"/>
  <c r="AD33" i="1"/>
  <c r="AC33" i="1"/>
  <c r="Y33" i="1"/>
  <c r="W33" i="1"/>
  <c r="V33" i="1"/>
  <c r="T33" i="1"/>
  <c r="L33" i="1"/>
  <c r="I33" i="1"/>
  <c r="H33" i="1"/>
  <c r="AN32" i="1"/>
  <c r="AI32" i="1"/>
  <c r="AH32" i="1"/>
  <c r="AG32" i="1"/>
  <c r="AF32" i="1"/>
  <c r="AE32" i="1"/>
  <c r="AD32" i="1"/>
  <c r="AC32" i="1"/>
  <c r="Y32" i="1"/>
  <c r="X32" i="1"/>
  <c r="W32" i="1"/>
  <c r="V32" i="1"/>
  <c r="U32" i="1"/>
  <c r="T32" i="1"/>
  <c r="P32" i="1"/>
  <c r="O32" i="1"/>
  <c r="L32" i="1"/>
  <c r="K32" i="1"/>
  <c r="J32" i="1"/>
  <c r="I32" i="1"/>
  <c r="H32" i="1"/>
  <c r="AS31" i="1"/>
  <c r="AR31" i="1"/>
  <c r="AQ31" i="1"/>
  <c r="AP31" i="1"/>
  <c r="AO31" i="1"/>
  <c r="AM31" i="1"/>
  <c r="AL31" i="1"/>
  <c r="AK31" i="1"/>
  <c r="AJ31" i="1"/>
  <c r="AI31" i="1"/>
  <c r="AH31" i="1"/>
  <c r="AG31" i="1"/>
  <c r="AF31" i="1"/>
  <c r="AE31" i="1"/>
  <c r="AD31" i="1"/>
  <c r="AC31" i="1"/>
  <c r="Z31" i="1"/>
  <c r="Y31" i="1"/>
  <c r="X31" i="1"/>
  <c r="V31" i="1"/>
  <c r="U31" i="1"/>
  <c r="T31" i="1"/>
  <c r="O31" i="1"/>
  <c r="M31" i="1"/>
  <c r="L31" i="1"/>
  <c r="I31" i="1"/>
  <c r="H31" i="1"/>
  <c r="G31" i="1"/>
  <c r="L30" i="1"/>
  <c r="K30" i="1"/>
  <c r="J30" i="1"/>
  <c r="I30" i="1"/>
  <c r="AB29" i="1"/>
  <c r="N29" i="1"/>
  <c r="M29" i="1"/>
  <c r="L29" i="1"/>
  <c r="J29" i="1"/>
  <c r="AJ27" i="1"/>
  <c r="AA27" i="1"/>
  <c r="Z27" i="1"/>
  <c r="Y27" i="1"/>
  <c r="S27" i="1"/>
  <c r="P27" i="1"/>
  <c r="O27" i="1"/>
  <c r="N27" i="1"/>
  <c r="K27" i="1"/>
  <c r="J27" i="1"/>
  <c r="I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I24" i="1"/>
  <c r="AH24" i="1"/>
  <c r="AG24" i="1"/>
  <c r="AF24" i="1"/>
  <c r="AE24" i="1"/>
  <c r="AD24" i="1"/>
  <c r="AC24" i="1"/>
  <c r="Z24" i="1"/>
  <c r="Y24" i="1"/>
  <c r="X24" i="1"/>
  <c r="W24" i="1"/>
  <c r="V24" i="1"/>
  <c r="T24" i="1"/>
  <c r="S24" i="1"/>
  <c r="P24" i="1"/>
  <c r="L24" i="1"/>
  <c r="I24" i="1"/>
  <c r="H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A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S22" i="1"/>
  <c r="AR22" i="1"/>
  <c r="AQ22" i="1"/>
  <c r="AP22" i="1"/>
  <c r="AO22" i="1"/>
  <c r="AM22" i="1"/>
  <c r="AL22" i="1"/>
  <c r="AK22" i="1"/>
  <c r="AJ22" i="1"/>
  <c r="AI22" i="1"/>
  <c r="AH22" i="1"/>
  <c r="AG22" i="1"/>
  <c r="AF22" i="1"/>
  <c r="AE22" i="1"/>
  <c r="AD22" i="1"/>
  <c r="AC22" i="1"/>
  <c r="Y22" i="1"/>
  <c r="X22" i="1"/>
  <c r="W22" i="1"/>
  <c r="V22" i="1"/>
  <c r="U22" i="1"/>
  <c r="T22" i="1"/>
  <c r="S22" i="1"/>
  <c r="R22" i="1"/>
  <c r="Q22" i="1"/>
  <c r="P22" i="1"/>
  <c r="L22" i="1"/>
  <c r="I22" i="1"/>
  <c r="H22" i="1"/>
  <c r="AR21" i="1"/>
  <c r="AQ21" i="1"/>
  <c r="AP21" i="1"/>
  <c r="AO21" i="1"/>
  <c r="AI21" i="1"/>
  <c r="AH21" i="1"/>
  <c r="AG21" i="1"/>
  <c r="AF21" i="1"/>
  <c r="AE21" i="1"/>
  <c r="AD21" i="1"/>
  <c r="AC21" i="1"/>
  <c r="Y21" i="1"/>
  <c r="X21" i="1"/>
  <c r="W21" i="1"/>
  <c r="V21" i="1"/>
  <c r="U21" i="1"/>
  <c r="T21" i="1"/>
  <c r="S21" i="1"/>
  <c r="P21" i="1"/>
  <c r="O21" i="1"/>
  <c r="N21" i="1"/>
  <c r="M21" i="1"/>
  <c r="L21" i="1"/>
  <c r="K21" i="1"/>
  <c r="J21" i="1"/>
  <c r="I21" i="1"/>
  <c r="H21" i="1"/>
  <c r="G21" i="1"/>
  <c r="AS20" i="1"/>
  <c r="AR20" i="1"/>
  <c r="AQ20" i="1"/>
  <c r="AP20" i="1"/>
  <c r="AO20" i="1"/>
  <c r="AN20" i="1"/>
  <c r="AM20" i="1"/>
  <c r="AL20" i="1"/>
  <c r="AK20" i="1"/>
  <c r="AJ20" i="1"/>
  <c r="Y20" i="1"/>
  <c r="V20" i="1"/>
  <c r="P20" i="1"/>
  <c r="H20" i="1"/>
  <c r="G20" i="1"/>
  <c r="AJ19" i="1"/>
  <c r="AI19" i="1"/>
  <c r="Y19" i="1"/>
  <c r="H19" i="1"/>
  <c r="AS18" i="1"/>
  <c r="AR18" i="1"/>
  <c r="AQ18" i="1"/>
  <c r="AP18" i="1"/>
  <c r="AO18" i="1"/>
  <c r="AN18" i="1"/>
  <c r="AM18" i="1"/>
  <c r="AL18" i="1"/>
  <c r="AK18" i="1"/>
  <c r="H18" i="1"/>
  <c r="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I15" i="1"/>
  <c r="AH15" i="1"/>
  <c r="AG15" i="1"/>
  <c r="AF15" i="1"/>
  <c r="AE15" i="1"/>
  <c r="AD15" i="1"/>
  <c r="AC15" i="1"/>
  <c r="X15" i="1"/>
  <c r="W15" i="1"/>
  <c r="U15" i="1"/>
  <c r="S15" i="1"/>
  <c r="P15" i="1"/>
  <c r="O15" i="1"/>
  <c r="N15" i="1"/>
  <c r="M15" i="1"/>
  <c r="K15" i="1"/>
  <c r="J15" i="1"/>
  <c r="I15" i="1"/>
  <c r="H15" i="1"/>
  <c r="AI14" i="1"/>
  <c r="S14" i="1"/>
  <c r="R14" i="1"/>
  <c r="Q14" i="1"/>
  <c r="P14" i="1"/>
  <c r="O14" i="1"/>
  <c r="N14" i="1"/>
  <c r="M14" i="1"/>
  <c r="K14" i="1"/>
  <c r="J14" i="1"/>
  <c r="I14" i="1"/>
  <c r="AI13" i="1"/>
  <c r="AG13" i="1"/>
  <c r="AF13" i="1"/>
  <c r="AD13" i="1"/>
  <c r="AB13" i="1"/>
  <c r="Y13" i="1"/>
  <c r="P13" i="1"/>
  <c r="O13" i="1"/>
  <c r="N13" i="1"/>
  <c r="M13" i="1"/>
  <c r="K13" i="1"/>
  <c r="J13" i="1"/>
  <c r="I13" i="1"/>
  <c r="AS12" i="1"/>
  <c r="AR12" i="1"/>
  <c r="AQ12" i="1"/>
  <c r="AP12" i="1"/>
  <c r="AO12" i="1"/>
  <c r="AN12" i="1"/>
  <c r="AM12" i="1"/>
  <c r="AJ12" i="1"/>
  <c r="AI12" i="1"/>
  <c r="AH12" i="1"/>
  <c r="AG12" i="1"/>
  <c r="AF12" i="1"/>
  <c r="AE12" i="1"/>
  <c r="AD12" i="1"/>
  <c r="AC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I11" i="1"/>
  <c r="AB11" i="1"/>
  <c r="Y11" i="1"/>
  <c r="S11" i="1"/>
  <c r="P11" i="1"/>
  <c r="O11" i="1"/>
  <c r="N11" i="1"/>
  <c r="M11" i="1"/>
  <c r="K11" i="1"/>
  <c r="J11" i="1"/>
  <c r="I11" i="1"/>
  <c r="H11" i="1"/>
  <c r="V10" i="1"/>
  <c r="U10" i="1"/>
  <c r="P10" i="1"/>
  <c r="O10" i="1"/>
  <c r="N10" i="1"/>
  <c r="L10" i="1"/>
  <c r="I10" i="1"/>
  <c r="AS9" i="1"/>
  <c r="AR9" i="1"/>
  <c r="AQ9" i="1"/>
  <c r="AP9" i="1"/>
  <c r="AO9" i="1"/>
  <c r="AN9" i="1"/>
  <c r="AM9" i="1"/>
  <c r="AL9" i="1"/>
  <c r="AK9" i="1"/>
  <c r="AJ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S8" i="1"/>
  <c r="AR8" i="1"/>
  <c r="AQ8" i="1"/>
  <c r="AP8" i="1"/>
  <c r="AO8" i="1"/>
  <c r="AM8" i="1"/>
  <c r="AL8" i="1"/>
  <c r="AK8" i="1"/>
  <c r="Y8" i="1"/>
  <c r="T8" i="1"/>
  <c r="H8" i="1"/>
  <c r="G8" i="1"/>
  <c r="X7" i="1"/>
  <c r="K6" i="1"/>
  <c r="J6" i="1"/>
  <c r="I6" i="1"/>
  <c r="AS5" i="1"/>
  <c r="AR5" i="1"/>
  <c r="AQ5" i="1"/>
  <c r="AP5" i="1"/>
  <c r="AO5" i="1"/>
  <c r="AM5" i="1"/>
  <c r="AI5" i="1"/>
  <c r="AH5" i="1"/>
  <c r="AG5" i="1"/>
  <c r="AF5" i="1"/>
  <c r="AE5" i="1"/>
  <c r="AD5" i="1"/>
  <c r="AC5" i="1"/>
  <c r="Y5" i="1"/>
  <c r="X5" i="1"/>
  <c r="W5" i="1"/>
  <c r="V5" i="1"/>
  <c r="U5" i="1"/>
  <c r="T5" i="1"/>
  <c r="S5" i="1"/>
  <c r="P5" i="1"/>
  <c r="O5" i="1"/>
  <c r="N5" i="1"/>
  <c r="L5" i="1"/>
  <c r="K5" i="1"/>
  <c r="J5" i="1"/>
  <c r="I5" i="1"/>
  <c r="H5" i="1"/>
  <c r="G5" i="1"/>
  <c r="AG4" i="1"/>
  <c r="AD4" i="1"/>
  <c r="U4" i="1"/>
  <c r="S4" i="1"/>
  <c r="P4" i="1"/>
  <c r="K4" i="1"/>
  <c r="AG3" i="1"/>
  <c r="AD3" i="1"/>
  <c r="Z3" i="1"/>
  <c r="Y3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<sst xmlns="http://schemas.openxmlformats.org/spreadsheetml/2006/main" count="320" uniqueCount="193">
  <si>
    <t>Total length (mm) (maximum)</t>
  </si>
  <si>
    <t>Standard length (mm) (maximum)</t>
  </si>
  <si>
    <t>Skull length / total body length</t>
  </si>
  <si>
    <t>Skull height / skull length</t>
  </si>
  <si>
    <t>Ethmoid shield length / otoccipital shield length</t>
  </si>
  <si>
    <t>Ethmoid shield width / ethmoid shield length</t>
  </si>
  <si>
    <t>Otoccipital shield width / otoccipital shield length</t>
  </si>
  <si>
    <t>Orbit diameter / ethmoid shield length</t>
  </si>
  <si>
    <t>Posteriormost preparietal length / parietal length</t>
  </si>
  <si>
    <t>Parietal width / parietal length</t>
  </si>
  <si>
    <t>Parietal length / postparietal length</t>
  </si>
  <si>
    <t>Postparietal width / postparietal length</t>
  </si>
  <si>
    <t>Lateral extrascapular width / median extrascapular width</t>
  </si>
  <si>
    <t xml:space="preserve">Median extrascapular width / median extrascapular length </t>
  </si>
  <si>
    <t>Lateral extrascapular width / lateral extrascapular length</t>
  </si>
  <si>
    <t>Preorbital length / postorbital length</t>
  </si>
  <si>
    <t>Lacrimojugal height (at mid-length) / lacrimojugal length</t>
  </si>
  <si>
    <t>Postorbital height / postorbital length</t>
  </si>
  <si>
    <t>Squamosal height / squamosal length</t>
  </si>
  <si>
    <t>Preoperculum height / preoperculum length</t>
  </si>
  <si>
    <t>Operculum height / operculum length</t>
  </si>
  <si>
    <t>Suboperculum height / suboperculum length</t>
  </si>
  <si>
    <t>Urohyal shaft length / urohyal posterior branches length</t>
  </si>
  <si>
    <t>Parasphenoid denticulated / Parasphenoid length</t>
  </si>
  <si>
    <t>Spenial length / dentary length</t>
  </si>
  <si>
    <t>Dentary length / lower jaw length</t>
  </si>
  <si>
    <t>Splenial length / lower jaw length</t>
  </si>
  <si>
    <t>Angular length / lower jaw length</t>
  </si>
  <si>
    <t>Dentary height / dentary length</t>
  </si>
  <si>
    <t>Splenial height / splenial length</t>
  </si>
  <si>
    <t>Angular height / angular length</t>
  </si>
  <si>
    <t>Cleithrum height / extracleithrum height</t>
  </si>
  <si>
    <t>Pectoral fin height / body height</t>
  </si>
  <si>
    <t>Pectoral fin length / pelvic fin length</t>
  </si>
  <si>
    <t>Position 1st dorsal fin / standard length</t>
  </si>
  <si>
    <t>D1 plate height / D1 plate length</t>
  </si>
  <si>
    <t>Position 2nd dorsal fin / standard length</t>
  </si>
  <si>
    <t>Position of pelvic fin / standard length</t>
  </si>
  <si>
    <t>Position of anal fin / standard length</t>
  </si>
  <si>
    <t>Caudal length / pre-caudal length</t>
  </si>
  <si>
    <t>Supplementary lobe length / caudal fin length</t>
  </si>
  <si>
    <t>AGE</t>
  </si>
  <si>
    <t>FAD</t>
  </si>
  <si>
    <t>LAD</t>
  </si>
  <si>
    <t>Onychodus_jandemarrai</t>
  </si>
  <si>
    <t>Upper Devonian</t>
  </si>
  <si>
    <t>NA</t>
  </si>
  <si>
    <t>Strunius_rolandi</t>
  </si>
  <si>
    <t>Strunius_walteri</t>
  </si>
  <si>
    <t>Qingmenodus_yui</t>
  </si>
  <si>
    <t>Lower Devonian</t>
  </si>
  <si>
    <t>Grossius_aragonensis</t>
  </si>
  <si>
    <t>Middle Devonian</t>
  </si>
  <si>
    <t>Alcoveria_brevis</t>
  </si>
  <si>
    <t>Middle Triassic</t>
  </si>
  <si>
    <t>Allenypterus_montanus</t>
  </si>
  <si>
    <t>Lower Carboniferous</t>
  </si>
  <si>
    <t>Atacamaia_solitaria</t>
  </si>
  <si>
    <t>Lower Jurassic</t>
  </si>
  <si>
    <t>Axelia_robusta</t>
  </si>
  <si>
    <t>Lower Triassic</t>
  </si>
  <si>
    <t>Axelrodichthys_araripensis</t>
  </si>
  <si>
    <t>Lower Cretaceous</t>
  </si>
  <si>
    <t>Axelrodichthys_lovacati</t>
  </si>
  <si>
    <t>Upper Cretaceous</t>
  </si>
  <si>
    <t xml:space="preserve">Axelrodichthys_maiseyi </t>
  </si>
  <si>
    <t>Axelrodichthys_megadromos</t>
  </si>
  <si>
    <t>Belemnocerca_prolata</t>
  </si>
  <si>
    <t>Caridosuctor_populosum</t>
  </si>
  <si>
    <t>Changxingia_aspratilis</t>
  </si>
  <si>
    <t>Upper Permian</t>
  </si>
  <si>
    <t>Changxingia_weii</t>
  </si>
  <si>
    <t>Chaohuichthys_majiashanensis</t>
  </si>
  <si>
    <t>Early Triassic</t>
  </si>
  <si>
    <t>Chinlea_sorenseni</t>
  </si>
  <si>
    <t>Upper Triassic</t>
  </si>
  <si>
    <t>Coccoderma_suevicum</t>
  </si>
  <si>
    <t>Upper Jurassic</t>
  </si>
  <si>
    <t>Coelacanthus_granulatus</t>
  </si>
  <si>
    <t xml:space="preserve">Diplocercides_heiligenstockiensis 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</si>
  <si>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</si>
  <si>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</si>
  <si>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</si>
  <si>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</si>
  <si>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</si>
  <si>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</si>
  <si>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>Early Devonian</t>
  </si>
  <si>
    <t xml:space="preserve">Foreyia_maxkuhni </t>
  </si>
  <si>
    <t>Garnbergia_ommata</t>
  </si>
  <si>
    <t>Gavinia_syntrips</t>
  </si>
  <si>
    <t>Guizhoucoelacanthus_guanlingensis</t>
  </si>
  <si>
    <t>Mid-Upper Triassic</t>
  </si>
  <si>
    <t>Hadronector_donbairdi</t>
  </si>
  <si>
    <r>
      <t>Hainbergia_granulata</t>
    </r>
    <r>
      <rPr>
        <sz val="11"/>
        <color rgb="FF000000"/>
        <rFont val="Calibri"/>
        <family val="2"/>
        <scheme val="minor"/>
      </rPr>
      <t xml:space="preserve"> </t>
    </r>
  </si>
  <si>
    <t>Heptanema_paradoxum</t>
  </si>
  <si>
    <t>Holophagus_gulo</t>
  </si>
  <si>
    <t>Holopterygius_nudus</t>
  </si>
  <si>
    <t>Indocoelacanthus_robustus</t>
  </si>
  <si>
    <t>Latimeria_chalumnae</t>
  </si>
  <si>
    <t>extant</t>
  </si>
  <si>
    <t xml:space="preserve">Latimeria_menadoensis </t>
  </si>
  <si>
    <t>Laugia_groenlandica</t>
  </si>
  <si>
    <t>Libys_polypterus</t>
  </si>
  <si>
    <t>Lochmocercus_aciculiodontus</t>
  </si>
  <si>
    <t>Luopingcoelacanthus_eurylacrimalis</t>
  </si>
  <si>
    <t>Macropoma_lewesiensis</t>
  </si>
  <si>
    <t>Macropoma_precursor</t>
  </si>
  <si>
    <t>Macropoma_willemoesi</t>
  </si>
  <si>
    <t>Macropomoides_orientalis</t>
  </si>
  <si>
    <t>Mawsonia_brasiliensis</t>
  </si>
  <si>
    <t>Mawsonia_gigas</t>
  </si>
  <si>
    <t>Mawsonia_soba</t>
  </si>
  <si>
    <t xml:space="preserve">Mawsonia_tegamensis </t>
  </si>
  <si>
    <t xml:space="preserve"> </t>
  </si>
  <si>
    <t>Megalocoelacanthus_dobiei</t>
  </si>
  <si>
    <t>Miguashaia_bureaui</t>
  </si>
  <si>
    <t>Miguashaia_grossi</t>
  </si>
  <si>
    <t xml:space="preserve">Moenkopia_wellesi </t>
  </si>
  <si>
    <t>Parnaibaia_maranhaoensis</t>
  </si>
  <si>
    <t>Late Jurassic</t>
  </si>
  <si>
    <t>Piveteauia_madagascariensis</t>
  </si>
  <si>
    <t>Polyosteorhynchus_simplex</t>
  </si>
  <si>
    <t>Rebellatrix_divaricerca</t>
  </si>
  <si>
    <t>Reidus_hilli</t>
  </si>
  <si>
    <t>Early Cretaceous</t>
  </si>
  <si>
    <t>Rhaboderma_elegans</t>
  </si>
  <si>
    <t>Upper Carboniferous</t>
  </si>
  <si>
    <t>Rhabdoderma_exiguum</t>
  </si>
  <si>
    <t>Rhabdoderma_newelli</t>
  </si>
  <si>
    <t>Sassenia_groenlandica</t>
  </si>
  <si>
    <t>Sassenia_tuberculata</t>
  </si>
  <si>
    <t>Serenichthys_kowiensis</t>
  </si>
  <si>
    <t>Shoshonia_arctopteryx</t>
  </si>
  <si>
    <t xml:space="preserve">Sinocoelacanthus_fengshanensis
</t>
  </si>
  <si>
    <t>Spermatodus_pustulosus</t>
  </si>
  <si>
    <t>Lower Permian</t>
  </si>
  <si>
    <t>Styloichthys_changae</t>
  </si>
  <si>
    <t>Swenzia_latimerae</t>
  </si>
  <si>
    <t>Ticinepomis_peyeri</t>
  </si>
  <si>
    <t>Trachymetopon_liassicum</t>
  </si>
  <si>
    <t>Undina_cirinensis</t>
  </si>
  <si>
    <t>Undina_penicellatus (ex Holophagus)</t>
  </si>
  <si>
    <t>Whitea_durabilis</t>
  </si>
  <si>
    <t>Whitea_lepta</t>
  </si>
  <si>
    <t>Whiteia_nielseni</t>
  </si>
  <si>
    <t>Whiteia_oishoii</t>
  </si>
  <si>
    <t>Whiteia_uyenoteruyai</t>
  </si>
  <si>
    <t>Whiteia_woodwardi</t>
  </si>
  <si>
    <t>Wimania_sinuosa</t>
  </si>
  <si>
    <t>Youngichthys_xinghuainsis</t>
  </si>
  <si>
    <t>Yunnancoelacanthus_acrotuberculatus</t>
  </si>
  <si>
    <t>TL</t>
  </si>
  <si>
    <t>SL</t>
  </si>
  <si>
    <t>SKL_TL</t>
  </si>
  <si>
    <t>SKH_SKL</t>
  </si>
  <si>
    <t>ETL_OTL</t>
  </si>
  <si>
    <t>ETW_ETL</t>
  </si>
  <si>
    <t>OTW_OTL</t>
  </si>
  <si>
    <t>OR_ETL</t>
  </si>
  <si>
    <t>PREL_PAL</t>
  </si>
  <si>
    <t>PAL_PPL</t>
  </si>
  <si>
    <t>PPW_PPL</t>
  </si>
  <si>
    <t>LEXW_MEXW</t>
  </si>
  <si>
    <t>MEXW_MEXL</t>
  </si>
  <si>
    <t>LEXW_LEXL</t>
  </si>
  <si>
    <t>PRORL_POORL</t>
  </si>
  <si>
    <t>LJH_LJL</t>
  </si>
  <si>
    <t>POH_POL</t>
  </si>
  <si>
    <t>SQH_SQL</t>
  </si>
  <si>
    <t>PROPH_PROPL</t>
  </si>
  <si>
    <t>OPH_OPL</t>
  </si>
  <si>
    <t>SOPH_SOPL</t>
  </si>
  <si>
    <t>URL_URBL</t>
  </si>
  <si>
    <t>PSDENT_PSL</t>
  </si>
  <si>
    <t>SPL_DTL</t>
  </si>
  <si>
    <t>DTL_LJL</t>
  </si>
  <si>
    <t>SPL_LJL</t>
  </si>
  <si>
    <t>ANL_LJL</t>
  </si>
  <si>
    <t>DTH_DTL</t>
  </si>
  <si>
    <t>SPH_SPL</t>
  </si>
  <si>
    <t>ANH_ANL</t>
  </si>
  <si>
    <t>CLH_EXCLH</t>
  </si>
  <si>
    <t>PECH_BODH</t>
  </si>
  <si>
    <t>PECL_PELH</t>
  </si>
  <si>
    <t>D1H_D1L</t>
  </si>
  <si>
    <t>CAUL_PRCAUL</t>
  </si>
  <si>
    <t>SUPL_CAUL</t>
  </si>
  <si>
    <t>PAW_PAL</t>
  </si>
  <si>
    <t>D1_SL</t>
  </si>
  <si>
    <t>D2_SL</t>
  </si>
  <si>
    <t>PEL_SL</t>
  </si>
  <si>
    <t>ANA_SL</t>
  </si>
  <si>
    <t>Namugawi wirngarrii (new Gogo Coelacanth)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</si>
</sst>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/>
    <xf numFmtId="0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5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left" vertical="top" readingOrder="1"/>
    </xf>
    <xf numFmtId="0" fontId="5" fillId="0" borderId="0" xfId="2" applyFont="1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5" fillId="0" borderId="0" xfId="0" quotePrefix="1" applyFont="1" applyFill="1"/>
    <xf numFmtId="165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Font="1"/>
    <xf numFmtId="0" fontId="0" fillId="4" borderId="0" xfId="0" applyFill="1"/>
    <xf numFmtId="0" fontId="0" fillId="4" borderId="0" xfId="0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/>
    </xf>
    <xf numFmtId="0" fontId="10" fillId="4" borderId="0" xfId="0" applyFont="1" applyFill="1" applyBorder="1" applyAlignment="1">
      <alignment horizontal="left" vertical="top"/>
    </xf>
    <xf numFmtId="0" fontId="11" fillId="4" borderId="0" xfId="0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FA0F-E881-4DB1-8131-8F7E638BC7C1}">
  <dimension ref="A1:AS88"/>
  <sheetViews>
    <sheetView tabSelected="1" workbookViewId="0">
      <selection activeCell="B40" sqref="B40"/>
    </sheetView>
  </sheetViews>
  <sheetFormatPr baseColWidth="10" defaultRowHeight="15" x14ac:dyDescent="0.2"/>
  <cols>
    <col min="1" max="1" width="38.33203125" style="27" customWidth="1"/>
    <col min="2" max="2" width="19.83203125" customWidth="1"/>
    <col min="7" max="7" width="11.6640625" bestFit="1" customWidth="1"/>
    <col min="29" max="35" width="11.6640625" bestFit="1" customWidth="1"/>
  </cols>
  <sheetData>
    <row r="1" spans="1:45" x14ac:dyDescent="0.2">
      <c r="A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1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</row>
    <row r="2" spans="1:45" x14ac:dyDescent="0.2">
      <c r="A2" s="1"/>
      <c r="B2" t="s">
        <v>41</v>
      </c>
      <c r="C2" t="s">
        <v>42</v>
      </c>
      <c r="D2" t="s">
        <v>43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187</v>
      </c>
      <c r="O2" t="s">
        <v>160</v>
      </c>
      <c r="P2" t="s">
        <v>161</v>
      </c>
      <c r="Q2" t="s">
        <v>162</v>
      </c>
      <c r="R2" t="s">
        <v>163</v>
      </c>
      <c r="S2" t="s">
        <v>164</v>
      </c>
      <c r="T2" t="s">
        <v>165</v>
      </c>
      <c r="U2" t="s">
        <v>166</v>
      </c>
      <c r="V2" t="s">
        <v>167</v>
      </c>
      <c r="W2" t="s">
        <v>168</v>
      </c>
      <c r="X2" t="s">
        <v>169</v>
      </c>
      <c r="Y2" t="s">
        <v>170</v>
      </c>
      <c r="Z2" t="s">
        <v>171</v>
      </c>
      <c r="AA2" t="s">
        <v>172</v>
      </c>
      <c r="AB2" t="s">
        <v>173</v>
      </c>
      <c r="AC2" t="s">
        <v>174</v>
      </c>
      <c r="AD2" t="s">
        <v>175</v>
      </c>
      <c r="AE2" t="s">
        <v>176</v>
      </c>
      <c r="AF2" t="s">
        <v>177</v>
      </c>
      <c r="AG2" t="s">
        <v>178</v>
      </c>
      <c r="AH2" t="s">
        <v>179</v>
      </c>
      <c r="AI2" t="s">
        <v>180</v>
      </c>
      <c r="AJ2" t="s">
        <v>181</v>
      </c>
      <c r="AK2" t="s">
        <v>182</v>
      </c>
      <c r="AL2" t="s">
        <v>183</v>
      </c>
      <c r="AM2" t="s">
        <v>188</v>
      </c>
      <c r="AN2" t="s">
        <v>184</v>
      </c>
      <c r="AO2" t="s">
        <v>189</v>
      </c>
      <c r="AP2" t="s">
        <v>190</v>
      </c>
      <c r="AQ2" t="s">
        <v>191</v>
      </c>
      <c r="AR2" t="s">
        <v>185</v>
      </c>
      <c r="AS2" t="s">
        <v>186</v>
      </c>
    </row>
    <row r="3" spans="1:45" x14ac:dyDescent="0.2">
      <c r="A3" s="3" t="s">
        <v>44</v>
      </c>
      <c r="B3" t="s">
        <v>45</v>
      </c>
      <c r="C3">
        <v>382.7</v>
      </c>
      <c r="D3">
        <v>379.2</v>
      </c>
      <c r="E3" s="4"/>
      <c r="F3" s="4"/>
      <c r="G3" s="4"/>
      <c r="H3" s="5">
        <f>172.7/232.7</f>
        <v>0.74215728405672543</v>
      </c>
      <c r="I3" s="5">
        <f>78.9/166.8</f>
        <v>0.47302158273381295</v>
      </c>
      <c r="J3" s="5">
        <f>109.5/78.9</f>
        <v>1.3878326996197718</v>
      </c>
      <c r="K3" s="5">
        <f>114.7/166.8</f>
        <v>0.6876498800959232</v>
      </c>
      <c r="L3" s="5">
        <f>32.4/69.2</f>
        <v>0.46820809248554907</v>
      </c>
      <c r="M3" s="5" t="s">
        <v>46</v>
      </c>
      <c r="N3" s="6">
        <f>11.3/11.74</f>
        <v>0.96252129471890979</v>
      </c>
      <c r="O3" s="5">
        <f>31.9/166.8</f>
        <v>0.19124700239808151</v>
      </c>
      <c r="P3" s="5">
        <f>43/166.8</f>
        <v>0.2577937649880096</v>
      </c>
      <c r="Q3" s="5">
        <f>32.6/47.6</f>
        <v>0.68487394957983194</v>
      </c>
      <c r="R3" s="5">
        <f>47.6/43.7</f>
        <v>1.0892448512585813</v>
      </c>
      <c r="S3" s="5">
        <f>32.6/69.8</f>
        <v>0.46704871060171926</v>
      </c>
      <c r="T3" s="5">
        <f>40.4/156.4</f>
        <v>0.25831202046035806</v>
      </c>
      <c r="U3" s="5">
        <f>19.4/74.4</f>
        <v>0.26075268817204295</v>
      </c>
      <c r="V3" s="5">
        <f>35.2/42.4</f>
        <v>0.83018867924528317</v>
      </c>
      <c r="W3" s="5">
        <f>41.7/79.5</f>
        <v>0.52452830188679245</v>
      </c>
      <c r="X3" s="5">
        <f>60.6/85.4</f>
        <v>0.70960187353629978</v>
      </c>
      <c r="Y3" s="5">
        <f>35.8/95.2</f>
        <v>0.37605042016806717</v>
      </c>
      <c r="Z3" s="5">
        <f>53.4/50.8</f>
        <v>1.0511811023622049</v>
      </c>
      <c r="AA3" s="4"/>
      <c r="AB3" s="4"/>
      <c r="AC3" s="4"/>
      <c r="AD3" s="4">
        <f>180.6/202.2</f>
        <v>0.89317507418397624</v>
      </c>
      <c r="AE3" s="4"/>
      <c r="AF3" s="4"/>
      <c r="AG3" s="4">
        <f>23.5/180.6</f>
        <v>0.1301218161683278</v>
      </c>
      <c r="AH3" s="4"/>
      <c r="AI3" s="4"/>
      <c r="AJ3" s="4" t="s">
        <v>46</v>
      </c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3" t="s">
        <v>47</v>
      </c>
      <c r="B4" t="s">
        <v>45</v>
      </c>
      <c r="C4">
        <v>382.7</v>
      </c>
      <c r="D4">
        <v>379.2</v>
      </c>
      <c r="E4" s="5"/>
      <c r="F4" s="5"/>
      <c r="G4" s="5"/>
      <c r="H4" s="5"/>
      <c r="I4" s="5"/>
      <c r="J4" s="5"/>
      <c r="K4" s="5">
        <f>58.5/32</f>
        <v>1.828125</v>
      </c>
      <c r="L4" s="5"/>
      <c r="M4" s="5" t="s">
        <v>46</v>
      </c>
      <c r="N4" s="6"/>
      <c r="O4" s="5"/>
      <c r="P4" s="5">
        <f>18/32</f>
        <v>0.5625</v>
      </c>
      <c r="Q4" s="5" t="s">
        <v>46</v>
      </c>
      <c r="R4" s="5" t="s">
        <v>46</v>
      </c>
      <c r="S4" s="5">
        <f>21/19</f>
        <v>1.1052631578947369</v>
      </c>
      <c r="T4" s="5"/>
      <c r="U4" s="5">
        <f>13/50</f>
        <v>0.26</v>
      </c>
      <c r="V4" s="5"/>
      <c r="W4" s="5"/>
      <c r="X4" s="5"/>
      <c r="Y4" s="5"/>
      <c r="Z4" s="5"/>
      <c r="AA4" s="5"/>
      <c r="AB4" s="5"/>
      <c r="AC4" s="5"/>
      <c r="AD4" s="6">
        <f>66.4/73.53</f>
        <v>0.90303277573779417</v>
      </c>
      <c r="AE4" s="5"/>
      <c r="AF4" s="5"/>
      <c r="AG4" s="6">
        <f>11.63/66.4</f>
        <v>0.17515060240963856</v>
      </c>
      <c r="AH4" s="5"/>
      <c r="AI4" s="5"/>
      <c r="AJ4" s="5" t="s">
        <v>46</v>
      </c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3" t="s">
        <v>48</v>
      </c>
      <c r="B5" t="s">
        <v>45</v>
      </c>
      <c r="C5">
        <v>382.7</v>
      </c>
      <c r="D5">
        <v>379.2</v>
      </c>
      <c r="E5" s="5">
        <v>100</v>
      </c>
      <c r="F5" s="5">
        <v>91</v>
      </c>
      <c r="G5" s="5">
        <f>105.6/485.8</f>
        <v>0.21737340469328939</v>
      </c>
      <c r="H5" s="5">
        <f>88/105.6</f>
        <v>0.83333333333333337</v>
      </c>
      <c r="I5" s="5">
        <f>49.3/80.8</f>
        <v>0.61014851485148514</v>
      </c>
      <c r="J5" s="5">
        <f>69.7/34.5</f>
        <v>2.0202898550724639</v>
      </c>
      <c r="K5" s="5">
        <f>121.9/68.4</f>
        <v>1.7821637426900585</v>
      </c>
      <c r="L5" s="5">
        <f>63.2/49.3</f>
        <v>1.2819472616632861</v>
      </c>
      <c r="M5" s="5" t="s">
        <v>46</v>
      </c>
      <c r="N5" s="6">
        <f>16.19/26.71</f>
        <v>0.60614002246349685</v>
      </c>
      <c r="O5" s="5">
        <f>34.5/68.4</f>
        <v>0.5043859649122806</v>
      </c>
      <c r="P5" s="5">
        <f>44.3/68.4</f>
        <v>0.64766081871345016</v>
      </c>
      <c r="Q5" s="5" t="s">
        <v>46</v>
      </c>
      <c r="R5" s="5" t="s">
        <v>46</v>
      </c>
      <c r="S5" s="5">
        <f>31.9/30.6</f>
        <v>1.0424836601307188</v>
      </c>
      <c r="T5" s="5">
        <f>16.9/122.5</f>
        <v>0.13795918367346938</v>
      </c>
      <c r="U5" s="5">
        <f>13.9/81.4</f>
        <v>0.17076167076167076</v>
      </c>
      <c r="V5" s="5">
        <f>18.3/29.4</f>
        <v>0.62244897959183676</v>
      </c>
      <c r="W5" s="5">
        <f>60/50.2</f>
        <v>1.1952191235059759</v>
      </c>
      <c r="X5" s="5">
        <f>65.8/66.5</f>
        <v>0.98947368421052628</v>
      </c>
      <c r="Y5" s="5">
        <f>63.9/85.4</f>
        <v>0.7482435597189695</v>
      </c>
      <c r="Z5" s="5"/>
      <c r="AA5" s="5"/>
      <c r="AB5" s="5"/>
      <c r="AC5" s="5">
        <f>29.1/156.9</f>
        <v>0.18546845124282982</v>
      </c>
      <c r="AD5" s="5">
        <f>156.9/189</f>
        <v>0.83015873015873021</v>
      </c>
      <c r="AE5" s="5">
        <f>29.1/189</f>
        <v>0.15396825396825398</v>
      </c>
      <c r="AF5" s="5">
        <f>175.6/189</f>
        <v>0.92910052910052909</v>
      </c>
      <c r="AG5" s="5">
        <f>25.5/156.9</f>
        <v>0.16252390057361377</v>
      </c>
      <c r="AH5" s="5">
        <f>6.9/29.1</f>
        <v>0.23711340206185566</v>
      </c>
      <c r="AI5" s="5">
        <f>12.5/175.6</f>
        <v>7.1184510250569474E-2</v>
      </c>
      <c r="AJ5" s="5" t="s">
        <v>46</v>
      </c>
      <c r="AK5" s="5"/>
      <c r="AL5" s="5"/>
      <c r="AM5" s="6">
        <f>22.78/45.12</f>
        <v>0.50487588652482274</v>
      </c>
      <c r="AN5" s="5"/>
      <c r="AO5" s="6">
        <f>29.92/45.12</f>
        <v>0.66312056737588665</v>
      </c>
      <c r="AP5" s="6">
        <f>25.36/45.12</f>
        <v>0.56205673758865249</v>
      </c>
      <c r="AQ5" s="6">
        <f>33.24/45.12</f>
        <v>0.73670212765957455</v>
      </c>
      <c r="AR5" s="5">
        <f>139.5/346.3</f>
        <v>0.40282991625758013</v>
      </c>
      <c r="AS5" s="5">
        <f>72.3/139.5</f>
        <v>0.51827956989247315</v>
      </c>
    </row>
    <row r="6" spans="1:45" x14ac:dyDescent="0.2">
      <c r="A6" s="3" t="s">
        <v>49</v>
      </c>
      <c r="B6" t="s">
        <v>50</v>
      </c>
      <c r="C6">
        <v>408.66666670000001</v>
      </c>
      <c r="D6">
        <v>407.6</v>
      </c>
      <c r="E6" s="4"/>
      <c r="F6" s="4"/>
      <c r="G6" s="4"/>
      <c r="H6" s="4"/>
      <c r="I6" s="4">
        <f>1.57/2</f>
        <v>0.78500000000000003</v>
      </c>
      <c r="J6" s="4">
        <f>1.2/1.5</f>
        <v>0.79999999999999993</v>
      </c>
      <c r="K6" s="4">
        <f>1.8/2.4</f>
        <v>0.75</v>
      </c>
      <c r="L6" s="4"/>
      <c r="M6" s="4" t="s">
        <v>46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3" t="s">
        <v>51</v>
      </c>
      <c r="B7" t="s">
        <v>52</v>
      </c>
      <c r="C7">
        <v>391.43333330000002</v>
      </c>
      <c r="D7">
        <v>389.56666669999998</v>
      </c>
      <c r="E7" s="4"/>
      <c r="F7" s="4"/>
      <c r="G7" s="4"/>
      <c r="H7" s="4"/>
      <c r="I7" s="4"/>
      <c r="J7" s="4"/>
      <c r="K7" s="4"/>
      <c r="L7" s="4"/>
      <c r="M7" s="4" t="s">
        <v>46</v>
      </c>
      <c r="N7" s="4"/>
      <c r="O7" s="4"/>
      <c r="P7" s="4"/>
      <c r="Q7" s="4"/>
      <c r="R7" s="4"/>
      <c r="S7" s="4"/>
      <c r="T7" s="4"/>
      <c r="U7" s="4"/>
      <c r="V7" s="4"/>
      <c r="W7" s="4"/>
      <c r="X7" s="4">
        <f>39.8/84.1</f>
        <v>0.47324613555291317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3" t="s">
        <v>53</v>
      </c>
      <c r="B8" t="s">
        <v>54</v>
      </c>
      <c r="C8">
        <v>242</v>
      </c>
      <c r="D8">
        <v>237</v>
      </c>
      <c r="E8" s="4"/>
      <c r="F8" s="4">
        <v>150</v>
      </c>
      <c r="G8" s="4">
        <f>459.8/1746.8</f>
        <v>0.26322418136020154</v>
      </c>
      <c r="H8" s="4">
        <f>361.6/459.8</f>
        <v>0.78642888212266204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>
        <f>2.69/1.73</f>
        <v>1.5549132947976878</v>
      </c>
      <c r="U8" s="4"/>
      <c r="V8" s="4"/>
      <c r="W8" s="4"/>
      <c r="X8" s="4"/>
      <c r="Y8" s="6">
        <f>7.63/3.13</f>
        <v>2.4376996805111824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6">
        <f>1.79/11.9</f>
        <v>0.15042016806722688</v>
      </c>
      <c r="AL8" s="6">
        <f>2.33/2.9</f>
        <v>0.80344827586206902</v>
      </c>
      <c r="AM8" s="6">
        <f>12.56/36.95</f>
        <v>0.33991880920162382</v>
      </c>
      <c r="AN8" s="5"/>
      <c r="AO8" s="6">
        <f>22.35/36.95</f>
        <v>0.60487144790257108</v>
      </c>
      <c r="AP8" s="6">
        <f>17.24/36.95</f>
        <v>0.46657645466847081</v>
      </c>
      <c r="AQ8" s="6">
        <f>23.64/36.95</f>
        <v>0.63978349120433009</v>
      </c>
      <c r="AR8" s="5">
        <f>539.7/1207.1</f>
        <v>0.44710463093364267</v>
      </c>
      <c r="AS8" s="5">
        <f>273.2/539.7</f>
        <v>0.50620715212154899</v>
      </c>
    </row>
    <row r="9" spans="1:45" x14ac:dyDescent="0.2">
      <c r="A9" s="7" t="s">
        <v>55</v>
      </c>
      <c r="B9" t="s">
        <v>56</v>
      </c>
      <c r="C9">
        <v>330.9</v>
      </c>
      <c r="D9">
        <v>323.2</v>
      </c>
      <c r="E9" s="5">
        <v>124.7</v>
      </c>
      <c r="F9" s="5">
        <v>114.3</v>
      </c>
      <c r="G9" s="8">
        <f>25/123</f>
        <v>0.2032520325203252</v>
      </c>
      <c r="H9" s="9">
        <f>32/25</f>
        <v>1.28</v>
      </c>
      <c r="I9" s="9">
        <f>11.1/5.3</f>
        <v>2.0943396226415096</v>
      </c>
      <c r="J9" s="9">
        <f>10.5/11.1</f>
        <v>0.94594594594594594</v>
      </c>
      <c r="K9" s="9">
        <f>12.9/5.3</f>
        <v>2.4339622641509435</v>
      </c>
      <c r="L9" s="9">
        <f>7.6/11.1</f>
        <v>0.68468468468468469</v>
      </c>
      <c r="M9" s="5">
        <f>0.622/0.945</f>
        <v>0.65820105820105823</v>
      </c>
      <c r="N9" s="6">
        <f>2.86/5.4</f>
        <v>0.52962962962962956</v>
      </c>
      <c r="O9" s="5">
        <f>0.945/0.802</f>
        <v>1.1783042394014962</v>
      </c>
      <c r="P9" s="5">
        <f>4/5.3</f>
        <v>0.75471698113207553</v>
      </c>
      <c r="Q9" s="5">
        <f>4.1/3.6</f>
        <v>1.1388888888888888</v>
      </c>
      <c r="R9" s="5">
        <f>3.6/2.4</f>
        <v>1.5</v>
      </c>
      <c r="S9" s="5">
        <f>4.1/2.2</f>
        <v>1.8636363636363633</v>
      </c>
      <c r="T9" s="5">
        <f>3.4/4.8</f>
        <v>0.70833333333333337</v>
      </c>
      <c r="U9" s="5">
        <f>1.8/7.8</f>
        <v>0.23076923076923078</v>
      </c>
      <c r="V9" s="5">
        <f>7.8/1.1</f>
        <v>7.0909090909090899</v>
      </c>
      <c r="W9" s="5">
        <f>6.2/3.3</f>
        <v>1.8787878787878789</v>
      </c>
      <c r="X9" s="5">
        <f>4.4/6.7</f>
        <v>0.65671641791044777</v>
      </c>
      <c r="Y9" s="5">
        <f>1.501/0.554</f>
        <v>2.7093862815884471</v>
      </c>
      <c r="Z9" s="5">
        <f>5.5/1.5</f>
        <v>3.6666666666666665</v>
      </c>
      <c r="AA9" s="5"/>
      <c r="AB9" s="5"/>
      <c r="AC9" s="8">
        <f>4/5.7</f>
        <v>0.70175438596491224</v>
      </c>
      <c r="AD9" s="8">
        <f>5.7/13.5</f>
        <v>0.42222222222222222</v>
      </c>
      <c r="AE9" s="8">
        <f>4/13.5</f>
        <v>0.29629629629629628</v>
      </c>
      <c r="AF9" s="8">
        <f>10.5/13.5</f>
        <v>0.77777777777777779</v>
      </c>
      <c r="AG9" s="8">
        <f>1.1/5.7</f>
        <v>0.19298245614035089</v>
      </c>
      <c r="AH9" s="8">
        <f>1.5/4</f>
        <v>0.375</v>
      </c>
      <c r="AI9" s="8">
        <f>4.5/10.5</f>
        <v>0.42857142857142855</v>
      </c>
      <c r="AJ9" s="5">
        <f>16.2/6.5</f>
        <v>2.4923076923076923</v>
      </c>
      <c r="AK9" s="5">
        <f>20.2/47.6</f>
        <v>0.42436974789915966</v>
      </c>
      <c r="AL9" s="5">
        <f>20/15</f>
        <v>1.3333333333333333</v>
      </c>
      <c r="AM9" s="5">
        <f>21.8/114.3</f>
        <v>0.19072615923009625</v>
      </c>
      <c r="AN9" s="5">
        <f>4.6/7.8</f>
        <v>0.58974358974358976</v>
      </c>
      <c r="AO9" s="5">
        <f>43.3/124.7</f>
        <v>0.34723336006415395</v>
      </c>
      <c r="AP9" s="5">
        <f>48.7/114.3</f>
        <v>0.426071741032371</v>
      </c>
      <c r="AQ9" s="5">
        <f>62.7/114.3</f>
        <v>0.54855643044619429</v>
      </c>
      <c r="AR9" s="5">
        <f>2.382/1.663</f>
        <v>1.4323511725796754</v>
      </c>
      <c r="AS9" s="5">
        <f>0.361/2.014</f>
        <v>0.17924528301886794</v>
      </c>
    </row>
    <row r="10" spans="1:45" x14ac:dyDescent="0.2">
      <c r="A10" s="7" t="s">
        <v>57</v>
      </c>
      <c r="B10" t="s">
        <v>58</v>
      </c>
      <c r="C10">
        <v>199.3</v>
      </c>
      <c r="D10">
        <v>193.63300000000001</v>
      </c>
      <c r="E10" s="5"/>
      <c r="F10" s="5"/>
      <c r="G10" s="5"/>
      <c r="H10" s="5"/>
      <c r="I10" s="5">
        <f>45.7/24.6</f>
        <v>1.8577235772357723</v>
      </c>
      <c r="J10" s="5"/>
      <c r="K10" s="5"/>
      <c r="L10" s="5">
        <f>19/31.1</f>
        <v>0.61093247588424437</v>
      </c>
      <c r="M10" s="5"/>
      <c r="N10" s="6">
        <f>0.55/2.74</f>
        <v>0.20072992700729927</v>
      </c>
      <c r="O10" s="5">
        <f>1.534/0.942</f>
        <v>1.6284501061571126</v>
      </c>
      <c r="P10" s="5">
        <f>0.835/0.942</f>
        <v>0.886411889596603</v>
      </c>
      <c r="Q10" s="5"/>
      <c r="R10" s="5"/>
      <c r="S10" s="5"/>
      <c r="T10" s="5"/>
      <c r="U10" s="5">
        <f>5.7/35.7</f>
        <v>0.15966386554621848</v>
      </c>
      <c r="V10" s="5">
        <f>14/5.2</f>
        <v>2.6923076923076921</v>
      </c>
      <c r="W10" s="5"/>
      <c r="X10" s="5"/>
      <c r="Y10" s="5"/>
      <c r="Z10" s="5" t="s">
        <v>46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59</v>
      </c>
      <c r="B11" t="s">
        <v>60</v>
      </c>
      <c r="C11">
        <v>251.2</v>
      </c>
      <c r="D11">
        <v>249.2</v>
      </c>
      <c r="E11" s="5"/>
      <c r="F11" s="5"/>
      <c r="G11" s="5"/>
      <c r="H11" s="5">
        <f>74.9/127.1</f>
        <v>0.58929976396538164</v>
      </c>
      <c r="I11" s="5">
        <f>53.6/35</f>
        <v>1.5314285714285714</v>
      </c>
      <c r="J11" s="5">
        <f>40.6/53.6</f>
        <v>0.7574626865671642</v>
      </c>
      <c r="K11" s="5">
        <f>36.8/35</f>
        <v>1.0514285714285714</v>
      </c>
      <c r="L11" s="5"/>
      <c r="M11" s="5">
        <f>10.8/36.1</f>
        <v>0.29916897506925211</v>
      </c>
      <c r="N11" s="6">
        <f>1.02/3.01</f>
        <v>0.33887043189368776</v>
      </c>
      <c r="O11" s="5">
        <f>36.1/35</f>
        <v>1.0314285714285714</v>
      </c>
      <c r="P11" s="5">
        <f>18.4/35</f>
        <v>0.52571428571428569</v>
      </c>
      <c r="Q11" s="5" t="s">
        <v>46</v>
      </c>
      <c r="R11" s="5" t="s">
        <v>46</v>
      </c>
      <c r="S11" s="5">
        <f>5.6/7</f>
        <v>0.79999999999999993</v>
      </c>
      <c r="T11" s="5"/>
      <c r="U11" s="5"/>
      <c r="V11" s="5"/>
      <c r="W11" s="5"/>
      <c r="X11" s="5"/>
      <c r="Y11" s="5">
        <f>57.6/45.3</f>
        <v>1.2715231788079471</v>
      </c>
      <c r="Z11" s="5" t="s">
        <v>46</v>
      </c>
      <c r="AA11" s="5"/>
      <c r="AB11" s="5">
        <f>47.3/59.3</f>
        <v>0.79763912310286678</v>
      </c>
      <c r="AC11" s="5"/>
      <c r="AD11" s="5"/>
      <c r="AE11" s="5"/>
      <c r="AF11" s="5"/>
      <c r="AG11" s="5"/>
      <c r="AH11" s="5"/>
      <c r="AI11" s="5">
        <f>10.1/37.2</f>
        <v>0.271505376344086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3" t="s">
        <v>61</v>
      </c>
      <c r="B12" t="s">
        <v>62</v>
      </c>
      <c r="C12">
        <v>117</v>
      </c>
      <c r="D12">
        <v>113</v>
      </c>
      <c r="E12" s="4">
        <v>1226.5</v>
      </c>
      <c r="F12" s="4">
        <v>973.8</v>
      </c>
      <c r="G12" s="4">
        <f>288.8/1226.5</f>
        <v>0.23546677537708929</v>
      </c>
      <c r="H12" s="4">
        <f>94.9/93.6</f>
        <v>1.0138888888888891</v>
      </c>
      <c r="I12" s="4">
        <f>64.5/33.2</f>
        <v>1.9427710843373491</v>
      </c>
      <c r="J12" s="5">
        <f>19.3/56.9</f>
        <v>0.33919156414762741</v>
      </c>
      <c r="K12" s="5">
        <f>31.8/18.7</f>
        <v>1.7005347593582889</v>
      </c>
      <c r="L12" s="5">
        <f>25.3/64.5</f>
        <v>0.39224806201550388</v>
      </c>
      <c r="M12" s="5">
        <f>0.774/0.9</f>
        <v>0.86</v>
      </c>
      <c r="N12" s="6">
        <f>6.91/19.32</f>
        <v>0.35766045548654246</v>
      </c>
      <c r="O12" s="5">
        <f>0.9/0.756</f>
        <v>1.1904761904761905</v>
      </c>
      <c r="P12" s="5">
        <f>15.1/19.7</f>
        <v>0.76649746192893398</v>
      </c>
      <c r="Q12" s="5">
        <f>7.8/8.4</f>
        <v>0.92857142857142849</v>
      </c>
      <c r="R12" s="5">
        <f>8.4/14.6</f>
        <v>0.57534246575342474</v>
      </c>
      <c r="S12" s="5">
        <f>7.8/9.8</f>
        <v>0.79591836734693866</v>
      </c>
      <c r="T12" s="5">
        <f>31.6/39.9</f>
        <v>0.79197994987468678</v>
      </c>
      <c r="U12" s="5">
        <f>9.8/28.9</f>
        <v>0.33910034602076128</v>
      </c>
      <c r="V12" s="5">
        <f>25.4/19.7</f>
        <v>1.2893401015228425</v>
      </c>
      <c r="W12" s="5">
        <f>19.7/14.5</f>
        <v>1.3586206896551725</v>
      </c>
      <c r="X12" s="5">
        <f>13.8/8.3</f>
        <v>1.6626506024096386</v>
      </c>
      <c r="Y12" s="5">
        <f>56.6/37.6</f>
        <v>1.5053191489361701</v>
      </c>
      <c r="Z12" s="5" t="s">
        <v>46</v>
      </c>
      <c r="AA12" s="5"/>
      <c r="AB12" s="5"/>
      <c r="AC12" s="5">
        <f>18.7/36</f>
        <v>0.51944444444444438</v>
      </c>
      <c r="AD12" s="5">
        <f>36/112.5</f>
        <v>0.32</v>
      </c>
      <c r="AE12" s="5">
        <f>18.7/112.5</f>
        <v>0.16622222222222222</v>
      </c>
      <c r="AF12" s="5">
        <f>85.8/112.5</f>
        <v>0.7626666666666666</v>
      </c>
      <c r="AG12" s="5">
        <f>12.8/36</f>
        <v>0.35555555555555557</v>
      </c>
      <c r="AH12" s="5">
        <f>1.6/18.7</f>
        <v>8.5561497326203217E-2</v>
      </c>
      <c r="AI12" s="5">
        <f>16.8/85.8</f>
        <v>0.19580419580419581</v>
      </c>
      <c r="AJ12" s="5">
        <f>155.4/69.4</f>
        <v>2.239193083573487</v>
      </c>
      <c r="AK12" s="5"/>
      <c r="AL12" s="5"/>
      <c r="AM12" s="5">
        <f>360.7/973.8</f>
        <v>0.37040460053399055</v>
      </c>
      <c r="AN12" s="5">
        <f>37.3/80</f>
        <v>0.46624999999999994</v>
      </c>
      <c r="AO12" s="5">
        <f>624.2/973.8</f>
        <v>0.64099404395153015</v>
      </c>
      <c r="AP12" s="4">
        <f>3.76/6.823</f>
        <v>0.55107723875128234</v>
      </c>
      <c r="AQ12" s="4">
        <f>4.911/6.823</f>
        <v>0.71977136157115629</v>
      </c>
      <c r="AR12" s="4">
        <f>375.9/851.1</f>
        <v>0.44166372929150505</v>
      </c>
      <c r="AS12" s="4">
        <f>260.8/375.9</f>
        <v>0.69380154296355423</v>
      </c>
    </row>
    <row r="13" spans="1:45" x14ac:dyDescent="0.2">
      <c r="A13" s="3" t="s">
        <v>63</v>
      </c>
      <c r="B13" t="s">
        <v>64</v>
      </c>
      <c r="C13">
        <v>100.5</v>
      </c>
      <c r="D13">
        <v>96.1</v>
      </c>
      <c r="E13" s="4"/>
      <c r="F13" s="4"/>
      <c r="G13" s="4"/>
      <c r="H13" s="4"/>
      <c r="I13" s="4">
        <f>197.5/79.8</f>
        <v>2.4749373433583961</v>
      </c>
      <c r="J13" s="5">
        <f>76/197.5</f>
        <v>0.38481012658227848</v>
      </c>
      <c r="K13" s="5">
        <f>90.4/79.8</f>
        <v>1.1328320802005014</v>
      </c>
      <c r="L13" s="5"/>
      <c r="M13" s="5">
        <f>38.8/89.7</f>
        <v>0.43255295429208468</v>
      </c>
      <c r="N13" s="6">
        <f>3.79/9.23</f>
        <v>0.41061755146262185</v>
      </c>
      <c r="O13" s="5">
        <f>89.7/79.8</f>
        <v>1.12406015037594</v>
      </c>
      <c r="P13" s="5">
        <f>29.6/79.8</f>
        <v>0.37092731829573938</v>
      </c>
      <c r="Q13" s="5"/>
      <c r="R13" s="5"/>
      <c r="S13" s="5"/>
      <c r="T13" s="5"/>
      <c r="U13" s="5"/>
      <c r="V13" s="5"/>
      <c r="W13" s="5"/>
      <c r="X13" s="5"/>
      <c r="Y13" s="5">
        <f>129.1/75.2</f>
        <v>1.716755319148936</v>
      </c>
      <c r="Z13" s="5"/>
      <c r="AA13" s="5"/>
      <c r="AB13" s="5">
        <f>149.6/266.6</f>
        <v>0.56114028507126779</v>
      </c>
      <c r="AC13" s="5"/>
      <c r="AD13" s="5">
        <f>95.9/252.9</f>
        <v>0.37920126532226178</v>
      </c>
      <c r="AE13" s="5"/>
      <c r="AF13" s="5">
        <f>178.5/252.9</f>
        <v>0.70581257413997622</v>
      </c>
      <c r="AG13" s="5">
        <f>28.8/95.9</f>
        <v>0.30031282586027108</v>
      </c>
      <c r="AH13" s="5"/>
      <c r="AI13" s="5">
        <f>51.7/178.5</f>
        <v>0.28963585434173672</v>
      </c>
      <c r="AJ13" s="5"/>
      <c r="AK13" s="5"/>
      <c r="AL13" s="5"/>
      <c r="AM13" s="5"/>
      <c r="AN13" s="5"/>
      <c r="AO13" s="5"/>
      <c r="AP13" s="4"/>
      <c r="AQ13" s="4"/>
      <c r="AR13" s="4"/>
      <c r="AS13" s="4"/>
    </row>
    <row r="14" spans="1:45" x14ac:dyDescent="0.2">
      <c r="A14" s="3" t="s">
        <v>65</v>
      </c>
      <c r="B14" t="s">
        <v>62</v>
      </c>
      <c r="C14">
        <v>108.83333330000001</v>
      </c>
      <c r="D14">
        <v>100.5</v>
      </c>
      <c r="E14" s="4"/>
      <c r="F14" s="4"/>
      <c r="G14" s="4"/>
      <c r="H14" s="4"/>
      <c r="I14" s="4">
        <f>103.6/37.9</f>
        <v>2.7335092348284959</v>
      </c>
      <c r="J14" s="4">
        <f>40.3/103.6</f>
        <v>0.388996138996139</v>
      </c>
      <c r="K14" s="5">
        <f>106.1/37.9</f>
        <v>2.7994722955145117</v>
      </c>
      <c r="L14" s="5"/>
      <c r="M14" s="5">
        <f>16.8/37.9</f>
        <v>0.44327176781002642</v>
      </c>
      <c r="N14" s="6">
        <f>2.86/7.95</f>
        <v>0.35974842767295595</v>
      </c>
      <c r="O14" s="5">
        <f>37.9/37.9</f>
        <v>1</v>
      </c>
      <c r="P14" s="5">
        <f>53.1/37.9</f>
        <v>1.4010554089709764</v>
      </c>
      <c r="Q14" s="5">
        <f>19.2/19.4</f>
        <v>0.98969072164948457</v>
      </c>
      <c r="R14" s="5">
        <f>19.4/37</f>
        <v>0.5243243243243243</v>
      </c>
      <c r="S14" s="5">
        <f>19.2/29.9</f>
        <v>0.64214046822742477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>29.7/156.4</f>
        <v>0.18989769820971866</v>
      </c>
      <c r="AJ14" s="5"/>
      <c r="AK14" s="5"/>
      <c r="AL14" s="5"/>
      <c r="AM14" s="5"/>
      <c r="AN14" s="5"/>
      <c r="AO14" s="5"/>
      <c r="AP14" s="5"/>
      <c r="AQ14" s="5"/>
      <c r="AR14" s="5"/>
      <c r="AS14" s="4"/>
    </row>
    <row r="15" spans="1:45" x14ac:dyDescent="0.2">
      <c r="A15" s="3" t="s">
        <v>66</v>
      </c>
      <c r="B15" t="s">
        <v>64</v>
      </c>
      <c r="C15">
        <v>83.6</v>
      </c>
      <c r="D15">
        <v>79.766666670000006</v>
      </c>
      <c r="E15" s="5"/>
      <c r="F15" s="5"/>
      <c r="G15" s="5"/>
      <c r="H15" s="6">
        <f>12.52/17.98</f>
        <v>0.69632925472747498</v>
      </c>
      <c r="I15" s="6">
        <f>10.42/6.26</f>
        <v>1.6645367412140575</v>
      </c>
      <c r="J15" s="6">
        <f>3.2/10.17</f>
        <v>0.3146509341199607</v>
      </c>
      <c r="K15" s="6">
        <f>9.4/4.54</f>
        <v>2.0704845814977975</v>
      </c>
      <c r="L15" s="6"/>
      <c r="M15" s="6">
        <f>3.52/2.62</f>
        <v>1.3435114503816794</v>
      </c>
      <c r="N15" s="6">
        <f>1.08/2.44</f>
        <v>0.44262295081967218</v>
      </c>
      <c r="O15" s="6">
        <f>2.62/2.82</f>
        <v>0.92907801418439728</v>
      </c>
      <c r="P15" s="6">
        <f>3.45/2.82</f>
        <v>1.2234042553191491</v>
      </c>
      <c r="Q15" s="6"/>
      <c r="R15" s="6"/>
      <c r="S15" s="6">
        <f>1.98/2.62</f>
        <v>0.75572519083969458</v>
      </c>
      <c r="T15" s="5"/>
      <c r="U15" s="5">
        <f>0.112/0.576</f>
        <v>0.19444444444444448</v>
      </c>
      <c r="V15" s="5"/>
      <c r="W15" s="10">
        <f>14.7/13.7</f>
        <v>1.0729927007299269</v>
      </c>
      <c r="X15" s="10">
        <f>31.05/17.94</f>
        <v>1.7307692307692306</v>
      </c>
      <c r="Y15" s="5"/>
      <c r="Z15" s="5"/>
      <c r="AA15" s="5"/>
      <c r="AB15" s="5"/>
      <c r="AC15" s="5">
        <f>0.335/0.345</f>
        <v>0.97101449275362328</v>
      </c>
      <c r="AD15" s="6">
        <f>16.8/57.06</f>
        <v>0.29442691903259727</v>
      </c>
      <c r="AE15" s="5">
        <f>0.309/1.084</f>
        <v>0.2850553505535055</v>
      </c>
      <c r="AF15" s="6">
        <f>42.8/57.06</f>
        <v>0.75008762705923582</v>
      </c>
      <c r="AG15" s="6">
        <f>6.22/16.8</f>
        <v>0.3702380952380952</v>
      </c>
      <c r="AH15" s="5">
        <f>0.025/0.309</f>
        <v>8.0906148867313926E-2</v>
      </c>
      <c r="AI15" s="6">
        <f>11.79/42.8</f>
        <v>0.27546728971962614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3" t="s">
        <v>67</v>
      </c>
      <c r="B16" t="s">
        <v>60</v>
      </c>
      <c r="C16">
        <v>251.2</v>
      </c>
      <c r="D16">
        <v>249.8666667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3" t="s">
        <v>68</v>
      </c>
      <c r="B17" t="s">
        <v>56</v>
      </c>
      <c r="C17">
        <v>330.9</v>
      </c>
      <c r="D17">
        <v>323.2</v>
      </c>
      <c r="E17" s="4">
        <v>234.7</v>
      </c>
      <c r="F17" s="4">
        <v>210.6</v>
      </c>
      <c r="G17" s="4">
        <f>44.7/234.7</f>
        <v>0.19045590115040478</v>
      </c>
      <c r="H17" s="4">
        <f>33.4/44.7</f>
        <v>0.74720357941834448</v>
      </c>
      <c r="I17" s="4">
        <f>94.9/79.1</f>
        <v>1.1997471554993679</v>
      </c>
      <c r="J17" s="4">
        <f>61.4/94.9</f>
        <v>0.64699683877766068</v>
      </c>
      <c r="K17" s="4">
        <f>54.7/79.1</f>
        <v>0.6915297092288244</v>
      </c>
      <c r="L17" s="4">
        <f>13.8/21.1</f>
        <v>0.65402843601895733</v>
      </c>
      <c r="M17" s="4">
        <f>12.5/36.5</f>
        <v>0.34246575342465752</v>
      </c>
      <c r="N17" s="6">
        <f>0.276/0.641</f>
        <v>0.4305772230889236</v>
      </c>
      <c r="O17" s="4">
        <f>36.5/79.1</f>
        <v>0.46144121365360308</v>
      </c>
      <c r="P17" s="4">
        <f>25.4/79.1</f>
        <v>0.32111251580278127</v>
      </c>
      <c r="Q17" s="4">
        <f>17.8/27.2</f>
        <v>0.65441176470588236</v>
      </c>
      <c r="R17" s="4">
        <f>27.2/12.5</f>
        <v>2.1760000000000002</v>
      </c>
      <c r="S17" s="4">
        <f>17.8/12</f>
        <v>1.4833333333333334</v>
      </c>
      <c r="T17" s="4">
        <f>6.9/13.9</f>
        <v>0.49640287769784175</v>
      </c>
      <c r="U17" s="4">
        <f>1.1/14.4</f>
        <v>7.6388888888888895E-2</v>
      </c>
      <c r="V17" s="4">
        <f>7.7/6.6</f>
        <v>1.1666666666666667</v>
      </c>
      <c r="W17" s="4">
        <f>9.8/12.5</f>
        <v>0.78400000000000003</v>
      </c>
      <c r="X17" s="11">
        <f>7/10</f>
        <v>0.7</v>
      </c>
      <c r="Y17" s="4">
        <f>20.3/15.8</f>
        <v>1.2848101265822784</v>
      </c>
      <c r="Z17" s="4">
        <f>7.5/4.8</f>
        <v>1.5625</v>
      </c>
      <c r="AA17" s="4">
        <f>47/4.3</f>
        <v>10.930232558139535</v>
      </c>
      <c r="AB17" s="4"/>
      <c r="AC17" s="4">
        <f>12/14.2</f>
        <v>0.84507042253521136</v>
      </c>
      <c r="AD17" s="4">
        <f>14.2/33.1</f>
        <v>0.42900302114803623</v>
      </c>
      <c r="AE17" s="12">
        <f>12/33.1</f>
        <v>0.36253776435045315</v>
      </c>
      <c r="AF17" s="4">
        <f>23.3/33.1</f>
        <v>0.70392749244712993</v>
      </c>
      <c r="AG17" s="4">
        <f>2.8/14.2</f>
        <v>0.19718309859154928</v>
      </c>
      <c r="AH17" s="4">
        <f>2.3/12</f>
        <v>0.19166666666666665</v>
      </c>
      <c r="AI17" s="4">
        <f>7.1/23.3</f>
        <v>0.30472103004291845</v>
      </c>
      <c r="AJ17" s="4">
        <f>17.1/10.6</f>
        <v>1.6132075471698115</v>
      </c>
      <c r="AK17" s="5">
        <f>17/47.5</f>
        <v>0.35789473684210527</v>
      </c>
      <c r="AL17" s="5">
        <f>11.5/15.3</f>
        <v>0.75163398692810457</v>
      </c>
      <c r="AM17" s="5">
        <f>77.5/210.6</f>
        <v>0.3679962013295347</v>
      </c>
      <c r="AN17" s="5">
        <f>8.9/11.7</f>
        <v>0.76068376068376076</v>
      </c>
      <c r="AO17" s="5">
        <f>124.7/210.6</f>
        <v>0.59211775878442552</v>
      </c>
      <c r="AP17" s="5">
        <f>96.7/210.6</f>
        <v>0.45916429249762586</v>
      </c>
      <c r="AQ17" s="5">
        <f>125.6/210.6</f>
        <v>0.59639126305792967</v>
      </c>
      <c r="AR17" s="5">
        <f>74.4/160.3</f>
        <v>0.4641297567061759</v>
      </c>
      <c r="AS17" s="5">
        <f>25/74.4</f>
        <v>0.33602150537634407</v>
      </c>
    </row>
    <row r="18" spans="1:45" x14ac:dyDescent="0.2">
      <c r="A18" s="7" t="s">
        <v>69</v>
      </c>
      <c r="B18" t="s">
        <v>70</v>
      </c>
      <c r="C18">
        <v>254.14</v>
      </c>
      <c r="D18">
        <v>252.28</v>
      </c>
      <c r="E18" s="4">
        <v>336.7</v>
      </c>
      <c r="F18" s="4">
        <v>301.8</v>
      </c>
      <c r="G18" s="4">
        <f>51/336.7</f>
        <v>0.15147015147015147</v>
      </c>
      <c r="H18" s="4">
        <f>55.9/51</f>
        <v>1.0960784313725489</v>
      </c>
      <c r="I18" s="4"/>
      <c r="J18" s="4"/>
      <c r="K18" s="4"/>
      <c r="L18" s="4"/>
      <c r="M18" s="4"/>
      <c r="N18" s="4"/>
      <c r="O18" s="4"/>
      <c r="P18" s="4"/>
      <c r="Q18" s="4" t="s">
        <v>46</v>
      </c>
      <c r="R18" s="4" t="s">
        <v>46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>
        <f>37/66.4</f>
        <v>0.55722891566265054</v>
      </c>
      <c r="AL18" s="5">
        <f>34.1/37</f>
        <v>0.92162162162162165</v>
      </c>
      <c r="AM18" s="6">
        <f>11.45/32.32</f>
        <v>0.35426980198019797</v>
      </c>
      <c r="AN18" s="5">
        <f>12.4/24</f>
        <v>0.51666666666666672</v>
      </c>
      <c r="AO18" s="5">
        <f>176/301.8</f>
        <v>0.58316766070245196</v>
      </c>
      <c r="AP18" s="5">
        <f>145.3/301.8</f>
        <v>0.48144466534128566</v>
      </c>
      <c r="AQ18" s="5">
        <f>195.1/301.8</f>
        <v>0.64645460569913848</v>
      </c>
      <c r="AR18" s="5">
        <f>85.9/250.8</f>
        <v>0.34250398724082937</v>
      </c>
      <c r="AS18" s="5">
        <f>34.9/85.9</f>
        <v>0.40628637951105934</v>
      </c>
    </row>
    <row r="19" spans="1:45" x14ac:dyDescent="0.2">
      <c r="A19" s="7" t="s">
        <v>71</v>
      </c>
      <c r="B19" t="s">
        <v>70</v>
      </c>
      <c r="C19">
        <v>254.14</v>
      </c>
      <c r="D19">
        <v>252.28</v>
      </c>
      <c r="E19" s="4">
        <v>470</v>
      </c>
      <c r="F19" s="4"/>
      <c r="G19" s="4"/>
      <c r="H19" s="4">
        <f>0.967/1.286</f>
        <v>0.75194401244167963</v>
      </c>
      <c r="I19" s="4"/>
      <c r="J19" s="4"/>
      <c r="K19" s="4"/>
      <c r="L19" s="4"/>
      <c r="M19" s="4"/>
      <c r="N19" s="4"/>
      <c r="O19" s="4"/>
      <c r="P19" s="4"/>
      <c r="Q19" s="4" t="s">
        <v>46</v>
      </c>
      <c r="R19" s="4" t="s">
        <v>46</v>
      </c>
      <c r="S19" s="4"/>
      <c r="T19" s="4"/>
      <c r="U19" s="4"/>
      <c r="V19" s="4"/>
      <c r="W19" s="4"/>
      <c r="X19" s="4"/>
      <c r="Y19" s="6">
        <f>43.92/48.16</f>
        <v>0.91196013289036559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f>0.358/2.295</f>
        <v>0.1559912854030501</v>
      </c>
      <c r="AJ19" s="6">
        <f>66.64/34.56</f>
        <v>1.9282407407407407</v>
      </c>
      <c r="AK19" s="4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72</v>
      </c>
      <c r="B20" t="s">
        <v>73</v>
      </c>
      <c r="C20">
        <v>251.2</v>
      </c>
      <c r="D20">
        <v>247.2</v>
      </c>
      <c r="E20" s="4">
        <v>140</v>
      </c>
      <c r="F20" s="4">
        <v>102</v>
      </c>
      <c r="G20" s="10">
        <f>24.47/104.28</f>
        <v>0.234656693517453</v>
      </c>
      <c r="H20" s="10">
        <f>23.15/24.47</f>
        <v>0.9460563955864324</v>
      </c>
      <c r="I20" s="4"/>
      <c r="J20" s="4"/>
      <c r="K20" s="4"/>
      <c r="L20" s="4"/>
      <c r="M20" s="4"/>
      <c r="N20" s="4"/>
      <c r="O20" s="4"/>
      <c r="P20" s="4">
        <f>0.564/1.078</f>
        <v>0.52319109461966595</v>
      </c>
      <c r="Q20" s="4"/>
      <c r="R20" s="4"/>
      <c r="S20" s="4"/>
      <c r="T20" s="4"/>
      <c r="U20" s="4"/>
      <c r="V20" s="4">
        <f>0.428/0.792</f>
        <v>0.54040404040404033</v>
      </c>
      <c r="W20" s="4"/>
      <c r="X20" s="4"/>
      <c r="Y20" s="10">
        <f>12.99/11.81</f>
        <v>1.0999153259949195</v>
      </c>
      <c r="Z20" s="4" t="s">
        <v>46</v>
      </c>
      <c r="AA20" s="4"/>
      <c r="AB20" s="4"/>
      <c r="AC20" s="4"/>
      <c r="AD20" s="4"/>
      <c r="AE20" s="4"/>
      <c r="AF20" s="4"/>
      <c r="AG20" s="4"/>
      <c r="AH20" s="4"/>
      <c r="AI20" s="4"/>
      <c r="AJ20" s="4">
        <f>2/0.8</f>
        <v>2.5</v>
      </c>
      <c r="AK20" s="4">
        <f>0.4/2.3</f>
        <v>0.17391304347826089</v>
      </c>
      <c r="AL20" s="4">
        <f>0.229/0.318</f>
        <v>0.72012578616352207</v>
      </c>
      <c r="AM20" s="13">
        <f>11.7/31.89</f>
        <v>0.36688617121354655</v>
      </c>
      <c r="AN20" s="10">
        <f>0.101/0.219</f>
        <v>0.46118721461187218</v>
      </c>
      <c r="AO20" s="10">
        <f>63.95/102</f>
        <v>0.62696078431372548</v>
      </c>
      <c r="AP20" s="10">
        <f>44.88/102</f>
        <v>0.44</v>
      </c>
      <c r="AQ20" s="10">
        <f>66.31/102</f>
        <v>0.65009803921568632</v>
      </c>
      <c r="AR20" s="10">
        <f>29.36/74.92</f>
        <v>0.39188467698878804</v>
      </c>
      <c r="AS20" s="4">
        <f>1.1/3.9</f>
        <v>0.2820512820512821</v>
      </c>
    </row>
    <row r="21" spans="1:45" x14ac:dyDescent="0.2">
      <c r="A21" s="3" t="s">
        <v>74</v>
      </c>
      <c r="B21" t="s">
        <v>75</v>
      </c>
      <c r="C21">
        <v>237</v>
      </c>
      <c r="D21">
        <v>227</v>
      </c>
      <c r="E21" s="4"/>
      <c r="F21" s="4">
        <v>664.4</v>
      </c>
      <c r="G21" s="4">
        <f>213.8/664.4</f>
        <v>0.32179409993979535</v>
      </c>
      <c r="H21" s="4">
        <f>127.1/219.4</f>
        <v>0.57930720145852321</v>
      </c>
      <c r="I21" s="4">
        <f>129.3/39.2</f>
        <v>3.2984693877551021</v>
      </c>
      <c r="J21" s="4">
        <f>46.6/129.3</f>
        <v>0.36040216550657383</v>
      </c>
      <c r="K21" s="4">
        <f>65.8/39.2</f>
        <v>1.6785714285714284</v>
      </c>
      <c r="L21" s="4">
        <f>45.8/129.3</f>
        <v>0.35421500386697596</v>
      </c>
      <c r="M21" s="4">
        <f>23/31</f>
        <v>0.74193548387096775</v>
      </c>
      <c r="N21" s="6">
        <f>11.92/43.75</f>
        <v>0.27245714285714284</v>
      </c>
      <c r="O21" s="4">
        <f>31/39.2</f>
        <v>0.79081632653061218</v>
      </c>
      <c r="P21" s="4">
        <f>65.8/39.2</f>
        <v>1.6785714285714284</v>
      </c>
      <c r="Q21" s="4" t="s">
        <v>46</v>
      </c>
      <c r="R21" s="4" t="s">
        <v>46</v>
      </c>
      <c r="S21" s="4">
        <f>14.3/14.3</f>
        <v>1</v>
      </c>
      <c r="T21" s="4">
        <f>69.5/43.6</f>
        <v>1.5940366972477065</v>
      </c>
      <c r="U21" s="4">
        <f>15.2/86.4</f>
        <v>0.1759259259259259</v>
      </c>
      <c r="V21" s="4">
        <f>38.4/34</f>
        <v>1.1294117647058823</v>
      </c>
      <c r="W21" s="4">
        <f>36.2/27.3</f>
        <v>1.3260073260073262</v>
      </c>
      <c r="X21" s="4">
        <f>22.8/31</f>
        <v>0.73548387096774193</v>
      </c>
      <c r="Y21" s="4">
        <f>81.9/66.1</f>
        <v>1.2390317700453859</v>
      </c>
      <c r="Z21" s="4" t="s">
        <v>46</v>
      </c>
      <c r="AA21" s="4"/>
      <c r="AB21" s="4"/>
      <c r="AC21" s="4">
        <f>59.1/61.3</f>
        <v>0.96411092985318114</v>
      </c>
      <c r="AD21" s="4">
        <f>61.3/150.7</f>
        <v>0.40676841406768416</v>
      </c>
      <c r="AE21" s="4">
        <f>59.1/150.7</f>
        <v>0.39216987392169878</v>
      </c>
      <c r="AF21" s="4">
        <f>112/150.7</f>
        <v>0.74319840743198418</v>
      </c>
      <c r="AG21" s="4">
        <f>7.4/61.3</f>
        <v>0.12071778140293639</v>
      </c>
      <c r="AH21" s="4">
        <f>8.4/59.1</f>
        <v>0.14213197969543148</v>
      </c>
      <c r="AI21" s="4">
        <f>25.3/112</f>
        <v>0.22589285714285715</v>
      </c>
      <c r="AJ21" s="4"/>
      <c r="AK21" s="4"/>
      <c r="AL21" s="4"/>
      <c r="AM21" s="4"/>
      <c r="AN21" s="4"/>
      <c r="AO21" s="4">
        <f>7.167/9.351</f>
        <v>0.76644209175489242</v>
      </c>
      <c r="AP21" s="4">
        <f>5.241/9.351</f>
        <v>0.56047481552775091</v>
      </c>
      <c r="AQ21" s="4">
        <f>7.279/9.351</f>
        <v>0.77841942038284673</v>
      </c>
      <c r="AR21" s="4">
        <f>129/535.4</f>
        <v>0.24094135225999255</v>
      </c>
      <c r="AS21" s="4"/>
    </row>
    <row r="22" spans="1:45" x14ac:dyDescent="0.2">
      <c r="A22" s="3" t="s">
        <v>76</v>
      </c>
      <c r="B22" t="s">
        <v>77</v>
      </c>
      <c r="C22">
        <v>153.83333329999999</v>
      </c>
      <c r="D22">
        <v>149.7333333</v>
      </c>
      <c r="E22" s="4">
        <v>340.9</v>
      </c>
      <c r="F22" s="4">
        <v>320</v>
      </c>
      <c r="G22" s="4"/>
      <c r="H22" s="4">
        <f>42.9/44.1</f>
        <v>0.97278911564625847</v>
      </c>
      <c r="I22" s="4">
        <f>22.1/14.2</f>
        <v>1.5563380281690142</v>
      </c>
      <c r="J22" s="4"/>
      <c r="K22" s="4"/>
      <c r="L22" s="4">
        <f>9.8/22.1</f>
        <v>0.4434389140271493</v>
      </c>
      <c r="M22" s="4" t="s">
        <v>46</v>
      </c>
      <c r="N22" s="4"/>
      <c r="O22" s="4"/>
      <c r="P22" s="4">
        <f>0.689/1.824</f>
        <v>0.37774122807017541</v>
      </c>
      <c r="Q22" s="4">
        <f>0.38/0.344</f>
        <v>1.1046511627906979</v>
      </c>
      <c r="R22" s="4">
        <f>0.349/0.391</f>
        <v>0.89258312020460351</v>
      </c>
      <c r="S22" s="4">
        <f>0.375/0.386</f>
        <v>0.97150259067357514</v>
      </c>
      <c r="T22" s="4">
        <f>10.3/9.8</f>
        <v>1.0510204081632653</v>
      </c>
      <c r="U22" s="4">
        <f>1.5/13.8</f>
        <v>0.10869565217391304</v>
      </c>
      <c r="V22" s="4">
        <f>7.6/5.8</f>
        <v>1.3103448275862069</v>
      </c>
      <c r="W22" s="4">
        <f>8.8/6.8</f>
        <v>1.2941176470588236</v>
      </c>
      <c r="X22" s="4">
        <f>0.473/0.208</f>
        <v>2.2740384615384617</v>
      </c>
      <c r="Y22" s="4">
        <f>19.2/10.9</f>
        <v>1.7614678899082568</v>
      </c>
      <c r="Z22" s="4" t="s">
        <v>46</v>
      </c>
      <c r="AA22" s="4"/>
      <c r="AB22" s="4"/>
      <c r="AC22" s="4">
        <f>11.2/12.9</f>
        <v>0.86821705426356577</v>
      </c>
      <c r="AD22" s="4">
        <f>12.9/37.3</f>
        <v>0.34584450402144773</v>
      </c>
      <c r="AE22" s="4">
        <f>11.2/37.3</f>
        <v>0.30026809651474529</v>
      </c>
      <c r="AF22" s="4">
        <f>24/37.3</f>
        <v>0.64343163538874004</v>
      </c>
      <c r="AG22" s="4">
        <f>2.8/12.9</f>
        <v>0.21705426356589144</v>
      </c>
      <c r="AH22" s="4">
        <f>3.1/11.2</f>
        <v>0.2767857142857143</v>
      </c>
      <c r="AI22" s="4">
        <f>6.3/24</f>
        <v>0.26250000000000001</v>
      </c>
      <c r="AJ22" s="4">
        <f>2.525/1.075</f>
        <v>2.3488372093023258</v>
      </c>
      <c r="AK22" s="4">
        <f>0.51/1.142</f>
        <v>0.44658493870402804</v>
      </c>
      <c r="AL22" s="6">
        <f>135.62/46.72</f>
        <v>2.9028253424657535</v>
      </c>
      <c r="AM22" s="4">
        <f>114.8/320</f>
        <v>0.35875000000000001</v>
      </c>
      <c r="AN22" s="4"/>
      <c r="AO22" s="4">
        <f>196.7/320</f>
        <v>0.61468749999999994</v>
      </c>
      <c r="AP22" s="4">
        <f>95.8/320</f>
        <v>0.299375</v>
      </c>
      <c r="AQ22" s="4">
        <f>188.1/320</f>
        <v>0.58781249999999996</v>
      </c>
      <c r="AR22" s="6">
        <f>221.14/492.02</f>
        <v>0.44945327425714399</v>
      </c>
      <c r="AS22" s="6">
        <f>78.68/221.14</f>
        <v>0.35579271050013572</v>
      </c>
    </row>
    <row r="23" spans="1:45" x14ac:dyDescent="0.2">
      <c r="A23" s="3" t="s">
        <v>78</v>
      </c>
      <c r="B23" t="s">
        <v>70</v>
      </c>
      <c r="C23">
        <v>272.95</v>
      </c>
      <c r="D23">
        <v>259.10000000000002</v>
      </c>
      <c r="E23" s="4">
        <v>411.4</v>
      </c>
      <c r="F23" s="4">
        <v>369.4</v>
      </c>
      <c r="G23" s="4">
        <f>81.9/411.4</f>
        <v>0.19907632474477396</v>
      </c>
      <c r="H23" s="4">
        <f>67.9/81.9</f>
        <v>0.82905982905982911</v>
      </c>
      <c r="I23" s="4">
        <f>46.4/34.3</f>
        <v>1.3527696793002917</v>
      </c>
      <c r="J23" s="4">
        <f>47/123.2</f>
        <v>0.3814935064935065</v>
      </c>
      <c r="K23" s="4">
        <f>79.5/99.1</f>
        <v>0.80221997981836535</v>
      </c>
      <c r="L23" s="4">
        <f>9.9/46.4</f>
        <v>0.21336206896551727</v>
      </c>
      <c r="M23" s="4">
        <f>16.9/52.1</f>
        <v>0.3243761996161228</v>
      </c>
      <c r="N23" s="6">
        <f>13.73/66.04</f>
        <v>0.20790430042398544</v>
      </c>
      <c r="O23" s="4">
        <f>52.1/99.1</f>
        <v>0.525731584258325</v>
      </c>
      <c r="P23" s="4">
        <f>38.5/99.1</f>
        <v>0.38849646821392536</v>
      </c>
      <c r="Q23" s="4">
        <f>9.8/13.7</f>
        <v>0.7153284671532848</v>
      </c>
      <c r="R23" s="4">
        <f>13.7/10.4</f>
        <v>1.3173076923076923</v>
      </c>
      <c r="S23" s="4">
        <f>9.8/9.8</f>
        <v>1</v>
      </c>
      <c r="T23" s="4">
        <f>82.8/97.8</f>
        <v>0.84662576687116564</v>
      </c>
      <c r="U23" s="4">
        <f>14.9/115.4</f>
        <v>0.1291161178509532</v>
      </c>
      <c r="V23" s="4">
        <f>24.8/24.1</f>
        <v>1.0290456431535269</v>
      </c>
      <c r="W23" s="4">
        <f>0.376/1.021</f>
        <v>0.36826640548481882</v>
      </c>
      <c r="X23" s="4">
        <f>0.885/0.188</f>
        <v>4.707446808510638</v>
      </c>
      <c r="Y23" s="4">
        <f>37.1/25.2</f>
        <v>1.4722222222222223</v>
      </c>
      <c r="Z23" s="4" t="s">
        <v>46</v>
      </c>
      <c r="AA23" s="4">
        <f>3.5/0.6</f>
        <v>5.8333333333333339</v>
      </c>
      <c r="AB23" s="4"/>
      <c r="AC23" s="4">
        <f>60/66</f>
        <v>0.90909090909090906</v>
      </c>
      <c r="AD23" s="4">
        <f>66/196.9</f>
        <v>0.33519553072625696</v>
      </c>
      <c r="AE23" s="4">
        <f>60/196.9</f>
        <v>0.3047232097511427</v>
      </c>
      <c r="AF23" s="4">
        <f>41.2/61.6</f>
        <v>0.66883116883116889</v>
      </c>
      <c r="AG23" s="4">
        <f>6.8/66</f>
        <v>0.10303030303030303</v>
      </c>
      <c r="AH23" s="4">
        <f>8.5/60</f>
        <v>0.14166666666666666</v>
      </c>
      <c r="AI23" s="4">
        <f>15.2/41.2</f>
        <v>0.3689320388349514</v>
      </c>
      <c r="AJ23" s="4">
        <f>2.164/1.254</f>
        <v>1.725677830940989</v>
      </c>
      <c r="AK23" s="4">
        <f>21.4/75.6</f>
        <v>0.28306878306878308</v>
      </c>
      <c r="AL23" s="4">
        <f>0.472/0.513</f>
        <v>0.92007797270955161</v>
      </c>
      <c r="AM23" s="4">
        <f>134.1/369.4</f>
        <v>0.36302111532214404</v>
      </c>
      <c r="AN23" s="4">
        <f>17.7/28</f>
        <v>0.63214285714285712</v>
      </c>
      <c r="AO23" s="4">
        <f>246.5/369.4</f>
        <v>0.66729832160259883</v>
      </c>
      <c r="AP23" s="4">
        <f>174.7/369.4</f>
        <v>0.47292907417433677</v>
      </c>
      <c r="AQ23" s="4">
        <f>245.5/369.4</f>
        <v>0.66459122902003254</v>
      </c>
      <c r="AR23" s="4">
        <f>106.8/304.6</f>
        <v>0.35062376887721597</v>
      </c>
      <c r="AS23" s="4">
        <f>41.7/106.8</f>
        <v>0.3904494382022472</v>
      </c>
    </row>
    <row r="24" spans="1:45" ht="16" x14ac:dyDescent="0.2">
      <c r="A24" s="14" t="s">
        <v>79</v>
      </c>
      <c r="B24" t="s">
        <v>45</v>
      </c>
      <c r="C24">
        <v>382.7</v>
      </c>
      <c r="D24">
        <v>379.2</v>
      </c>
      <c r="E24" s="4"/>
      <c r="F24" s="4">
        <v>130</v>
      </c>
      <c r="G24" s="4"/>
      <c r="H24" s="4">
        <f>81.8/124</f>
        <v>0.6596774193548387</v>
      </c>
      <c r="I24" s="4">
        <f>56.3/50</f>
        <v>1.1259999999999999</v>
      </c>
      <c r="J24" s="4"/>
      <c r="K24" s="4"/>
      <c r="L24" s="4">
        <f>18.9/56.3</f>
        <v>0.33570159857904086</v>
      </c>
      <c r="M24" s="4"/>
      <c r="N24" s="4"/>
      <c r="O24" s="4"/>
      <c r="P24" s="4">
        <f>0.74/1.396</f>
        <v>0.53008595988538687</v>
      </c>
      <c r="Q24" s="4"/>
      <c r="R24" s="4"/>
      <c r="S24" s="4">
        <f>0.511/0.469</f>
        <v>1.0895522388059702</v>
      </c>
      <c r="T24" s="4">
        <f>36.5/30.8</f>
        <v>1.1850649350649349</v>
      </c>
      <c r="U24" s="4"/>
      <c r="V24" s="4">
        <f>18.6/13</f>
        <v>1.4307692307692308</v>
      </c>
      <c r="W24" s="4">
        <f>24.6/18.4</f>
        <v>1.3369565217391306</v>
      </c>
      <c r="X24" s="4">
        <f>39.1/31.9</f>
        <v>1.2257053291536051</v>
      </c>
      <c r="Y24" s="4">
        <f>57/40.9</f>
        <v>1.3936430317848412</v>
      </c>
      <c r="Z24" s="4">
        <f>31.1/17.6</f>
        <v>1.7670454545454546</v>
      </c>
      <c r="AA24" s="4"/>
      <c r="AB24" s="4"/>
      <c r="AC24" s="4">
        <f>20.1/25.5</f>
        <v>0.78823529411764715</v>
      </c>
      <c r="AD24" s="4">
        <f>25.5/80.8</f>
        <v>0.3155940594059406</v>
      </c>
      <c r="AE24" s="4">
        <f>20.1/80.8</f>
        <v>0.24876237623762379</v>
      </c>
      <c r="AF24" s="4">
        <f>69.2/80.8</f>
        <v>0.85643564356435653</v>
      </c>
      <c r="AG24" s="4">
        <f>4.6/25.5</f>
        <v>0.1803921568627451</v>
      </c>
      <c r="AH24" s="4">
        <f>5.3/20.1</f>
        <v>0.26368159203980096</v>
      </c>
      <c r="AI24" s="4">
        <f>13.7/69.2</f>
        <v>0.19797687861271673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3" t="s">
        <v>80</v>
      </c>
      <c r="B25" t="s">
        <v>45</v>
      </c>
      <c r="C25">
        <v>375.7</v>
      </c>
      <c r="D25">
        <v>372.2</v>
      </c>
      <c r="E25" s="4"/>
      <c r="F25" s="4"/>
      <c r="G25" s="4"/>
      <c r="H25" s="4">
        <f>19.4/37.1</f>
        <v>0.52291105121293791</v>
      </c>
      <c r="I25" s="4">
        <f>17.6/12.1</f>
        <v>1.4545454545454548</v>
      </c>
      <c r="J25" s="4">
        <f>7.1/17.6</f>
        <v>0.40340909090909088</v>
      </c>
      <c r="K25" s="4">
        <f>14.1/12.1</f>
        <v>1.1652892561983472</v>
      </c>
      <c r="L25" s="5">
        <f>15.4/28.7</f>
        <v>0.53658536585365857</v>
      </c>
      <c r="M25" s="6">
        <f>5.36/7.69</f>
        <v>0.69700910273081929</v>
      </c>
      <c r="N25" s="6">
        <f>2.59/7.69</f>
        <v>0.33680104031209357</v>
      </c>
      <c r="O25" s="5">
        <f>4.6/12.1</f>
        <v>0.3801652892561983</v>
      </c>
      <c r="P25" s="4">
        <f>5.3/12.1</f>
        <v>0.43801652892561982</v>
      </c>
      <c r="Q25" s="4">
        <f>4.4/5</f>
        <v>0.88000000000000012</v>
      </c>
      <c r="R25" s="4">
        <f>5/4.5</f>
        <v>1.1111111111111112</v>
      </c>
      <c r="S25" s="4">
        <f>4.4/3.1</f>
        <v>1.4193548387096775</v>
      </c>
      <c r="T25" s="4">
        <f>0.5/0.615</f>
        <v>0.81300813008130079</v>
      </c>
      <c r="U25" s="4">
        <f>0.25/0.677</f>
        <v>0.36927621861152138</v>
      </c>
      <c r="V25" s="4">
        <f>0.565/0.375</f>
        <v>1.5066666666666666</v>
      </c>
      <c r="W25" s="4">
        <f>11.6/10.6</f>
        <v>1.0943396226415094</v>
      </c>
      <c r="X25" s="4">
        <f>0.644/0.729</f>
        <v>0.88340192043895749</v>
      </c>
      <c r="Y25" s="4">
        <f>26.6/21.5</f>
        <v>1.2372093023255815</v>
      </c>
      <c r="Z25" s="4">
        <f>0.583/0.344</f>
        <v>1.6947674418604652</v>
      </c>
      <c r="AA25" s="4">
        <f>18.1/8.4</f>
        <v>2.1547619047619047</v>
      </c>
      <c r="AB25" s="4">
        <f>12.2/15.3</f>
        <v>0.79738562091503262</v>
      </c>
      <c r="AC25" s="4">
        <f>5.6/6.9</f>
        <v>0.81159420289855067</v>
      </c>
      <c r="AD25" s="4">
        <f>6.9/27.9</f>
        <v>0.24731182795698928</v>
      </c>
      <c r="AE25" s="4">
        <f>5.6/27.9</f>
        <v>0.20071684587813621</v>
      </c>
      <c r="AF25" s="4">
        <f>22/27.9</f>
        <v>0.78853046594982079</v>
      </c>
      <c r="AG25" s="4">
        <f>1.4/6.9</f>
        <v>0.20289855072463767</v>
      </c>
      <c r="AH25" s="4">
        <f>1.7/5.6</f>
        <v>0.3035714285714286</v>
      </c>
      <c r="AI25" s="4">
        <f>3.6/22</f>
        <v>0.16363636363636364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3" t="s">
        <v>81</v>
      </c>
      <c r="B26" t="s">
        <v>58</v>
      </c>
      <c r="C26">
        <v>199.3</v>
      </c>
      <c r="D26">
        <v>190.8</v>
      </c>
      <c r="E26" s="4">
        <v>153</v>
      </c>
      <c r="F26" s="4">
        <v>129</v>
      </c>
      <c r="G26" s="4">
        <f>33/153</f>
        <v>0.21568627450980393</v>
      </c>
      <c r="H26" s="4">
        <f>24.3/33</f>
        <v>0.73636363636363633</v>
      </c>
      <c r="I26" s="4">
        <f>16.7/7.8</f>
        <v>2.141025641025641</v>
      </c>
      <c r="J26" s="4">
        <f>16/16.7</f>
        <v>0.95808383233532934</v>
      </c>
      <c r="K26" s="4">
        <f>17.7/9.9</f>
        <v>1.7878787878787878</v>
      </c>
      <c r="L26" s="4">
        <f>10.6/16.7</f>
        <v>0.6347305389221557</v>
      </c>
      <c r="M26" s="4">
        <f>3.5/10.6</f>
        <v>0.33018867924528306</v>
      </c>
      <c r="N26" s="6">
        <f>3.63/7.39</f>
        <v>0.49120433017591342</v>
      </c>
      <c r="O26" s="4">
        <f>10.6/9.9</f>
        <v>1.0707070707070707</v>
      </c>
      <c r="P26" s="4">
        <f>8.2/9.9</f>
        <v>0.82828282828282818</v>
      </c>
      <c r="Q26" s="4">
        <f>1/1.2</f>
        <v>0.83333333333333337</v>
      </c>
      <c r="R26" s="4">
        <f>1.2/0.9</f>
        <v>1.3333333333333333</v>
      </c>
      <c r="S26" s="4">
        <f>1/0.8</f>
        <v>1.25</v>
      </c>
      <c r="T26" s="4">
        <f>7.7/2.7</f>
        <v>2.8518518518518516</v>
      </c>
      <c r="U26" s="4">
        <f>2/12.1</f>
        <v>0.16528925619834711</v>
      </c>
      <c r="V26" s="4">
        <f>7.9/3.6</f>
        <v>2.1944444444444446</v>
      </c>
      <c r="W26" s="4">
        <f>5.3/3</f>
        <v>1.7666666666666666</v>
      </c>
      <c r="X26" s="4">
        <f>2.7/4.4</f>
        <v>0.61363636363636365</v>
      </c>
      <c r="Y26" s="4">
        <f>15.9/9.6</f>
        <v>1.65625</v>
      </c>
      <c r="Z26" s="4" t="s">
        <v>46</v>
      </c>
      <c r="AA26" s="4"/>
      <c r="AB26" s="4">
        <f>16.4/21.8</f>
        <v>0.75229357798165131</v>
      </c>
      <c r="AC26" s="4">
        <f>5.1/5.8</f>
        <v>0.87931034482758619</v>
      </c>
      <c r="AD26" s="4">
        <f>5.8/16.3</f>
        <v>0.35582822085889571</v>
      </c>
      <c r="AE26" s="4">
        <f>5.1/16.3</f>
        <v>0.31288343558282206</v>
      </c>
      <c r="AF26" s="4">
        <f>12.4/16.3</f>
        <v>0.76073619631901834</v>
      </c>
      <c r="AG26" s="4">
        <f>0.8/5.8</f>
        <v>0.13793103448275862</v>
      </c>
      <c r="AH26" s="4">
        <f>2/5.1</f>
        <v>0.39215686274509809</v>
      </c>
      <c r="AI26" s="4">
        <f>2.8/12.4</f>
        <v>0.22580645161290319</v>
      </c>
      <c r="AJ26" s="4">
        <f>14.2/5.5</f>
        <v>2.5818181818181816</v>
      </c>
      <c r="AK26" s="4">
        <f>4.7/32.1</f>
        <v>0.14641744548286603</v>
      </c>
      <c r="AL26" s="4">
        <f>17.6/18.7</f>
        <v>0.94117647058823539</v>
      </c>
      <c r="AM26" s="4">
        <f>43.9/129</f>
        <v>0.34031007751937986</v>
      </c>
      <c r="AN26" s="4">
        <f>6.5/11.2</f>
        <v>0.5803571428571429</v>
      </c>
      <c r="AO26" s="4">
        <f>71.5/129</f>
        <v>0.55426356589147285</v>
      </c>
      <c r="AP26" s="4">
        <f>57.8/129</f>
        <v>0.44806201550387592</v>
      </c>
      <c r="AQ26" s="4">
        <f>81/129</f>
        <v>0.62790697674418605</v>
      </c>
      <c r="AR26" s="4">
        <f>54.7/98.3</f>
        <v>0.55645981688708046</v>
      </c>
      <c r="AS26" s="4">
        <f>24.6/54.7</f>
        <v>0.44972577696526511</v>
      </c>
    </row>
    <row r="27" spans="1:45" x14ac:dyDescent="0.2">
      <c r="A27" s="3" t="s">
        <v>82</v>
      </c>
      <c r="B27" t="s">
        <v>73</v>
      </c>
      <c r="C27">
        <v>248.53333330000001</v>
      </c>
      <c r="D27">
        <v>247.2</v>
      </c>
      <c r="E27" s="4"/>
      <c r="F27" s="4"/>
      <c r="G27" s="4"/>
      <c r="H27" s="4"/>
      <c r="I27" s="4">
        <f>50.3/55.8</f>
        <v>0.90143369175627241</v>
      </c>
      <c r="J27" s="4">
        <f>49.4/50.3</f>
        <v>0.98210735586481113</v>
      </c>
      <c r="K27" s="4">
        <f>81.9/55.8</f>
        <v>1.4677419354838712</v>
      </c>
      <c r="L27" s="4"/>
      <c r="M27" s="4"/>
      <c r="N27" s="6">
        <f>7.02/13.54</f>
        <v>0.51846381093057603</v>
      </c>
      <c r="O27" s="4">
        <f>32.2/55.8</f>
        <v>0.57706093189964169</v>
      </c>
      <c r="P27" s="4">
        <f>34.1/55.8</f>
        <v>0.61111111111111116</v>
      </c>
      <c r="Q27" s="4"/>
      <c r="R27" s="4"/>
      <c r="S27" s="10">
        <f>30.08/31.62</f>
        <v>0.95129664769133448</v>
      </c>
      <c r="T27" s="4"/>
      <c r="U27" s="4"/>
      <c r="V27" s="4"/>
      <c r="W27" s="4"/>
      <c r="X27" s="4"/>
      <c r="Y27" s="10">
        <f>84.17/63.02</f>
        <v>1.3356077435734688</v>
      </c>
      <c r="Z27" s="4">
        <f>0.5/0.333</f>
        <v>1.5015015015015014</v>
      </c>
      <c r="AA27" s="4">
        <f>0.875/0.136</f>
        <v>6.4338235294117645</v>
      </c>
      <c r="AB27" s="4"/>
      <c r="AC27" s="4"/>
      <c r="AD27" s="4"/>
      <c r="AE27" s="4"/>
      <c r="AF27" s="4"/>
      <c r="AG27" s="4"/>
      <c r="AH27" s="4"/>
      <c r="AI27" s="4"/>
      <c r="AJ27" s="6">
        <f>205.36/100.18</f>
        <v>2.0499101617089242</v>
      </c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3" t="s">
        <v>83</v>
      </c>
      <c r="B28" t="s">
        <v>50</v>
      </c>
      <c r="C28">
        <v>409.73333330000003</v>
      </c>
      <c r="D28">
        <v>407.6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3" t="s">
        <v>84</v>
      </c>
      <c r="B29" t="s">
        <v>52</v>
      </c>
      <c r="C29">
        <v>384.3666667</v>
      </c>
      <c r="D29">
        <v>382.7</v>
      </c>
      <c r="E29" s="4"/>
      <c r="F29" s="4"/>
      <c r="G29" s="4"/>
      <c r="H29" s="4"/>
      <c r="I29" s="4"/>
      <c r="J29" s="4">
        <f>12.9/20.9</f>
        <v>0.61722488038277523</v>
      </c>
      <c r="K29" s="4"/>
      <c r="L29" s="4">
        <f>10.6/20.9</f>
        <v>0.50717703349282295</v>
      </c>
      <c r="M29" s="4">
        <f>3.7/8</f>
        <v>0.46250000000000002</v>
      </c>
      <c r="N29" s="6">
        <f>1.54/4.31</f>
        <v>0.35730858468677495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>
        <f>1</f>
        <v>1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3" t="s">
        <v>85</v>
      </c>
      <c r="B30" t="s">
        <v>86</v>
      </c>
      <c r="C30">
        <v>408.66666670000001</v>
      </c>
      <c r="D30">
        <v>407.6</v>
      </c>
      <c r="E30" s="4"/>
      <c r="F30" s="4"/>
      <c r="G30" s="4"/>
      <c r="H30" s="4"/>
      <c r="I30" s="4">
        <f>10.9/8.1</f>
        <v>1.3456790123456792</v>
      </c>
      <c r="J30" s="4">
        <f>7.6/10.9</f>
        <v>0.69724770642201828</v>
      </c>
      <c r="K30" s="4">
        <f>8.2/8.1</f>
        <v>1.0123456790123457</v>
      </c>
      <c r="L30" s="4">
        <f>4.5/10.9</f>
        <v>0.41284403669724767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3" t="s">
        <v>87</v>
      </c>
      <c r="B31" t="s">
        <v>54</v>
      </c>
      <c r="C31">
        <v>242</v>
      </c>
      <c r="D31">
        <v>240.33333329999999</v>
      </c>
      <c r="E31" s="4">
        <v>201.5</v>
      </c>
      <c r="F31" s="4">
        <v>163.6</v>
      </c>
      <c r="G31" s="4">
        <f>63/201.5</f>
        <v>0.31265508684863524</v>
      </c>
      <c r="H31" s="4">
        <f>71.9/63</f>
        <v>1.1412698412698414</v>
      </c>
      <c r="I31" s="4">
        <f>33.7/46.2</f>
        <v>0.72943722943722944</v>
      </c>
      <c r="J31" s="4"/>
      <c r="K31" s="4"/>
      <c r="L31" s="4">
        <f>12.2/33.7</f>
        <v>0.36201780415430262</v>
      </c>
      <c r="M31" s="4">
        <f>13.4/12.8</f>
        <v>1.046875</v>
      </c>
      <c r="N31" s="4"/>
      <c r="O31" s="4">
        <f>12.8/46.2</f>
        <v>0.27705627705627706</v>
      </c>
      <c r="P31" s="4"/>
      <c r="Q31" s="4"/>
      <c r="R31" s="4"/>
      <c r="S31" s="4"/>
      <c r="T31" s="4">
        <f>1.143/0.223</f>
        <v>5.1255605381165923</v>
      </c>
      <c r="U31" s="4">
        <f>2.2/11.3</f>
        <v>0.19469026548672566</v>
      </c>
      <c r="V31" s="4">
        <f>0.492/0.355</f>
        <v>1.3859154929577466</v>
      </c>
      <c r="W31" s="4"/>
      <c r="X31" s="4">
        <f>0.551/0.286</f>
        <v>1.9265734265734269</v>
      </c>
      <c r="Y31" s="4">
        <f>34.5/19.8</f>
        <v>1.7424242424242424</v>
      </c>
      <c r="Z31" s="4">
        <f>0.264/0.185</f>
        <v>1.4270270270270271</v>
      </c>
      <c r="AA31" s="4"/>
      <c r="AB31" s="4"/>
      <c r="AC31" s="4">
        <f>8.6/9.6</f>
        <v>0.89583333333333337</v>
      </c>
      <c r="AD31" s="4">
        <f>9.6/24</f>
        <v>0.39999999999999997</v>
      </c>
      <c r="AE31" s="4">
        <f>8.6/24</f>
        <v>0.35833333333333334</v>
      </c>
      <c r="AF31" s="4">
        <f>20.3/24</f>
        <v>0.84583333333333333</v>
      </c>
      <c r="AG31" s="4">
        <f>3.4/9.6</f>
        <v>0.35416666666666669</v>
      </c>
      <c r="AH31" s="4">
        <f>5.3/8.6</f>
        <v>0.61627906976744184</v>
      </c>
      <c r="AI31" s="4">
        <f>8.8/20.3</f>
        <v>0.43349753694581283</v>
      </c>
      <c r="AJ31" s="4">
        <f>41.7/16.4</f>
        <v>2.5426829268292686</v>
      </c>
      <c r="AK31" s="4">
        <f>22.2/100.3</f>
        <v>0.2213359920239282</v>
      </c>
      <c r="AL31" s="4">
        <f>11.4/19.4</f>
        <v>0.58762886597938147</v>
      </c>
      <c r="AM31" s="4">
        <f>83.1/163.6</f>
        <v>0.50794621026894859</v>
      </c>
      <c r="AN31" s="4"/>
      <c r="AO31" s="4">
        <f>115.2/163.6</f>
        <v>0.70415647921760394</v>
      </c>
      <c r="AP31" s="4">
        <f>84/163.6</f>
        <v>0.51344743276283622</v>
      </c>
      <c r="AQ31" s="4">
        <f>114.1/163.6</f>
        <v>0.69743276283618583</v>
      </c>
      <c r="AR31" s="4">
        <f>74.4/127.1</f>
        <v>0.58536585365853666</v>
      </c>
      <c r="AS31" s="4">
        <f>41.3/74.4</f>
        <v>0.55510752688172038</v>
      </c>
    </row>
    <row r="32" spans="1:45" x14ac:dyDescent="0.2">
      <c r="A32" s="3" t="s">
        <v>88</v>
      </c>
      <c r="B32" t="s">
        <v>54</v>
      </c>
      <c r="C32">
        <v>243.7333333</v>
      </c>
      <c r="D32">
        <v>242</v>
      </c>
      <c r="E32" s="4"/>
      <c r="F32" s="4"/>
      <c r="G32" s="4"/>
      <c r="H32" s="4">
        <f>9.3/9.6</f>
        <v>0.96875000000000011</v>
      </c>
      <c r="I32" s="4">
        <f>1.73/1.063</f>
        <v>1.627469426152399</v>
      </c>
      <c r="J32" s="4">
        <f>0.948/1.73</f>
        <v>0.54797687861271671</v>
      </c>
      <c r="K32" s="4">
        <f>0.943/1.063</f>
        <v>0.88711194731890874</v>
      </c>
      <c r="L32" s="4">
        <f>2/5.1</f>
        <v>0.39215686274509809</v>
      </c>
      <c r="M32" s="4"/>
      <c r="N32" s="4"/>
      <c r="O32" s="4">
        <f>1.1/3</f>
        <v>0.3666666666666667</v>
      </c>
      <c r="P32" s="4">
        <f>0.417/0.688</f>
        <v>0.60610465116279078</v>
      </c>
      <c r="Q32" s="4"/>
      <c r="R32" s="4"/>
      <c r="S32" s="4"/>
      <c r="T32" s="4">
        <f>3.2/0.9</f>
        <v>3.5555555555555558</v>
      </c>
      <c r="U32" s="4">
        <f>0.6/3.1</f>
        <v>0.19354838709677419</v>
      </c>
      <c r="V32" s="4">
        <f>1.8/1.2</f>
        <v>1.5</v>
      </c>
      <c r="W32" s="4">
        <f>0.491/0.354</f>
        <v>1.3870056497175143</v>
      </c>
      <c r="X32" s="4">
        <f>0.48/0.844</f>
        <v>0.56872037914691942</v>
      </c>
      <c r="Y32" s="4">
        <f>5.1/3.6</f>
        <v>1.4166666666666665</v>
      </c>
      <c r="Z32" s="4" t="s">
        <v>46</v>
      </c>
      <c r="AA32" s="4"/>
      <c r="AB32" s="4"/>
      <c r="AC32" s="4">
        <f>1.8/1.8</f>
        <v>1</v>
      </c>
      <c r="AD32" s="4">
        <f>1.8/8.2</f>
        <v>0.21951219512195125</v>
      </c>
      <c r="AE32" s="4">
        <f>1.8/8.2</f>
        <v>0.21951219512195125</v>
      </c>
      <c r="AF32" s="4">
        <f>7.2/8.2</f>
        <v>0.87804878048780499</v>
      </c>
      <c r="AG32" s="4">
        <f>0.4/1.8</f>
        <v>0.22222222222222224</v>
      </c>
      <c r="AH32" s="4">
        <f>0.3/1.8</f>
        <v>0.16666666666666666</v>
      </c>
      <c r="AI32" s="4">
        <f>1.4/7.2</f>
        <v>0.19444444444444442</v>
      </c>
      <c r="AJ32" s="4"/>
      <c r="AK32" s="4"/>
      <c r="AL32" s="4"/>
      <c r="AM32" s="4"/>
      <c r="AN32" s="4">
        <f>0.578/0.966</f>
        <v>0.59834368530020698</v>
      </c>
      <c r="AO32" s="4"/>
      <c r="AP32" s="4"/>
      <c r="AQ32" s="4"/>
      <c r="AR32" s="4"/>
      <c r="AS32" s="4"/>
    </row>
    <row r="33" spans="1:45" x14ac:dyDescent="0.2">
      <c r="A33" s="3" t="s">
        <v>89</v>
      </c>
      <c r="B33" t="s">
        <v>52</v>
      </c>
      <c r="C33">
        <v>384.3666667</v>
      </c>
      <c r="D33">
        <v>382.7</v>
      </c>
      <c r="E33" s="4"/>
      <c r="F33" s="4"/>
      <c r="G33" s="4"/>
      <c r="H33" s="4">
        <f>11.5/16.2</f>
        <v>0.70987654320987659</v>
      </c>
      <c r="I33" s="4">
        <f>5.2/7.6</f>
        <v>0.68421052631578949</v>
      </c>
      <c r="J33" s="4"/>
      <c r="K33" s="4"/>
      <c r="L33" s="4">
        <f>2.4/5.2</f>
        <v>0.46153846153846151</v>
      </c>
      <c r="M33" s="4"/>
      <c r="N33" s="4"/>
      <c r="O33" s="4"/>
      <c r="P33" s="4"/>
      <c r="Q33" s="4"/>
      <c r="R33" s="4"/>
      <c r="S33" s="4"/>
      <c r="T33" s="4">
        <f>2.3/5.4</f>
        <v>0.42592592592592587</v>
      </c>
      <c r="U33" s="4"/>
      <c r="V33" s="4">
        <f>2.1/1.1</f>
        <v>1.9090909090909089</v>
      </c>
      <c r="W33" s="4">
        <f>3.8/4.3</f>
        <v>0.88372093023255816</v>
      </c>
      <c r="X33" s="4"/>
      <c r="Y33" s="4">
        <f>5.8/7.2</f>
        <v>0.80555555555555547</v>
      </c>
      <c r="Z33" s="4"/>
      <c r="AA33" s="4"/>
      <c r="AB33" s="4"/>
      <c r="AC33" s="4">
        <f>2.9/4.1</f>
        <v>0.70731707317073178</v>
      </c>
      <c r="AD33" s="4">
        <f>4.1/12.4</f>
        <v>0.33064516129032256</v>
      </c>
      <c r="AE33" s="4">
        <f>2.9/12.4</f>
        <v>0.23387096774193547</v>
      </c>
      <c r="AF33" s="4">
        <f>8.5/12.4</f>
        <v>0.68548387096774188</v>
      </c>
      <c r="AG33" s="4">
        <f>1/4.1</f>
        <v>0.24390243902439027</v>
      </c>
      <c r="AH33" s="4">
        <f>0.4/2.9</f>
        <v>0.13793103448275862</v>
      </c>
      <c r="AI33" s="4">
        <f>2.6/8.5</f>
        <v>0.30588235294117649</v>
      </c>
      <c r="AJ33" s="4"/>
      <c r="AK33" s="4"/>
      <c r="AL33" s="4"/>
      <c r="AM33" s="4"/>
      <c r="AN33" s="4"/>
      <c r="AO33" s="4"/>
      <c r="AP33" s="4"/>
      <c r="AQ33" s="4"/>
      <c r="AR33" s="4"/>
      <c r="AS33" s="4" t="s">
        <v>46</v>
      </c>
    </row>
    <row r="34" spans="1:45" s="28" customFormat="1" x14ac:dyDescent="0.2">
      <c r="A34" s="32" t="s">
        <v>192</v>
      </c>
      <c r="B34" s="33" t="s">
        <v>45</v>
      </c>
      <c r="C34" s="28">
        <v>382.7</v>
      </c>
      <c r="D34" s="28">
        <v>379.2</v>
      </c>
      <c r="E34" s="29"/>
      <c r="F34" s="29"/>
      <c r="G34" s="29"/>
      <c r="H34" s="30">
        <f>19.55/28.37</f>
        <v>0.6891082129009517</v>
      </c>
      <c r="I34" s="30">
        <f>13.68/10.14</f>
        <v>1.349112426035503</v>
      </c>
      <c r="J34" s="30">
        <f>8.08/13.68</f>
        <v>0.59064327485380119</v>
      </c>
      <c r="K34" s="30">
        <f>10.6/10.3</f>
        <v>1.029126213592233</v>
      </c>
      <c r="L34" s="30">
        <f>5.38/10.6</f>
        <v>0.50754716981132075</v>
      </c>
      <c r="M34" s="29" t="s">
        <v>46</v>
      </c>
      <c r="N34" s="29"/>
      <c r="O34" s="29">
        <f>8.5/10.3</f>
        <v>0.82524271844660191</v>
      </c>
      <c r="P34" s="29">
        <f>3/10.3</f>
        <v>0.29126213592233008</v>
      </c>
      <c r="Q34" s="29"/>
      <c r="R34" s="29"/>
      <c r="S34" s="29"/>
      <c r="T34" s="29">
        <f>5.4/10.5</f>
        <v>0.51428571428571435</v>
      </c>
      <c r="U34" s="29">
        <f>0.9/5.8</f>
        <v>0.15517241379310345</v>
      </c>
      <c r="V34" s="29">
        <f>3.6/7.2</f>
        <v>0.5</v>
      </c>
      <c r="W34" s="29">
        <f>7/7.4</f>
        <v>0.94594594594594594</v>
      </c>
      <c r="X34" s="29">
        <f>6.5/9.6</f>
        <v>0.67708333333333337</v>
      </c>
      <c r="Y34" s="31">
        <f>9.93/14.15</f>
        <v>0.70176678445229679</v>
      </c>
      <c r="Z34" s="29">
        <f>5.6/5.4</f>
        <v>1.037037037037037</v>
      </c>
      <c r="AA34" s="29"/>
      <c r="AB34" s="29">
        <f>1.656/1.803</f>
        <v>0.91846921797004988</v>
      </c>
      <c r="AC34" s="29">
        <f>9.9/10.2</f>
        <v>0.97058823529411775</v>
      </c>
      <c r="AD34" s="29">
        <f>10.2/25.4</f>
        <v>0.40157480314960631</v>
      </c>
      <c r="AE34" s="29">
        <f>9.9/25.4</f>
        <v>0.38976377952755908</v>
      </c>
      <c r="AF34" s="29">
        <f>16.6/25.4</f>
        <v>0.65354330708661423</v>
      </c>
      <c r="AG34" s="29">
        <f>1.5/10.2</f>
        <v>0.14705882352941177</v>
      </c>
      <c r="AH34" s="29">
        <f>1.3/9.9</f>
        <v>0.13131313131313133</v>
      </c>
      <c r="AI34" s="29">
        <f>5.5/16.6</f>
        <v>0.33132530120481923</v>
      </c>
      <c r="AJ34" s="30">
        <f>592.891/277.418</f>
        <v>2.1371756699276903</v>
      </c>
      <c r="AK34" s="29"/>
      <c r="AL34" s="29"/>
      <c r="AM34" s="29"/>
      <c r="AN34" s="29"/>
      <c r="AO34" s="29"/>
      <c r="AP34" s="29"/>
      <c r="AQ34" s="29"/>
      <c r="AR34" s="29"/>
      <c r="AS34" s="29"/>
    </row>
    <row r="35" spans="1:45" x14ac:dyDescent="0.2">
      <c r="A35" s="3" t="s">
        <v>90</v>
      </c>
      <c r="B35" t="s">
        <v>91</v>
      </c>
      <c r="C35">
        <v>242</v>
      </c>
      <c r="D35">
        <v>227</v>
      </c>
      <c r="E35" s="4">
        <v>53.6</v>
      </c>
      <c r="F35" s="4">
        <v>44.3</v>
      </c>
      <c r="G35" s="4">
        <f>15.1/53.6</f>
        <v>0.28171641791044777</v>
      </c>
      <c r="H35" s="4">
        <f>9.1/14.3</f>
        <v>0.63636363636363635</v>
      </c>
      <c r="I35" s="4">
        <f>7.8/3</f>
        <v>2.6</v>
      </c>
      <c r="J35" s="5"/>
      <c r="K35" s="5"/>
      <c r="L35" s="5">
        <f>1.7/7.8</f>
        <v>0.21794871794871795</v>
      </c>
      <c r="M35" s="5">
        <f>2.2/2.6</f>
        <v>0.84615384615384615</v>
      </c>
      <c r="N35" s="6">
        <f>2.09/6.69</f>
        <v>0.31240657698056795</v>
      </c>
      <c r="O35" s="5">
        <f>2.6/3</f>
        <v>0.8666666666666667</v>
      </c>
      <c r="P35" s="5">
        <f>1.5/3</f>
        <v>0.5</v>
      </c>
      <c r="Q35" s="5">
        <f>0.6/0.6</f>
        <v>1</v>
      </c>
      <c r="R35" s="5">
        <f>0.6/1</f>
        <v>0.6</v>
      </c>
      <c r="S35" s="5">
        <f>0.6/1.1</f>
        <v>0.54545454545454541</v>
      </c>
      <c r="T35" s="5">
        <f>5.5/2.8</f>
        <v>1.9642857142857144</v>
      </c>
      <c r="U35" s="5">
        <f>1.1/4.1</f>
        <v>0.26829268292682934</v>
      </c>
      <c r="V35" s="5">
        <f>1.9/2.9</f>
        <v>0.65517241379310343</v>
      </c>
      <c r="W35" s="5">
        <f>2.5/2.7</f>
        <v>0.92592592592592582</v>
      </c>
      <c r="X35" s="5">
        <f>2.3/3</f>
        <v>0.76666666666666661</v>
      </c>
      <c r="Y35" s="5">
        <f>5.6/4.3</f>
        <v>1.3023255813953487</v>
      </c>
      <c r="Z35" s="5" t="s">
        <v>46</v>
      </c>
      <c r="AA35" s="5"/>
      <c r="AB35" s="5"/>
      <c r="AC35" s="5">
        <f>1.3/2.3</f>
        <v>0.56521739130434789</v>
      </c>
      <c r="AD35" s="5">
        <f>2.3/9.5</f>
        <v>0.24210526315789471</v>
      </c>
      <c r="AE35" s="5">
        <f>1.3/9.5</f>
        <v>0.1368421052631579</v>
      </c>
      <c r="AF35" s="5">
        <f>6.3/9.5</f>
        <v>0.66315789473684206</v>
      </c>
      <c r="AG35" s="5">
        <f>0.6/2.3</f>
        <v>0.2608695652173913</v>
      </c>
      <c r="AH35" s="5">
        <f>0.3/1.3</f>
        <v>0.23076923076923075</v>
      </c>
      <c r="AI35" s="5">
        <f>1.6/6.3</f>
        <v>0.25396825396825401</v>
      </c>
      <c r="AJ35" s="5">
        <f>6.5/2.3</f>
        <v>2.8260869565217392</v>
      </c>
      <c r="AK35" s="5">
        <f>2.6/12.1</f>
        <v>0.21487603305785125</v>
      </c>
      <c r="AL35" s="5">
        <f>4.3/5.9</f>
        <v>0.72881355932203384</v>
      </c>
      <c r="AM35" s="5">
        <f>19.2/44.3</f>
        <v>0.43340857787810383</v>
      </c>
      <c r="AN35" s="5">
        <f>2.2/2.7</f>
        <v>0.81481481481481488</v>
      </c>
      <c r="AO35" s="5">
        <f>27/44.3</f>
        <v>0.60948081264108356</v>
      </c>
      <c r="AP35" s="5">
        <f>25.6/44.3</f>
        <v>0.57787810383747185</v>
      </c>
      <c r="AQ35" s="5">
        <f>32.3/44.3</f>
        <v>0.72911963882618513</v>
      </c>
      <c r="AR35" s="5">
        <f>16.2/37.4</f>
        <v>0.43315508021390375</v>
      </c>
      <c r="AS35" s="5">
        <f>9.3/16.2</f>
        <v>0.57407407407407418</v>
      </c>
    </row>
    <row r="36" spans="1:45" x14ac:dyDescent="0.2">
      <c r="A36" s="3" t="s">
        <v>92</v>
      </c>
      <c r="B36" t="s">
        <v>56</v>
      </c>
      <c r="C36">
        <v>330.9</v>
      </c>
      <c r="D36">
        <v>323.2</v>
      </c>
      <c r="E36" s="4">
        <v>102.2</v>
      </c>
      <c r="F36" s="4">
        <v>93.2</v>
      </c>
      <c r="G36" s="4">
        <f>23.1/102.2</f>
        <v>0.22602739726027399</v>
      </c>
      <c r="H36" s="4">
        <f>25.7/23.1</f>
        <v>1.1125541125541125</v>
      </c>
      <c r="I36" s="4">
        <f>13.8/6.8</f>
        <v>2.0294117647058827</v>
      </c>
      <c r="J36" s="4">
        <f>1.22/2.042</f>
        <v>0.59745347698334972</v>
      </c>
      <c r="K36" s="5">
        <f>1.635/1.177</f>
        <v>1.3891248937977909</v>
      </c>
      <c r="L36" s="5">
        <f>7/13.8</f>
        <v>0.50724637681159412</v>
      </c>
      <c r="M36" s="5">
        <f>2.9/3.5</f>
        <v>0.82857142857142851</v>
      </c>
      <c r="N36" s="6">
        <f>2.59/5.66</f>
        <v>0.4575971731448763</v>
      </c>
      <c r="O36" s="5">
        <f>3.5/6.8</f>
        <v>0.51470588235294124</v>
      </c>
      <c r="P36" s="5">
        <f>4/6.8</f>
        <v>0.58823529411764708</v>
      </c>
      <c r="Q36" s="5">
        <f>3.2/2.1</f>
        <v>1.5238095238095237</v>
      </c>
      <c r="R36" s="5">
        <f>2.1/1.5</f>
        <v>1.4000000000000001</v>
      </c>
      <c r="S36" s="5">
        <f>3.2/2</f>
        <v>1.6</v>
      </c>
      <c r="T36" s="5">
        <f>7.1/4.4</f>
        <v>1.6136363636363635</v>
      </c>
      <c r="U36" s="5">
        <f>1.8/6.2</f>
        <v>0.29032258064516131</v>
      </c>
      <c r="V36" s="5">
        <f>7.2/1.9</f>
        <v>3.7894736842105265</v>
      </c>
      <c r="W36" s="5">
        <f>7.8/5.4</f>
        <v>1.4444444444444444</v>
      </c>
      <c r="X36" s="5">
        <f>6.8/8</f>
        <v>0.85</v>
      </c>
      <c r="Y36" s="5">
        <f>14.9/6.2</f>
        <v>2.403225806451613</v>
      </c>
      <c r="Z36" s="5">
        <f>4.2/2.6</f>
        <v>1.6153846153846154</v>
      </c>
      <c r="AA36" s="5"/>
      <c r="AB36" s="5"/>
      <c r="AC36" s="5">
        <v>0.9375</v>
      </c>
      <c r="AD36" s="5">
        <f>4/18.7</f>
        <v>0.21390374331550802</v>
      </c>
      <c r="AE36" s="5">
        <f>2.9/18.7</f>
        <v>0.15508021390374332</v>
      </c>
      <c r="AF36" s="5">
        <f>14.1/18.7</f>
        <v>0.75401069518716579</v>
      </c>
      <c r="AG36" s="5">
        <f>0.7/4</f>
        <v>0.17499999999999999</v>
      </c>
      <c r="AH36" s="5">
        <f>1.5/2.9</f>
        <v>0.51724137931034486</v>
      </c>
      <c r="AI36" s="5">
        <f>2.8/14.1</f>
        <v>0.19858156028368792</v>
      </c>
      <c r="AJ36" s="5">
        <f>10.1/4.9</f>
        <v>2.0612244897959182</v>
      </c>
      <c r="AK36" s="5">
        <f>11.5/23.1</f>
        <v>0.4978354978354978</v>
      </c>
      <c r="AL36" s="5">
        <f>10.3/5.7</f>
        <v>1.8070175438596492</v>
      </c>
      <c r="AM36" s="5">
        <f>35.2/93.2</f>
        <v>0.37768240343347642</v>
      </c>
      <c r="AN36" s="5">
        <f>3.4/5.4</f>
        <v>0.62962962962962954</v>
      </c>
      <c r="AO36" s="5">
        <f>53.1/93.2</f>
        <v>0.56974248927038629</v>
      </c>
      <c r="AP36" s="5">
        <f>41/93.2</f>
        <v>0.43991416309012876</v>
      </c>
      <c r="AQ36" s="5">
        <f>58.3/93.2</f>
        <v>0.62553648068669521</v>
      </c>
      <c r="AR36" s="5">
        <f>35/67.2</f>
        <v>0.52083333333333326</v>
      </c>
      <c r="AS36" s="5">
        <f>8.8/35</f>
        <v>0.25142857142857145</v>
      </c>
    </row>
    <row r="37" spans="1:45" x14ac:dyDescent="0.2">
      <c r="A37" s="15" t="s">
        <v>93</v>
      </c>
      <c r="B37" t="s">
        <v>54</v>
      </c>
      <c r="C37">
        <v>243.7333333</v>
      </c>
      <c r="D37">
        <v>242</v>
      </c>
      <c r="E37" s="4">
        <v>204</v>
      </c>
      <c r="F37" s="4">
        <v>181</v>
      </c>
      <c r="G37" s="4"/>
      <c r="H37" s="4"/>
      <c r="I37" s="4"/>
      <c r="J37" s="4"/>
      <c r="K37" s="4">
        <f>2.8/2.4</f>
        <v>1.1666666666666667</v>
      </c>
      <c r="L37" s="4"/>
      <c r="M37" s="4"/>
      <c r="N37" s="4"/>
      <c r="O37" s="4"/>
      <c r="P37" s="4">
        <f>0.761/1.448</f>
        <v>0.52555248618784534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53.8/28.5</f>
        <v>1.8877192982456139</v>
      </c>
      <c r="AK37" s="4">
        <f>0.198/0.865</f>
        <v>0.22890173410404627</v>
      </c>
      <c r="AL37" s="5"/>
      <c r="AM37" s="5">
        <f>72.5/181</f>
        <v>0.40055248618784528</v>
      </c>
      <c r="AN37" s="5">
        <f>7.7/13.4</f>
        <v>0.57462686567164178</v>
      </c>
      <c r="AO37" s="5">
        <f>117.4/181</f>
        <v>0.64861878453038679</v>
      </c>
      <c r="AP37" s="6">
        <f>24.68/35.36</f>
        <v>0.69796380090497734</v>
      </c>
      <c r="AQ37" s="5">
        <f>126.6/181</f>
        <v>0.69944751381215464</v>
      </c>
      <c r="AR37" s="5">
        <f>43/161</f>
        <v>0.26708074534161491</v>
      </c>
      <c r="AS37" s="5"/>
    </row>
    <row r="38" spans="1:45" x14ac:dyDescent="0.2">
      <c r="A38" s="15" t="s">
        <v>94</v>
      </c>
      <c r="B38" t="s">
        <v>54</v>
      </c>
      <c r="C38">
        <v>242</v>
      </c>
      <c r="D38">
        <v>239.51</v>
      </c>
      <c r="E38" s="5">
        <v>297</v>
      </c>
      <c r="F38" s="4">
        <v>278</v>
      </c>
      <c r="G38" s="6">
        <f>19.95/89.4</f>
        <v>0.22315436241610737</v>
      </c>
      <c r="H38" s="6">
        <f>19.14/19.95</f>
        <v>0.95939849624060158</v>
      </c>
      <c r="I38" s="4">
        <f>2.011/0.774</f>
        <v>2.5981912144702841</v>
      </c>
      <c r="J38" s="4"/>
      <c r="K38" s="4"/>
      <c r="L38" s="4"/>
      <c r="M38" s="4">
        <f>0.806/0.91</f>
        <v>0.88571428571428579</v>
      </c>
      <c r="N38" s="4"/>
      <c r="O38" s="4">
        <f>0.91/0.685</f>
        <v>1.3284671532846715</v>
      </c>
      <c r="P38" s="4">
        <f>0.646/0.685</f>
        <v>0.94306569343065694</v>
      </c>
      <c r="Q38" s="4"/>
      <c r="R38" s="4"/>
      <c r="S38" s="4"/>
      <c r="T38" s="4">
        <f>2.9/1.1</f>
        <v>2.6363636363636362</v>
      </c>
      <c r="U38" s="4">
        <f>0.5/3.7</f>
        <v>0.13513513513513511</v>
      </c>
      <c r="V38" s="4">
        <f>1.9/0.2</f>
        <v>9.4999999999999982</v>
      </c>
      <c r="W38" s="4">
        <f>1.2/0.5</f>
        <v>2.4</v>
      </c>
      <c r="X38" s="4">
        <f>0.6/1.4</f>
        <v>0.4285714285714286</v>
      </c>
      <c r="Y38" s="4">
        <f>1.501/0.79</f>
        <v>1.8999999999999997</v>
      </c>
      <c r="Z38" s="4" t="s">
        <v>46</v>
      </c>
      <c r="AA38" s="4"/>
      <c r="AB38" s="4"/>
      <c r="AC38" s="4"/>
      <c r="AD38" s="4">
        <f>1.6/5.9</f>
        <v>0.2711864406779661</v>
      </c>
      <c r="AE38" s="4"/>
      <c r="AF38" s="4">
        <f>5.2/5.9</f>
        <v>0.88135593220338981</v>
      </c>
      <c r="AG38" s="4">
        <f>0.5/1.6</f>
        <v>0.3125</v>
      </c>
      <c r="AH38" s="4"/>
      <c r="AI38" s="4">
        <f>1/5.2</f>
        <v>0.19230769230769229</v>
      </c>
      <c r="AJ38" s="4">
        <f>1.81/1.186</f>
        <v>1.5261382799325465</v>
      </c>
      <c r="AK38" s="5"/>
      <c r="AL38" s="5"/>
      <c r="AM38" s="6">
        <f>23.02/66.75</f>
        <v>0.34486891385767787</v>
      </c>
      <c r="AN38" s="5"/>
      <c r="AO38" s="6">
        <f>42.04/66.75</f>
        <v>0.62981273408239702</v>
      </c>
      <c r="AP38" s="4">
        <f>3.01/5.229</f>
        <v>0.57563587684069606</v>
      </c>
      <c r="AQ38" s="4">
        <f>3.938/5.229</f>
        <v>0.75310766877031943</v>
      </c>
      <c r="AR38" s="4">
        <f>6.1/11.5</f>
        <v>0.53043478260869559</v>
      </c>
      <c r="AS38" s="4">
        <f>2.4/6.1</f>
        <v>0.39344262295081966</v>
      </c>
    </row>
    <row r="39" spans="1:45" x14ac:dyDescent="0.2">
      <c r="A39" s="3" t="s">
        <v>95</v>
      </c>
      <c r="B39" t="s">
        <v>58</v>
      </c>
      <c r="C39">
        <v>199.3</v>
      </c>
      <c r="D39">
        <v>190.8</v>
      </c>
      <c r="E39" s="4">
        <v>761</v>
      </c>
      <c r="F39" s="4">
        <v>588.1</v>
      </c>
      <c r="G39" s="4">
        <f>195.5/761</f>
        <v>0.25689881734559789</v>
      </c>
      <c r="H39" s="4">
        <f>176/195.5</f>
        <v>0.90025575447570327</v>
      </c>
      <c r="I39" s="4">
        <f>68.1/29.3</f>
        <v>2.3242320819112625</v>
      </c>
      <c r="J39" s="4"/>
      <c r="K39" s="4">
        <f>2.313/2.042</f>
        <v>1.1327130264446623</v>
      </c>
      <c r="L39" s="4">
        <f>37.6/68.1</f>
        <v>0.55212922173274603</v>
      </c>
      <c r="M39" s="4"/>
      <c r="N39" s="4"/>
      <c r="O39" s="4">
        <f>22.4/29.3</f>
        <v>0.76450511945392485</v>
      </c>
      <c r="P39" s="4">
        <f>73.3/58.9</f>
        <v>1.2444821731748728</v>
      </c>
      <c r="Q39" s="4"/>
      <c r="R39" s="4"/>
      <c r="S39" s="4"/>
      <c r="T39" s="4">
        <f>24.9/23</f>
        <v>1.0826086956521739</v>
      </c>
      <c r="U39" s="4">
        <f>9.1/40.5</f>
        <v>0.22469135802469134</v>
      </c>
      <c r="V39" s="4">
        <f>33.6/20</f>
        <v>1.6800000000000002</v>
      </c>
      <c r="W39" s="4">
        <f>28/21.2</f>
        <v>1.3207547169811322</v>
      </c>
      <c r="X39" s="4">
        <f>23.8/31.7</f>
        <v>0.75078864353312302</v>
      </c>
      <c r="Y39" s="4">
        <f>66.3/36.3</f>
        <v>1.8264462809917357</v>
      </c>
      <c r="Z39" s="4">
        <f>17.9/9.4</f>
        <v>1.904255319148936</v>
      </c>
      <c r="AA39" s="4"/>
      <c r="AB39" s="4"/>
      <c r="AC39" s="4">
        <f>23.3/17.8</f>
        <v>1.3089887640449438</v>
      </c>
      <c r="AD39" s="4">
        <f>17.8/63.2</f>
        <v>0.28164556962025317</v>
      </c>
      <c r="AE39" s="4">
        <f>23.3/63.2</f>
        <v>0.36867088607594939</v>
      </c>
      <c r="AF39" s="4">
        <f>39.7/63.2</f>
        <v>0.62816455696202533</v>
      </c>
      <c r="AG39" s="4">
        <f>1.3/17.8</f>
        <v>7.3033707865168537E-2</v>
      </c>
      <c r="AH39" s="4">
        <f>5.2/23.3</f>
        <v>0.22317596566523606</v>
      </c>
      <c r="AI39" s="4">
        <f>10.5/39.7</f>
        <v>0.26448362720403018</v>
      </c>
      <c r="AJ39" s="4">
        <f>103.8/61.7</f>
        <v>1.6823338735818476</v>
      </c>
      <c r="AK39" s="4">
        <f>30.8/230.1</f>
        <v>0.13385484571925252</v>
      </c>
      <c r="AL39" s="4">
        <f>122.4/59</f>
        <v>2.0745762711864408</v>
      </c>
      <c r="AM39" s="4">
        <f>288.8/588.1</f>
        <v>0.49107294677775887</v>
      </c>
      <c r="AN39" s="4">
        <f>33/58.4</f>
        <v>0.56506849315068497</v>
      </c>
      <c r="AO39" s="4">
        <f>469.9/588.1</f>
        <v>0.79901377316782851</v>
      </c>
      <c r="AP39" s="4">
        <f>382/588.1</f>
        <v>0.64954939636116305</v>
      </c>
      <c r="AQ39" s="4">
        <f>515.9/588.1</f>
        <v>0.87723176330556019</v>
      </c>
      <c r="AR39" s="4">
        <f>173/588.1</f>
        <v>0.29416765856146915</v>
      </c>
      <c r="AS39" s="4">
        <f>69.2/173</f>
        <v>0.4</v>
      </c>
    </row>
    <row r="40" spans="1:45" x14ac:dyDescent="0.2">
      <c r="A40" s="3" t="s">
        <v>96</v>
      </c>
      <c r="B40" t="s">
        <v>45</v>
      </c>
      <c r="C40">
        <v>382.7</v>
      </c>
      <c r="D40">
        <v>379.2</v>
      </c>
      <c r="E40" s="4">
        <v>64.900000000000006</v>
      </c>
      <c r="F40" s="4">
        <v>64.900000000000006</v>
      </c>
      <c r="G40" s="4">
        <f>11.4/64.9</f>
        <v>0.17565485362095531</v>
      </c>
      <c r="H40" s="4">
        <f>10.1/11.4</f>
        <v>0.88596491228070173</v>
      </c>
      <c r="I40" s="4">
        <f>7.3/2.9</f>
        <v>2.5172413793103448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f>8.4/3</f>
        <v>2.8000000000000003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f>19.1/64.9</f>
        <v>0.29429892141756547</v>
      </c>
      <c r="AP40" s="4"/>
      <c r="AQ40" s="4"/>
      <c r="AR40" s="4">
        <f>40.8/24.1</f>
        <v>1.6929460580912861</v>
      </c>
      <c r="AS40" s="4" t="s">
        <v>46</v>
      </c>
    </row>
    <row r="41" spans="1:45" x14ac:dyDescent="0.2">
      <c r="A41" s="3" t="s">
        <v>97</v>
      </c>
      <c r="B41" t="s">
        <v>58</v>
      </c>
      <c r="C41">
        <v>182.7</v>
      </c>
      <c r="D41">
        <v>174.1</v>
      </c>
      <c r="E41" s="4"/>
      <c r="F41" s="4"/>
      <c r="G41" s="4"/>
      <c r="H41" s="4">
        <f>144.7/220.7</f>
        <v>0.65564114182147715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f>15/92.6</f>
        <v>0.16198704103671707</v>
      </c>
      <c r="V41" s="4">
        <f>49.7/49.1</f>
        <v>1.0122199592668024</v>
      </c>
      <c r="W41" s="4">
        <f>37.5/32.8</f>
        <v>1.1432926829268293</v>
      </c>
      <c r="X41" s="4">
        <f>34.9/31.7</f>
        <v>1.1009463722397477</v>
      </c>
      <c r="Y41" s="4">
        <f>80.8/60.2</f>
        <v>1.3421926910299002</v>
      </c>
      <c r="Z41" s="4" t="s">
        <v>46</v>
      </c>
      <c r="AA41" s="4"/>
      <c r="AB41" s="4"/>
      <c r="AC41" s="4"/>
      <c r="AD41" s="4"/>
      <c r="AE41" s="4"/>
      <c r="AF41" s="4"/>
      <c r="AG41" s="4"/>
      <c r="AH41" s="4"/>
      <c r="AI41" s="4">
        <f>0.458/2.188</f>
        <v>0.2093235831809872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2">
      <c r="A42" s="7" t="s">
        <v>98</v>
      </c>
      <c r="B42" t="s">
        <v>99</v>
      </c>
      <c r="C42">
        <v>13</v>
      </c>
      <c r="D42">
        <v>0</v>
      </c>
      <c r="E42" s="5">
        <v>1800</v>
      </c>
      <c r="F42" s="5">
        <v>1416.6</v>
      </c>
      <c r="G42" s="5">
        <f>440.3/1800</f>
        <v>0.24461111111111111</v>
      </c>
      <c r="H42" s="5">
        <f>1011.9/1271</f>
        <v>0.79614476789929189</v>
      </c>
      <c r="I42" s="5">
        <f>685.2/291.1</f>
        <v>2.3538302988663689</v>
      </c>
      <c r="J42" s="5">
        <f>333.7/685.2</f>
        <v>0.48701109165207235</v>
      </c>
      <c r="K42" s="5">
        <f>436.7/291.1</f>
        <v>1.5001717622810029</v>
      </c>
      <c r="L42" s="5">
        <f>362.8/685.2</f>
        <v>0.52948044366608282</v>
      </c>
      <c r="M42" s="5">
        <f>213/269.8</f>
        <v>0.78947368421052633</v>
      </c>
      <c r="N42" s="6">
        <f>3.2/9.85</f>
        <v>0.32487309644670054</v>
      </c>
      <c r="O42" s="5">
        <f>269.8/291.1</f>
        <v>0.92682926829268286</v>
      </c>
      <c r="P42" s="5">
        <f>216.6/291.1</f>
        <v>0.74407420130539326</v>
      </c>
      <c r="Q42" s="5">
        <f>35.7/85.3</f>
        <v>0.41852286049237986</v>
      </c>
      <c r="R42" s="5">
        <f>85.3/53.3</f>
        <v>1.600375234521576</v>
      </c>
      <c r="S42" s="5">
        <f>35.7/28.6</f>
        <v>1.2482517482517483</v>
      </c>
      <c r="T42" s="5">
        <f>276.9/312.4</f>
        <v>0.88636363636363635</v>
      </c>
      <c r="U42" s="5">
        <f>78.2/451.7</f>
        <v>0.17312375470444988</v>
      </c>
      <c r="V42" s="5">
        <f>362.1/202.4</f>
        <v>1.7890316205533598</v>
      </c>
      <c r="W42" s="5">
        <f>337.3/227.2</f>
        <v>1.4845950704225352</v>
      </c>
      <c r="X42" s="5">
        <f>167/287.6</f>
        <v>0.58066759388038935</v>
      </c>
      <c r="Y42" s="5">
        <f>525.4/330.2</f>
        <v>1.5911568746214415</v>
      </c>
      <c r="Z42" s="5">
        <f>216.6/110.1</f>
        <v>1.9673024523160763</v>
      </c>
      <c r="AA42" s="5">
        <f>216.4/42.1</f>
        <v>5.1401425178147271</v>
      </c>
      <c r="AB42" s="5">
        <f>0.745/1.839</f>
        <v>0.4051114736269712</v>
      </c>
      <c r="AC42" s="5">
        <f>319.1/361.1</f>
        <v>0.88368872888396566</v>
      </c>
      <c r="AD42" s="5">
        <f>361.1/1007.5</f>
        <v>0.35841191066997519</v>
      </c>
      <c r="AE42" s="5">
        <f>319.1/1007.5</f>
        <v>0.31672456575682384</v>
      </c>
      <c r="AF42" s="5">
        <f>626.3/1007.5</f>
        <v>0.621637717121588</v>
      </c>
      <c r="AG42" s="5">
        <f>108/361.1</f>
        <v>0.29908612572694543</v>
      </c>
      <c r="AH42" s="5">
        <f>25.6/319.1</f>
        <v>8.0225634597304918E-2</v>
      </c>
      <c r="AI42" s="5">
        <f>160.8/626.3</f>
        <v>0.25674596838575764</v>
      </c>
      <c r="AJ42" s="5">
        <f>262.7/59.8</f>
        <v>4.3929765886287626</v>
      </c>
      <c r="AK42" s="5">
        <f>120.7/504.2</f>
        <v>0.23938913129710435</v>
      </c>
      <c r="AL42" s="5">
        <f>289.3/181.9</f>
        <v>1.5904343045629468</v>
      </c>
      <c r="AM42" s="5">
        <f>663.9/1416.6</f>
        <v>0.46865734858110969</v>
      </c>
      <c r="AN42" s="5">
        <f>105.8/134</f>
        <v>0.78955223880597014</v>
      </c>
      <c r="AO42" s="5">
        <f>1104.1/1416.6</f>
        <v>0.77940138359452205</v>
      </c>
      <c r="AP42" s="5">
        <f>841.4/1416.6</f>
        <v>0.59395736269942112</v>
      </c>
      <c r="AQ42" s="5">
        <f>1207.1/1416.6</f>
        <v>0.85211068756176755</v>
      </c>
      <c r="AR42" s="5">
        <f>383.4/1416.6</f>
        <v>0.27064803049555275</v>
      </c>
      <c r="AS42" s="5">
        <f>145.6/383.4</f>
        <v>0.37976004173187272</v>
      </c>
    </row>
    <row r="43" spans="1:45" x14ac:dyDescent="0.2">
      <c r="A43" s="3" t="s">
        <v>100</v>
      </c>
      <c r="B43" t="s">
        <v>99</v>
      </c>
      <c r="C43">
        <v>13</v>
      </c>
      <c r="D43">
        <v>0</v>
      </c>
      <c r="E43" s="4">
        <v>1300</v>
      </c>
      <c r="F43" s="4">
        <v>1276</v>
      </c>
      <c r="G43" s="4">
        <f>249/1300</f>
        <v>0.19153846153846155</v>
      </c>
      <c r="H43" s="4">
        <f>351/249</f>
        <v>1.4096385542168675</v>
      </c>
      <c r="I43" s="4">
        <f>0.615/0.301</f>
        <v>2.0431893687707641</v>
      </c>
      <c r="J43" s="4"/>
      <c r="K43" s="4"/>
      <c r="L43" s="4">
        <f>0.557/1.717</f>
        <v>0.32440302853814795</v>
      </c>
      <c r="M43" s="4"/>
      <c r="N43" s="4"/>
      <c r="O43" s="4"/>
      <c r="P43" s="4"/>
      <c r="Q43" s="4"/>
      <c r="R43" s="4"/>
      <c r="S43" s="4"/>
      <c r="T43" s="4">
        <f>0.615/0.901</f>
        <v>0.68257491675915649</v>
      </c>
      <c r="U43" s="4"/>
      <c r="V43" s="4"/>
      <c r="W43" s="4"/>
      <c r="X43" s="4"/>
      <c r="Y43" s="4">
        <f>109/89</f>
        <v>1.2247191011235956</v>
      </c>
      <c r="Z43" s="4"/>
      <c r="AA43" s="4"/>
      <c r="AB43" s="4"/>
      <c r="AC43" s="4"/>
      <c r="AD43" s="4"/>
      <c r="AE43" s="4"/>
      <c r="AF43" s="4"/>
      <c r="AG43" s="4"/>
      <c r="AH43" s="4"/>
      <c r="AI43" s="4">
        <f>38/125</f>
        <v>0.30399999999999999</v>
      </c>
      <c r="AJ43" s="4"/>
      <c r="AK43" s="4">
        <f>85.5/288.8</f>
        <v>0.29605263157894735</v>
      </c>
      <c r="AL43" s="4">
        <f>115.5/66.9</f>
        <v>1.7264573991031389</v>
      </c>
      <c r="AM43" s="4">
        <f>489.1/1276</f>
        <v>0.38330721003134799</v>
      </c>
      <c r="AN43" s="4">
        <f>0.226/0.429</f>
        <v>0.52680652680652684</v>
      </c>
      <c r="AO43" s="4">
        <f>832.4/1276</f>
        <v>0.65235109717868334</v>
      </c>
      <c r="AP43" s="4">
        <f>677.2/1276</f>
        <v>0.53072100313479631</v>
      </c>
      <c r="AQ43" s="4">
        <f>910/1276</f>
        <v>0.71316614420062696</v>
      </c>
      <c r="AR43" s="4">
        <f>268.1/1031.9</f>
        <v>0.25981199728655879</v>
      </c>
      <c r="AS43" s="4">
        <f>103.5/268.1</f>
        <v>0.38604998135024243</v>
      </c>
    </row>
    <row r="44" spans="1:45" x14ac:dyDescent="0.2">
      <c r="A44" s="7" t="s">
        <v>101</v>
      </c>
      <c r="B44" t="s">
        <v>60</v>
      </c>
      <c r="C44">
        <v>251.55099999999999</v>
      </c>
      <c r="D44">
        <v>251.2</v>
      </c>
      <c r="E44" s="5">
        <v>211.1</v>
      </c>
      <c r="F44" s="5">
        <v>182.8</v>
      </c>
      <c r="G44" s="5">
        <f>40.4/211.1</f>
        <v>0.19137849360492656</v>
      </c>
      <c r="H44" s="5">
        <f>30/34.5</f>
        <v>0.86956521739130432</v>
      </c>
      <c r="I44" s="5">
        <f>16.6/12.6</f>
        <v>1.3174603174603177</v>
      </c>
      <c r="J44" s="5">
        <f>6.4/14.6</f>
        <v>0.43835616438356168</v>
      </c>
      <c r="K44" s="5">
        <f>10/9.9</f>
        <v>1.0101010101010102</v>
      </c>
      <c r="L44" s="5">
        <f>7.9/16.6</f>
        <v>0.4759036144578313</v>
      </c>
      <c r="M44" s="5" t="s">
        <v>46</v>
      </c>
      <c r="N44" s="6">
        <f>2.98/8.02</f>
        <v>0.371571072319202</v>
      </c>
      <c r="O44" s="5">
        <f>7.3/9.9</f>
        <v>0.73737373737373735</v>
      </c>
      <c r="P44" s="5">
        <f>3.9/9.9</f>
        <v>0.39393939393939392</v>
      </c>
      <c r="Q44" s="5">
        <f>3/2.4</f>
        <v>1.25</v>
      </c>
      <c r="R44" s="5">
        <f>2.4/3.3</f>
        <v>0.72727272727272729</v>
      </c>
      <c r="S44" s="5">
        <f>3/2.1</f>
        <v>1.4285714285714286</v>
      </c>
      <c r="T44" s="5">
        <f>7.5/9.2</f>
        <v>0.81521739130434789</v>
      </c>
      <c r="U44" s="5">
        <f>1.1/11.6</f>
        <v>9.4827586206896561E-2</v>
      </c>
      <c r="V44" s="5">
        <f>8.3/6.3</f>
        <v>1.3174603174603177</v>
      </c>
      <c r="W44" s="5">
        <f>6.8/7.9</f>
        <v>0.860759493670886</v>
      </c>
      <c r="X44" s="5" t="s">
        <v>46</v>
      </c>
      <c r="Y44" s="5">
        <f>15.7/9.5</f>
        <v>1.6526315789473685</v>
      </c>
      <c r="Z44" s="5" t="s">
        <v>46</v>
      </c>
      <c r="AA44" s="5"/>
      <c r="AB44" s="5"/>
      <c r="AC44" s="5">
        <f>6.9/10.3</f>
        <v>0.66990291262135926</v>
      </c>
      <c r="AD44" s="5">
        <f>10.3/27.4</f>
        <v>0.37591240875912413</v>
      </c>
      <c r="AE44" s="5">
        <f>6.9/27.4</f>
        <v>0.2518248175182482</v>
      </c>
      <c r="AF44" s="5">
        <f>20.4/27.4</f>
        <v>0.74452554744525545</v>
      </c>
      <c r="AG44" s="5">
        <f>2.3/10.3</f>
        <v>0.22330097087378636</v>
      </c>
      <c r="AH44" s="5">
        <f>1/6.9</f>
        <v>0.14492753623188406</v>
      </c>
      <c r="AI44" s="5">
        <f>5.7/20.4</f>
        <v>0.27941176470588236</v>
      </c>
      <c r="AJ44" s="5">
        <f>22/9.9</f>
        <v>2.2222222222222223</v>
      </c>
      <c r="AK44" s="5">
        <f>17.1/42.5</f>
        <v>0.40235294117647064</v>
      </c>
      <c r="AL44" s="5">
        <f>25.3/48.9</f>
        <v>0.51738241308793465</v>
      </c>
      <c r="AM44" s="5">
        <f>63.7/182.8</f>
        <v>0.34846827133479213</v>
      </c>
      <c r="AN44" s="5">
        <f>8.9/14.3</f>
        <v>0.6223776223776224</v>
      </c>
      <c r="AO44" s="5">
        <f>110.7/182.8</f>
        <v>0.60557986870897151</v>
      </c>
      <c r="AP44" s="5">
        <f>61.8/182.8</f>
        <v>0.3380743982494529</v>
      </c>
      <c r="AQ44" s="5">
        <f>109.8/182.8</f>
        <v>0.60065645514223187</v>
      </c>
      <c r="AR44" s="5">
        <f>65.4/145.7</f>
        <v>0.44886753603294449</v>
      </c>
      <c r="AS44" s="5">
        <f>28.3/65.4</f>
        <v>0.43272171253822628</v>
      </c>
    </row>
    <row r="45" spans="1:45" x14ac:dyDescent="0.2">
      <c r="A45" s="7" t="s">
        <v>102</v>
      </c>
      <c r="B45" t="s">
        <v>77</v>
      </c>
      <c r="C45">
        <v>152.1</v>
      </c>
      <c r="D45">
        <v>149.7333333</v>
      </c>
      <c r="E45" s="5">
        <v>571</v>
      </c>
      <c r="F45" s="5">
        <v>500</v>
      </c>
      <c r="G45" s="5">
        <f>19.9/79.29</f>
        <v>0.25097742464371292</v>
      </c>
      <c r="H45" s="5">
        <f>18.4/19.9</f>
        <v>0.92462311557788945</v>
      </c>
      <c r="I45" s="5">
        <f>29.2/12.8</f>
        <v>2.28125</v>
      </c>
      <c r="J45" s="5"/>
      <c r="K45" s="5">
        <f>26/24.3</f>
        <v>1.0699588477366255</v>
      </c>
      <c r="L45" s="5">
        <f>11.8/29.2</f>
        <v>0.40410958904109595</v>
      </c>
      <c r="M45" s="5"/>
      <c r="N45" s="5"/>
      <c r="O45" s="5"/>
      <c r="P45" s="5">
        <f>9.5/24.3</f>
        <v>0.39094650205761317</v>
      </c>
      <c r="Q45" s="5"/>
      <c r="R45" s="5"/>
      <c r="S45" s="5"/>
      <c r="T45" s="5">
        <f>13.2/7.9</f>
        <v>1.6708860759493669</v>
      </c>
      <c r="U45" s="5">
        <f>0.177/1.089</f>
        <v>0.16253443526170799</v>
      </c>
      <c r="V45" s="5">
        <f>0.829/0.542</f>
        <v>1.5295202952029519</v>
      </c>
      <c r="W45" s="5">
        <f>0.628/0.411</f>
        <v>1.5279805352798055</v>
      </c>
      <c r="X45" s="5"/>
      <c r="Y45" s="5">
        <f>16/11.3</f>
        <v>1.415929203539823</v>
      </c>
      <c r="Z45" s="5" t="s">
        <v>46</v>
      </c>
      <c r="AA45" s="5"/>
      <c r="AB45" s="5"/>
      <c r="AC45" s="5">
        <f>0.825/1.322</f>
        <v>0.62405446293494704</v>
      </c>
      <c r="AD45" s="5">
        <f>1.322/4.631</f>
        <v>0.28546750161952061</v>
      </c>
      <c r="AE45" s="6">
        <f>403.96/1000</f>
        <v>0.40395999999999999</v>
      </c>
      <c r="AF45" s="5">
        <f>23.8/33.1</f>
        <v>0.7190332326283988</v>
      </c>
      <c r="AG45" s="5">
        <f>0.429/1.322</f>
        <v>0.32450832072617247</v>
      </c>
      <c r="AH45" s="5">
        <f>0.189/0.825</f>
        <v>0.2290909090909091</v>
      </c>
      <c r="AI45" s="5">
        <f>6.2/23.8</f>
        <v>0.26050420168067229</v>
      </c>
      <c r="AJ45" s="5">
        <f>0.894/0.271</f>
        <v>3.298892988929889</v>
      </c>
      <c r="AK45" s="5">
        <f>0.429/1.776</f>
        <v>0.24155405405405406</v>
      </c>
      <c r="AL45" s="5">
        <f>1.092/0.542</f>
        <v>2.0147601476014758</v>
      </c>
      <c r="AM45" s="6">
        <f>12.87/32.72</f>
        <v>0.39333740831295844</v>
      </c>
      <c r="AN45" s="5">
        <f>0.25/0.323</f>
        <v>0.77399380804953555</v>
      </c>
      <c r="AO45" s="6">
        <f>21.98/32.72</f>
        <v>0.67176039119804409</v>
      </c>
      <c r="AP45" s="6">
        <f>15.14/32.72</f>
        <v>0.46271393643031788</v>
      </c>
      <c r="AQ45" s="6">
        <f>23.21/32.72</f>
        <v>0.70935207823960889</v>
      </c>
      <c r="AR45" s="5">
        <f>19.9/59.36</f>
        <v>0.33524258760107817</v>
      </c>
      <c r="AS45" s="5">
        <f>4/19.9</f>
        <v>0.20100502512562815</v>
      </c>
    </row>
    <row r="46" spans="1:45" x14ac:dyDescent="0.2">
      <c r="A46" s="7" t="s">
        <v>103</v>
      </c>
      <c r="B46" t="s">
        <v>56</v>
      </c>
      <c r="C46">
        <v>330.9</v>
      </c>
      <c r="D46">
        <v>323.2</v>
      </c>
      <c r="E46" s="5">
        <v>96</v>
      </c>
      <c r="F46" s="5">
        <v>90</v>
      </c>
      <c r="G46" s="5">
        <f>23.9/96</f>
        <v>0.24895833333333331</v>
      </c>
      <c r="H46" s="5">
        <f>16.7/23.9</f>
        <v>0.69874476987447698</v>
      </c>
      <c r="I46" s="5">
        <f>13.7/6.9</f>
        <v>1.9855072463768113</v>
      </c>
      <c r="J46" s="5"/>
      <c r="K46" s="5"/>
      <c r="L46" s="5">
        <f>6.9/13.7</f>
        <v>0.5036496350364964</v>
      </c>
      <c r="M46" s="5"/>
      <c r="N46" s="5"/>
      <c r="O46" s="5">
        <f>0.918/1.254</f>
        <v>0.73205741626794263</v>
      </c>
      <c r="P46" s="5">
        <f>0.486/1.154</f>
        <v>0.42114384748700173</v>
      </c>
      <c r="Q46" s="5"/>
      <c r="R46" s="5"/>
      <c r="S46" s="5"/>
      <c r="T46" s="5">
        <f>6.3/4.6</f>
        <v>1.3695652173913044</v>
      </c>
      <c r="U46" s="5">
        <f>1.4/7.8</f>
        <v>0.17948717948717949</v>
      </c>
      <c r="V46" s="5">
        <f>7.7/4.4</f>
        <v>1.75</v>
      </c>
      <c r="W46" s="5">
        <f>7/6.3</f>
        <v>1.1111111111111112</v>
      </c>
      <c r="X46" s="5">
        <f>0.827/0.49</f>
        <v>1.6877551020408164</v>
      </c>
      <c r="Y46" s="5">
        <f>11.1/5.8</f>
        <v>1.9137931034482758</v>
      </c>
      <c r="Z46" s="5">
        <f>0.65/0.344</f>
        <v>1.8895348837209305</v>
      </c>
      <c r="AA46" s="5"/>
      <c r="AB46" s="5"/>
      <c r="AC46" s="5">
        <f>0.656/0.663</f>
        <v>0.98944193061840124</v>
      </c>
      <c r="AD46" s="5">
        <f>4.5/14.6</f>
        <v>0.30821917808219179</v>
      </c>
      <c r="AE46" s="5">
        <f>0.656/2.424</f>
        <v>0.27062706270627063</v>
      </c>
      <c r="AF46" s="5">
        <f>10.8/14.6</f>
        <v>0.73972602739726034</v>
      </c>
      <c r="AG46" s="5">
        <f>0.9/4.5</f>
        <v>0.2</v>
      </c>
      <c r="AH46" s="5">
        <f>0.132/0.656</f>
        <v>0.20121951219512196</v>
      </c>
      <c r="AI46" s="5">
        <f>2.7/10.8</f>
        <v>0.25</v>
      </c>
      <c r="AJ46" s="5"/>
      <c r="AK46" s="9">
        <f>6/22.6</f>
        <v>0.26548672566371678</v>
      </c>
      <c r="AL46" s="5">
        <f>4.3/6.5</f>
        <v>0.66153846153846152</v>
      </c>
      <c r="AM46" s="5">
        <f>40.9/90</f>
        <v>0.45444444444444443</v>
      </c>
      <c r="AN46" s="5">
        <f>4.5/4.1</f>
        <v>1.0975609756097562</v>
      </c>
      <c r="AO46" s="5">
        <f>57/90</f>
        <v>0.6333333333333333</v>
      </c>
      <c r="AP46" s="5">
        <f>37.2/90</f>
        <v>0.41333333333333339</v>
      </c>
      <c r="AQ46" s="5">
        <f>50.4/90</f>
        <v>0.55999999999999994</v>
      </c>
      <c r="AR46" s="5">
        <f>24/90.1</f>
        <v>0.26637069922308548</v>
      </c>
      <c r="AS46" s="9">
        <f>5.9/24</f>
        <v>0.24583333333333335</v>
      </c>
    </row>
    <row r="47" spans="1:45" x14ac:dyDescent="0.2">
      <c r="A47" s="7" t="s">
        <v>104</v>
      </c>
      <c r="B47" t="s">
        <v>54</v>
      </c>
      <c r="C47">
        <v>245.46666669999999</v>
      </c>
      <c r="D47">
        <v>242</v>
      </c>
      <c r="E47" s="5">
        <v>232.2</v>
      </c>
      <c r="F47" s="5">
        <v>230</v>
      </c>
      <c r="G47" s="5">
        <f>47.2/232.2</f>
        <v>0.20327304048234282</v>
      </c>
      <c r="H47" s="5">
        <f>27.9/33.7</f>
        <v>0.82789317507418392</v>
      </c>
      <c r="I47" s="5">
        <f>19.1/11.4</f>
        <v>1.6754385964912282</v>
      </c>
      <c r="J47" s="5"/>
      <c r="K47" s="5"/>
      <c r="L47" s="5">
        <f>0.546/2.054</f>
        <v>0.26582278481012661</v>
      </c>
      <c r="M47" s="5">
        <f>0.72/0.981</f>
        <v>0.73394495412844041</v>
      </c>
      <c r="N47" s="5"/>
      <c r="O47" s="5">
        <f>10.5/11.4</f>
        <v>0.92105263157894735</v>
      </c>
      <c r="P47" s="10">
        <f>6.03/11.47</f>
        <v>0.52571926765475152</v>
      </c>
      <c r="Q47" s="5"/>
      <c r="R47" s="5"/>
      <c r="S47" s="5">
        <f>0.225/0.177</f>
        <v>1.2711864406779663</v>
      </c>
      <c r="T47" s="10">
        <f>20.05/5.72</f>
        <v>3.5052447552447554</v>
      </c>
      <c r="U47" s="5">
        <f>0.272/1.255</f>
        <v>0.21673306772908371</v>
      </c>
      <c r="V47" s="5">
        <f>5.1/5</f>
        <v>1.02</v>
      </c>
      <c r="W47" s="5"/>
      <c r="X47" s="10">
        <f>5.84/5.99</f>
        <v>0.97495826377295491</v>
      </c>
      <c r="Y47" s="5">
        <f>14.6/9.7</f>
        <v>1.5051546391752577</v>
      </c>
      <c r="Z47" s="5"/>
      <c r="AA47" s="5"/>
      <c r="AB47" s="5">
        <f>27/34.5</f>
        <v>0.78260869565217395</v>
      </c>
      <c r="AC47" s="5">
        <f>3.6/8.8</f>
        <v>0.40909090909090906</v>
      </c>
      <c r="AD47" s="5">
        <f>8.8/24</f>
        <v>0.3666666666666667</v>
      </c>
      <c r="AE47" s="5">
        <f>3.6/24</f>
        <v>0.15</v>
      </c>
      <c r="AF47" s="5">
        <f>15.9/24</f>
        <v>0.66249999999999998</v>
      </c>
      <c r="AG47" s="5">
        <f>1.9/8.8</f>
        <v>0.21590909090909088</v>
      </c>
      <c r="AH47" s="5">
        <f>0.4/3.6</f>
        <v>0.11111111111111112</v>
      </c>
      <c r="AI47" s="5">
        <f>2.7/15.9</f>
        <v>0.169811320754717</v>
      </c>
      <c r="AJ47" s="5">
        <f>17.1/4.1</f>
        <v>4.1707317073170742</v>
      </c>
      <c r="AK47" s="6">
        <f>2.08/12.48</f>
        <v>0.16666666666666666</v>
      </c>
      <c r="AL47" s="6">
        <f>6.51/8.22</f>
        <v>0.79197080291970789</v>
      </c>
      <c r="AM47" s="5">
        <f>93.8/230</f>
        <v>0.40782608695652173</v>
      </c>
      <c r="AN47" s="5">
        <f>12.9/17.2</f>
        <v>0.75</v>
      </c>
      <c r="AO47" s="6">
        <f>24.79/38.71</f>
        <v>0.64040299664169464</v>
      </c>
      <c r="AP47" s="5">
        <f>102.4/230</f>
        <v>0.44521739130434784</v>
      </c>
      <c r="AQ47" s="6">
        <f>28.81/38.71</f>
        <v>0.74425213123223966</v>
      </c>
      <c r="AR47" s="5">
        <f>60/172.2</f>
        <v>0.34843205574912894</v>
      </c>
      <c r="AS47" s="6">
        <f>11.78/20.97</f>
        <v>0.5617548879351455</v>
      </c>
    </row>
    <row r="48" spans="1:45" x14ac:dyDescent="0.2">
      <c r="A48" s="7" t="s">
        <v>105</v>
      </c>
      <c r="B48" t="s">
        <v>64</v>
      </c>
      <c r="C48">
        <v>100.5</v>
      </c>
      <c r="D48">
        <v>93.9</v>
      </c>
      <c r="E48" s="5"/>
      <c r="F48" s="5">
        <v>558</v>
      </c>
      <c r="G48" s="5"/>
      <c r="H48" s="5">
        <f>122.4/150</f>
        <v>0.81600000000000006</v>
      </c>
      <c r="I48" s="5">
        <f>44.9/25.6</f>
        <v>1.7539062499999998</v>
      </c>
      <c r="J48" s="5">
        <f>18.4/44.9</f>
        <v>0.40979955456570155</v>
      </c>
      <c r="K48" s="5">
        <f>22.9/25.6</f>
        <v>0.89453124999999989</v>
      </c>
      <c r="L48" s="5">
        <f>29.2/44.9</f>
        <v>0.65033407572383073</v>
      </c>
      <c r="M48" s="5">
        <f>7.4/15.2</f>
        <v>0.48684210526315796</v>
      </c>
      <c r="N48" s="6">
        <f>2.04/6.02</f>
        <v>0.33887043189368776</v>
      </c>
      <c r="O48" s="5">
        <f>15.2/25.6</f>
        <v>0.59374999999999989</v>
      </c>
      <c r="P48" s="5">
        <f>0.594/1.355</f>
        <v>0.43837638376383764</v>
      </c>
      <c r="Q48" s="5"/>
      <c r="R48" s="5"/>
      <c r="S48" s="5"/>
      <c r="T48" s="5">
        <f>29.9/23.2</f>
        <v>1.2887931034482758</v>
      </c>
      <c r="U48" s="5">
        <f>5.9/39</f>
        <v>0.1512820512820513</v>
      </c>
      <c r="V48" s="5">
        <f>23.2/24</f>
        <v>0.96666666666666667</v>
      </c>
      <c r="W48" s="5">
        <f>21.3/18.7</f>
        <v>1.1390374331550803</v>
      </c>
      <c r="X48" s="5">
        <f>13.3/32.8</f>
        <v>0.40548780487804886</v>
      </c>
      <c r="Y48" s="5">
        <f>52.3/35.7</f>
        <v>1.464985994397759</v>
      </c>
      <c r="Z48" s="5" t="s">
        <v>46</v>
      </c>
      <c r="AA48" s="5">
        <f>48.6/6.7</f>
        <v>7.2537313432835822</v>
      </c>
      <c r="AB48" s="5">
        <f>30/53.8</f>
        <v>0.55762081784386619</v>
      </c>
      <c r="AC48" s="5">
        <f>26.1/40.4</f>
        <v>0.64603960396039606</v>
      </c>
      <c r="AD48" s="5">
        <f>40.4/84.8</f>
        <v>0.47641509433962265</v>
      </c>
      <c r="AE48" s="5">
        <f>26.1/84.8</f>
        <v>0.30778301886792453</v>
      </c>
      <c r="AF48" s="5">
        <f>61.8/84.8</f>
        <v>0.72877358490566035</v>
      </c>
      <c r="AG48" s="5">
        <f>12/40.4</f>
        <v>0.29702970297029702</v>
      </c>
      <c r="AH48" s="5">
        <f>4.7/26.1</f>
        <v>0.18007662835249041</v>
      </c>
      <c r="AI48" s="5">
        <f>18.8/61.8</f>
        <v>0.30420711974110037</v>
      </c>
      <c r="AJ48" s="5">
        <f>69.1/25.6</f>
        <v>2.6992187499999996</v>
      </c>
      <c r="AK48" s="5">
        <f>60.5/144.8</f>
        <v>0.41781767955801102</v>
      </c>
      <c r="AL48" s="5">
        <f>56.7/50.1</f>
        <v>1.1317365269461077</v>
      </c>
      <c r="AM48" s="6">
        <f>10.83/23.65</f>
        <v>0.45792811839323472</v>
      </c>
      <c r="AN48" s="5">
        <f>33.6/62.7</f>
        <v>0.53588516746411485</v>
      </c>
      <c r="AO48" s="6">
        <f>16.62/23.65</f>
        <v>0.70274841437632141</v>
      </c>
      <c r="AP48" s="6">
        <f>11.85/23.65</f>
        <v>0.5010570824524313</v>
      </c>
      <c r="AQ48" s="6">
        <f>16.74/23.65</f>
        <v>0.70782241014799152</v>
      </c>
      <c r="AR48" s="5"/>
      <c r="AS48" s="5"/>
    </row>
    <row r="49" spans="1:45" x14ac:dyDescent="0.2">
      <c r="A49" s="3" t="s">
        <v>106</v>
      </c>
      <c r="B49" t="s">
        <v>64</v>
      </c>
      <c r="C49">
        <v>100.5</v>
      </c>
      <c r="D49">
        <v>93.9</v>
      </c>
      <c r="E49" s="16"/>
      <c r="F49" s="4">
        <v>450</v>
      </c>
      <c r="G49" s="4"/>
      <c r="H49" s="10">
        <f>74.19/101.85</f>
        <v>0.72842415316642117</v>
      </c>
      <c r="I49" s="4">
        <f>49.6/28.4</f>
        <v>1.7464788732394367</v>
      </c>
      <c r="J49" s="4">
        <f>19.9/49.6</f>
        <v>0.40120967741935482</v>
      </c>
      <c r="K49" s="4">
        <f>27.8/28.4</f>
        <v>0.97887323943661975</v>
      </c>
      <c r="L49" s="10">
        <f>21.1/61.46</f>
        <v>0.34331272372274652</v>
      </c>
      <c r="M49" s="4">
        <f>5.7/17.5</f>
        <v>0.32571428571428573</v>
      </c>
      <c r="N49" s="6">
        <f>3.03/8.76</f>
        <v>0.3458904109589041</v>
      </c>
      <c r="O49" s="4">
        <f>17.5/28.4</f>
        <v>0.61619718309859162</v>
      </c>
      <c r="P49" s="4">
        <f>13.9/28.4</f>
        <v>0.48943661971830987</v>
      </c>
      <c r="Q49" s="4" t="s">
        <v>46</v>
      </c>
      <c r="R49" s="4" t="s">
        <v>46</v>
      </c>
      <c r="S49" s="4">
        <f>3.1/5.7</f>
        <v>0.54385964912280704</v>
      </c>
      <c r="T49" s="10">
        <f>36.17/16.94</f>
        <v>2.1351829988193622</v>
      </c>
      <c r="U49" s="6">
        <f>0.6/1.8</f>
        <v>0.33333333333333331</v>
      </c>
      <c r="V49" s="10">
        <f>19.96/15.82</f>
        <v>1.2616940581542351</v>
      </c>
      <c r="W49" s="5"/>
      <c r="X49" s="5"/>
      <c r="Y49" s="10">
        <f>37.65/28.05</f>
        <v>1.3422459893048126</v>
      </c>
      <c r="Z49" s="4" t="s">
        <v>46</v>
      </c>
      <c r="AA49" s="4"/>
      <c r="AB49" s="4">
        <f>26.2/46.7</f>
        <v>0.56102783725910055</v>
      </c>
      <c r="AC49" s="4">
        <f>0.405/0.709</f>
        <v>0.57122708039492254</v>
      </c>
      <c r="AD49" s="10">
        <f>19.23/61.53</f>
        <v>0.31253047294002928</v>
      </c>
      <c r="AE49" s="5">
        <f>0.405/2.365</f>
        <v>0.17124735729386892</v>
      </c>
      <c r="AF49" s="5">
        <f>1.727/2.365</f>
        <v>0.7302325581395348</v>
      </c>
      <c r="AG49" s="10">
        <f>6.5/19.23</f>
        <v>0.33801352054082162</v>
      </c>
      <c r="AH49" s="5">
        <f>0.084/0.405</f>
        <v>0.2074074074074074</v>
      </c>
      <c r="AI49" s="10">
        <f>7.52/44.39</f>
        <v>0.16940752421716601</v>
      </c>
      <c r="AJ49" s="4"/>
      <c r="AK49" s="4"/>
      <c r="AL49" s="4"/>
      <c r="AM49" s="4"/>
      <c r="AN49" s="4">
        <f>0.297/0.818</f>
        <v>0.363080684596577</v>
      </c>
      <c r="AO49" s="4"/>
      <c r="AP49" s="17"/>
      <c r="AQ49" s="4"/>
      <c r="AR49" s="4"/>
      <c r="AS49" s="4"/>
    </row>
    <row r="50" spans="1:45" x14ac:dyDescent="0.2">
      <c r="A50" s="3" t="s">
        <v>107</v>
      </c>
      <c r="B50" t="s">
        <v>77</v>
      </c>
      <c r="C50">
        <v>152.1</v>
      </c>
      <c r="D50">
        <v>149.7333333</v>
      </c>
      <c r="E50" s="4">
        <v>511.31</v>
      </c>
      <c r="F50" s="4">
        <v>500</v>
      </c>
      <c r="G50" s="10">
        <f>151.25/511.31</f>
        <v>0.29580880483464045</v>
      </c>
      <c r="H50" s="10">
        <f>106.37/151.25</f>
        <v>0.70327272727272727</v>
      </c>
      <c r="I50" s="10">
        <f>67.23/41.44</f>
        <v>1.6223455598455601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f>0.942/0.76</f>
        <v>1.2394736842105263</v>
      </c>
      <c r="Z50" s="4"/>
      <c r="AA50" s="4"/>
      <c r="AB50" s="4"/>
      <c r="AC50" s="4"/>
      <c r="AD50" s="4">
        <f>0.718/1.813</f>
        <v>0.39602868174296746</v>
      </c>
      <c r="AE50" s="4"/>
      <c r="AF50" s="4"/>
      <c r="AG50" s="4"/>
      <c r="AH50" s="4"/>
      <c r="AI50" s="4">
        <f>0.337/1.316</f>
        <v>0.2560790273556231</v>
      </c>
      <c r="AJ50" s="4"/>
      <c r="AK50" s="10">
        <f>46.74/151.25</f>
        <v>0.30902479338842975</v>
      </c>
      <c r="AL50" s="10">
        <f>31.53/61.28</f>
        <v>0.51452349869451697</v>
      </c>
      <c r="AM50" s="10">
        <f>193.92/500</f>
        <v>0.38783999999999996</v>
      </c>
      <c r="AN50" s="10"/>
      <c r="AO50" s="10">
        <f>337.06/500</f>
        <v>0.67412000000000005</v>
      </c>
      <c r="AP50" s="18">
        <f>270.29/500</f>
        <v>0.54058000000000006</v>
      </c>
      <c r="AQ50" s="10">
        <f>375.68/500</f>
        <v>0.75136000000000003</v>
      </c>
      <c r="AR50" s="10">
        <f>94.81/416.5</f>
        <v>0.22763505402160866</v>
      </c>
      <c r="AS50" s="4"/>
    </row>
    <row r="51" spans="1:45" x14ac:dyDescent="0.2">
      <c r="A51" s="3" t="s">
        <v>108</v>
      </c>
      <c r="B51" t="s">
        <v>64</v>
      </c>
      <c r="C51">
        <v>98.3</v>
      </c>
      <c r="D51">
        <v>96.1</v>
      </c>
      <c r="E51" s="4">
        <v>93.5</v>
      </c>
      <c r="F51" s="4">
        <v>80.900000000000006</v>
      </c>
      <c r="G51" s="4">
        <f>22.8/93.5</f>
        <v>0.24385026737967916</v>
      </c>
      <c r="H51" s="4">
        <f>25.6/22.8</f>
        <v>1.1228070175438596</v>
      </c>
      <c r="I51" s="4">
        <f>14.9/5.9</f>
        <v>2.5254237288135593</v>
      </c>
      <c r="J51" s="4"/>
      <c r="K51" s="4"/>
      <c r="L51" s="4">
        <f>8.2/14.9</f>
        <v>0.55033557046979864</v>
      </c>
      <c r="M51" s="4"/>
      <c r="N51" s="4"/>
      <c r="O51" s="4"/>
      <c r="P51" s="19"/>
      <c r="Q51" s="4"/>
      <c r="R51" s="4"/>
      <c r="S51" s="4"/>
      <c r="T51" s="4">
        <f>3.8/3.3</f>
        <v>1.1515151515151516</v>
      </c>
      <c r="U51" s="4">
        <f>1/8.7</f>
        <v>0.1149425287356322</v>
      </c>
      <c r="V51" s="4">
        <f>7.8/4.1</f>
        <v>1.902439024390244</v>
      </c>
      <c r="W51" s="4"/>
      <c r="X51" s="4"/>
      <c r="Y51" s="4">
        <f>12.7/8</f>
        <v>1.5874999999999999</v>
      </c>
      <c r="Z51" s="4"/>
      <c r="AA51" s="4"/>
      <c r="AB51" s="4"/>
      <c r="AC51" s="4"/>
      <c r="AD51" s="4">
        <f>4.7/14.9</f>
        <v>0.31543624161073824</v>
      </c>
      <c r="AE51" s="4"/>
      <c r="AF51" s="4">
        <f>12.7/14.9</f>
        <v>0.85234899328859048</v>
      </c>
      <c r="AG51" s="4">
        <f>1.3/4.7</f>
        <v>0.27659574468085107</v>
      </c>
      <c r="AH51" s="4"/>
      <c r="AI51" s="4">
        <f>2.9/12.7</f>
        <v>0.2283464566929134</v>
      </c>
      <c r="AJ51" s="4"/>
      <c r="AK51" s="4">
        <f>6.9/30.3</f>
        <v>0.22772277227722773</v>
      </c>
      <c r="AL51" s="4">
        <f>11.2/12.6</f>
        <v>0.88888888888888884</v>
      </c>
      <c r="AM51" s="4">
        <f>27.2/80.9</f>
        <v>0.33621755253399255</v>
      </c>
      <c r="AN51" s="4">
        <f>0.166/0.373</f>
        <v>0.44504021447721182</v>
      </c>
      <c r="AO51" s="4">
        <f>49.8/80.9</f>
        <v>0.61557478368355989</v>
      </c>
      <c r="AP51" s="4">
        <f>38/80.9</f>
        <v>0.46971569839307786</v>
      </c>
      <c r="AQ51" s="4">
        <f>55.7/80.9</f>
        <v>0.68850432632880099</v>
      </c>
      <c r="AR51" s="4">
        <f>28.9/64.6</f>
        <v>0.44736842105263158</v>
      </c>
      <c r="AS51" s="4">
        <f>21.7/28.9</f>
        <v>0.75086505190311414</v>
      </c>
    </row>
    <row r="52" spans="1:45" x14ac:dyDescent="0.2">
      <c r="A52" s="3" t="s">
        <v>109</v>
      </c>
      <c r="B52" t="s">
        <v>62</v>
      </c>
      <c r="C52">
        <v>117</v>
      </c>
      <c r="D52">
        <v>113</v>
      </c>
      <c r="E52" s="4">
        <v>1426.7</v>
      </c>
      <c r="F52" s="4">
        <v>1277</v>
      </c>
      <c r="G52" s="4">
        <f>382.2/1426.7</f>
        <v>0.26789093712763717</v>
      </c>
      <c r="H52" s="4">
        <f>238.2/382.2</f>
        <v>0.62323390894819464</v>
      </c>
      <c r="I52" s="4">
        <f>187.2/64.9</f>
        <v>2.8844375963020026</v>
      </c>
      <c r="J52" s="4">
        <f>69.5/138.9</f>
        <v>0.5003599712023038</v>
      </c>
      <c r="K52" s="4">
        <f>114.8/42.3</f>
        <v>2.7139479905437351</v>
      </c>
      <c r="L52" s="4"/>
      <c r="M52" s="4">
        <f>61/67.6</f>
        <v>0.9023668639053255</v>
      </c>
      <c r="N52" s="6">
        <f>2.15/5.5</f>
        <v>0.39090909090909087</v>
      </c>
      <c r="O52" s="4">
        <f>67.6/64.9</f>
        <v>1.0416024653312788</v>
      </c>
      <c r="P52" s="4">
        <f>55.1/42.3</f>
        <v>1.302600472813239</v>
      </c>
      <c r="Q52" s="4" t="s">
        <v>46</v>
      </c>
      <c r="R52" s="4" t="s">
        <v>46</v>
      </c>
      <c r="S52" s="4">
        <f>34/54.4</f>
        <v>0.625</v>
      </c>
      <c r="T52" s="4">
        <f>67.7/152.4</f>
        <v>0.44422572178477693</v>
      </c>
      <c r="U52" s="4">
        <f>22.7/156.3</f>
        <v>0.14523352527191297</v>
      </c>
      <c r="V52" s="4">
        <f>76.4/94.6</f>
        <v>0.80761099365750544</v>
      </c>
      <c r="W52" s="4">
        <f>44.8/60.8</f>
        <v>0.73684210526315785</v>
      </c>
      <c r="X52" s="4">
        <f>79.7/47.8</f>
        <v>1.6673640167364019</v>
      </c>
      <c r="Y52" s="4">
        <f>153.4/127.5</f>
        <v>1.2031372549019608</v>
      </c>
      <c r="Z52" s="4" t="s">
        <v>46</v>
      </c>
      <c r="AA52" s="4"/>
      <c r="AB52" s="4"/>
      <c r="AC52" s="4">
        <f>36.6/61.7</f>
        <v>0.59319286871961097</v>
      </c>
      <c r="AD52" s="4">
        <f>61.7/272.7</f>
        <v>0.22625595892922629</v>
      </c>
      <c r="AE52" s="4">
        <f>36.6/272.7</f>
        <v>0.13421342134213424</v>
      </c>
      <c r="AF52" s="4">
        <f>238.4/272.7</f>
        <v>0.87422075540887423</v>
      </c>
      <c r="AG52" s="4">
        <f>21.9/61.7</f>
        <v>0.35494327390599673</v>
      </c>
      <c r="AH52" s="4">
        <f>8.9/36.6</f>
        <v>0.24316939890710382</v>
      </c>
      <c r="AI52" s="4">
        <f>60.3/238.4</f>
        <v>0.25293624161073824</v>
      </c>
      <c r="AJ52" s="4"/>
      <c r="AK52" s="4"/>
      <c r="AL52" s="4"/>
      <c r="AM52" s="4">
        <f>557.6/1426.7</f>
        <v>0.39083198990677787</v>
      </c>
      <c r="AN52" s="4">
        <f>54/91.4</f>
        <v>0.5908096280087527</v>
      </c>
      <c r="AO52" s="4"/>
      <c r="AP52" s="6">
        <f>16.15/30.29</f>
        <v>0.53317926708484642</v>
      </c>
      <c r="AQ52" s="4"/>
      <c r="AR52" s="4">
        <f>356/1070.7</f>
        <v>0.33249276174465303</v>
      </c>
      <c r="AS52" s="4"/>
    </row>
    <row r="53" spans="1:45" x14ac:dyDescent="0.2">
      <c r="A53" s="3" t="s">
        <v>110</v>
      </c>
      <c r="B53" t="s">
        <v>77</v>
      </c>
      <c r="C53">
        <v>157.30000000000001</v>
      </c>
      <c r="D53">
        <v>93.9</v>
      </c>
      <c r="E53" s="4">
        <v>6300</v>
      </c>
      <c r="F53" s="4"/>
      <c r="G53" s="4"/>
      <c r="H53" s="10">
        <f>261.15/429.93</f>
        <v>0.60742446444770071</v>
      </c>
      <c r="I53" s="4">
        <f>129.4/63.6</f>
        <v>2.0345911949685536</v>
      </c>
      <c r="J53" s="4">
        <f>67.2/129.4</f>
        <v>0.51931993817619782</v>
      </c>
      <c r="K53" s="4">
        <f>114.8/63.6</f>
        <v>1.8050314465408803</v>
      </c>
      <c r="L53" s="4"/>
      <c r="M53" s="4">
        <f>36/49.4</f>
        <v>0.72874493927125505</v>
      </c>
      <c r="N53" s="6">
        <f>2.26/5.32</f>
        <v>0.42481203007518792</v>
      </c>
      <c r="O53" s="4">
        <f>49.4/63.6</f>
        <v>0.77672955974842761</v>
      </c>
      <c r="P53" s="4">
        <f>53.7/63.6</f>
        <v>0.84433962264150941</v>
      </c>
      <c r="Q53" s="4" t="s">
        <v>46</v>
      </c>
      <c r="R53" s="4" t="s">
        <v>46</v>
      </c>
      <c r="S53" s="4">
        <f>25/55.5</f>
        <v>0.45045045045045046</v>
      </c>
      <c r="T53" s="4"/>
      <c r="U53" s="4"/>
      <c r="V53" s="10">
        <f>80.9/148.31</f>
        <v>0.54547906412244629</v>
      </c>
      <c r="W53" s="10">
        <f>71.91/65.92</f>
        <v>1.0908677184466018</v>
      </c>
      <c r="X53" s="10">
        <f>74.9/58.42</f>
        <v>1.2820951728859979</v>
      </c>
      <c r="Y53" s="10">
        <f>171.52/134.07</f>
        <v>1.2793316923994928</v>
      </c>
      <c r="Z53" s="4"/>
      <c r="AA53" s="4"/>
      <c r="AB53" s="4"/>
      <c r="AC53" s="10">
        <f>86.69/83.94</f>
        <v>1.0327614963068859</v>
      </c>
      <c r="AD53" s="10">
        <f>83.94/312.09</f>
        <v>0.26896087667019131</v>
      </c>
      <c r="AE53" s="10">
        <f>86.69/312.09</f>
        <v>0.27777243743791857</v>
      </c>
      <c r="AF53" s="10">
        <f>236.19/312.09</f>
        <v>0.75680092281072775</v>
      </c>
      <c r="AG53" s="10">
        <f>16.75/83.94</f>
        <v>0.19954729568739576</v>
      </c>
      <c r="AH53" s="10">
        <f>8.54/86.69</f>
        <v>9.8511939093321024E-2</v>
      </c>
      <c r="AI53" s="10">
        <f>47.37/236.19</f>
        <v>0.20055887209450018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">
      <c r="A54" s="3" t="s">
        <v>111</v>
      </c>
      <c r="B54" t="s">
        <v>62</v>
      </c>
      <c r="C54">
        <v>145</v>
      </c>
      <c r="D54">
        <v>125</v>
      </c>
      <c r="E54" s="4"/>
      <c r="F54" s="4"/>
      <c r="G54" s="4"/>
      <c r="H54" s="1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0"/>
      <c r="W54" s="10"/>
      <c r="X54" s="10"/>
      <c r="Y54" s="10"/>
      <c r="Z54" s="4"/>
      <c r="AA54" s="4"/>
      <c r="AB54" s="4"/>
      <c r="AC54" s="10"/>
      <c r="AD54" s="10"/>
      <c r="AE54" s="10"/>
      <c r="AF54" s="10"/>
      <c r="AG54" s="10">
        <f>0.431/1.409</f>
        <v>0.30589070262597584</v>
      </c>
      <c r="AH54" s="10"/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">
      <c r="A55" s="3" t="s">
        <v>112</v>
      </c>
      <c r="B55" t="s">
        <v>62</v>
      </c>
      <c r="C55">
        <v>117</v>
      </c>
      <c r="D55">
        <v>108.83333330000001</v>
      </c>
      <c r="E55" s="4"/>
      <c r="F55" s="4"/>
      <c r="G55" s="4"/>
      <c r="H55" s="4"/>
      <c r="I55" s="4">
        <f>161.8/52.4</f>
        <v>3.0877862595419852</v>
      </c>
      <c r="J55" s="4">
        <f>78.2/161.8</f>
        <v>0.4833127317676143</v>
      </c>
      <c r="K55" s="4">
        <f>149.9/52.4</f>
        <v>2.8606870229007635</v>
      </c>
      <c r="L55" s="4"/>
      <c r="M55" s="4">
        <f>47.9/51.7</f>
        <v>0.92649903288201152</v>
      </c>
      <c r="N55" s="6" t="s">
        <v>113</v>
      </c>
      <c r="O55" s="4">
        <f>51.7/52.4</f>
        <v>0.98664122137404586</v>
      </c>
      <c r="P55" s="4">
        <f>70.7/52.4</f>
        <v>1.3492366412213741</v>
      </c>
      <c r="Q55" s="4" t="s">
        <v>46</v>
      </c>
      <c r="R55" s="4" t="s">
        <v>46</v>
      </c>
      <c r="S55" s="4">
        <f>33.4/52.4</f>
        <v>0.63740458015267176</v>
      </c>
      <c r="T55" s="4"/>
      <c r="U55" s="4">
        <f>0.119/1.163</f>
        <v>0.10232158211521926</v>
      </c>
      <c r="V55" s="4">
        <f>0.365/0.805</f>
        <v>0.45341614906832295</v>
      </c>
      <c r="W55" s="4">
        <f>0.365/0.552</f>
        <v>0.66123188405797095</v>
      </c>
      <c r="X55" s="4">
        <f>0.307/0.466</f>
        <v>0.65879828326180256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>0.522/1.99</f>
        <v>0.26231155778894472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">
      <c r="A56" s="3" t="s">
        <v>114</v>
      </c>
      <c r="B56" t="s">
        <v>64</v>
      </c>
      <c r="C56">
        <v>84.5</v>
      </c>
      <c r="D56">
        <v>70.066666670000004</v>
      </c>
      <c r="E56" s="4">
        <v>4500</v>
      </c>
      <c r="F56" s="4"/>
      <c r="G56" s="4"/>
      <c r="H56" s="4"/>
      <c r="I56" s="4"/>
      <c r="J56" s="4"/>
      <c r="K56" s="4"/>
      <c r="L56" s="4"/>
      <c r="M56" s="4">
        <f>0.501/0.802</f>
        <v>0.62468827930174564</v>
      </c>
      <c r="N56" s="4" t="s">
        <v>113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f>0.636/0.636</f>
        <v>1</v>
      </c>
      <c r="Z56" s="4"/>
      <c r="AA56" s="4">
        <f>194.6/89</f>
        <v>2.1865168539325843</v>
      </c>
      <c r="AB56" s="4">
        <f>118.1/306.3</f>
        <v>0.38556970290564802</v>
      </c>
      <c r="AC56" s="4">
        <f>144/185.6</f>
        <v>0.77586206896551724</v>
      </c>
      <c r="AD56" s="4">
        <f>185.6/414.8</f>
        <v>0.44744455159112823</v>
      </c>
      <c r="AE56" s="4">
        <f>144/414.8</f>
        <v>0.34715525554484089</v>
      </c>
      <c r="AF56" s="4">
        <f>263.7/414.8</f>
        <v>0.63572806171648988</v>
      </c>
      <c r="AG56" s="4">
        <f>45.5/185.6</f>
        <v>0.24515086206896552</v>
      </c>
      <c r="AH56" s="4">
        <f>19.8/144</f>
        <v>0.13750000000000001</v>
      </c>
      <c r="AI56" s="4">
        <f>80/263.7</f>
        <v>0.30337504740235116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">
      <c r="A57" s="3" t="s">
        <v>115</v>
      </c>
      <c r="B57" t="s">
        <v>45</v>
      </c>
      <c r="C57">
        <v>379.2</v>
      </c>
      <c r="D57">
        <v>375.7</v>
      </c>
      <c r="E57" s="4">
        <v>375</v>
      </c>
      <c r="F57" s="4">
        <v>308</v>
      </c>
      <c r="G57" s="4">
        <f>104.8/375</f>
        <v>0.27946666666666664</v>
      </c>
      <c r="H57" s="4">
        <f>74.6/104.8</f>
        <v>0.71183206106870223</v>
      </c>
      <c r="I57" s="4">
        <f>21.4/30.4</f>
        <v>0.70394736842105265</v>
      </c>
      <c r="J57" s="4">
        <f>23.8/21.4</f>
        <v>1.1121495327102804</v>
      </c>
      <c r="K57" s="4">
        <f>33.4/30.4</f>
        <v>1.0986842105263157</v>
      </c>
      <c r="L57" s="4">
        <f>0.417/1.188</f>
        <v>0.35101010101010099</v>
      </c>
      <c r="M57" s="4" t="s">
        <v>46</v>
      </c>
      <c r="N57" s="6">
        <f>1.46/6.01</f>
        <v>0.24292845257903495</v>
      </c>
      <c r="O57" s="4">
        <f>21.4/30.4</f>
        <v>0.70394736842105265</v>
      </c>
      <c r="P57" s="4">
        <f>11.8/30.4</f>
        <v>0.38815789473684215</v>
      </c>
      <c r="Q57" s="4">
        <f>13.4/22.6</f>
        <v>0.59292035398230092</v>
      </c>
      <c r="R57" s="4">
        <f>22.6/13.1</f>
        <v>1.7251908396946567</v>
      </c>
      <c r="S57" s="4">
        <f>13.4/13.7</f>
        <v>0.97810218978102192</v>
      </c>
      <c r="T57" s="4">
        <f>26.6/72.7</f>
        <v>0.36588720770288857</v>
      </c>
      <c r="U57" s="4"/>
      <c r="V57" s="4">
        <f>20.3/16</f>
        <v>1.26875</v>
      </c>
      <c r="W57" s="4">
        <f>38.6/27.8</f>
        <v>1.3884892086330936</v>
      </c>
      <c r="X57" s="4">
        <f>29.7/18.8</f>
        <v>1.5797872340425532</v>
      </c>
      <c r="Y57" s="4">
        <f>38.6/33.4</f>
        <v>1.1556886227544911</v>
      </c>
      <c r="Z57" s="4">
        <f>24.5/24.9</f>
        <v>0.98393574297188757</v>
      </c>
      <c r="AA57" s="4"/>
      <c r="AB57" s="4"/>
      <c r="AC57" s="4">
        <f>20.2/19.7</f>
        <v>1.0253807106598984</v>
      </c>
      <c r="AD57" s="4">
        <f>19.7/105.9</f>
        <v>0.18602455146364494</v>
      </c>
      <c r="AE57" s="4">
        <f>20.2/105.9</f>
        <v>0.19074598677998109</v>
      </c>
      <c r="AF57" s="4">
        <f>87.3/105.9</f>
        <v>0.82436260623229451</v>
      </c>
      <c r="AG57" s="4">
        <f>3.3/19.7</f>
        <v>0.16751269035532995</v>
      </c>
      <c r="AH57" s="4">
        <f>4.9/20.2</f>
        <v>0.2425742574257426</v>
      </c>
      <c r="AI57" s="4">
        <f>25.4/87.3</f>
        <v>0.29095074455899195</v>
      </c>
      <c r="AJ57" s="5">
        <f>52/26.6</f>
        <v>1.9548872180451127</v>
      </c>
      <c r="AK57" s="5">
        <f>2.8/85.8</f>
        <v>3.2634032634032632E-2</v>
      </c>
      <c r="AL57" s="5">
        <f>28.8/31.2</f>
        <v>0.92307692307692313</v>
      </c>
      <c r="AM57" s="6">
        <f>14.1/31.27</f>
        <v>0.45091141669331625</v>
      </c>
      <c r="AN57" s="5">
        <f>660.981/1268.158</f>
        <v>0.52121344501237232</v>
      </c>
      <c r="AO57" s="6">
        <f>21.3/31.27</f>
        <v>0.68116405500479693</v>
      </c>
      <c r="AP57" s="6">
        <f>17.73/31.27</f>
        <v>0.56699712184202111</v>
      </c>
      <c r="AQ57" s="6">
        <f>22.53/31.27</f>
        <v>0.72049888071634161</v>
      </c>
      <c r="AR57" s="5">
        <f>66.9/308.1</f>
        <v>0.21713729308666019</v>
      </c>
      <c r="AS57" s="4" t="s">
        <v>46</v>
      </c>
    </row>
    <row r="58" spans="1:45" x14ac:dyDescent="0.2">
      <c r="A58" s="3" t="s">
        <v>116</v>
      </c>
      <c r="B58" t="s">
        <v>52</v>
      </c>
      <c r="C58">
        <v>384.3666667</v>
      </c>
      <c r="D58">
        <v>382.7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>68.6/203.4</f>
        <v>0.33726647000983279</v>
      </c>
      <c r="AE58" s="4"/>
      <c r="AF58" s="4">
        <f>161.1/203.4</f>
        <v>0.79203539823008839</v>
      </c>
      <c r="AG58" s="4">
        <f>13.7/203.4</f>
        <v>6.7354965585054077E-2</v>
      </c>
      <c r="AH58" s="4"/>
      <c r="AI58" s="4">
        <f>28.5/161.1</f>
        <v>0.17690875232774675</v>
      </c>
      <c r="AJ58" s="4">
        <f>61.3/17.4</f>
        <v>3.5229885057471266</v>
      </c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">
      <c r="A59" s="3" t="s">
        <v>117</v>
      </c>
      <c r="B59" t="s">
        <v>54</v>
      </c>
      <c r="C59">
        <v>243.7333333</v>
      </c>
      <c r="D59">
        <v>242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">
      <c r="A60" s="3" t="s">
        <v>118</v>
      </c>
      <c r="B60" t="s">
        <v>119</v>
      </c>
      <c r="C60">
        <v>163.5</v>
      </c>
      <c r="D60">
        <v>152.1</v>
      </c>
      <c r="E60" s="4">
        <v>583.5</v>
      </c>
      <c r="F60" s="4">
        <v>472.5</v>
      </c>
      <c r="G60" s="4">
        <f>105.9/583.5</f>
        <v>0.18149100257069409</v>
      </c>
      <c r="H60" s="4">
        <f>81.8/98.8</f>
        <v>0.82793522267206476</v>
      </c>
      <c r="I60" s="4">
        <f>58.1/22.7</f>
        <v>2.5594713656387666</v>
      </c>
      <c r="J60" s="4"/>
      <c r="K60" s="4"/>
      <c r="L60" s="4">
        <f>19/58.1</f>
        <v>0.32702237521514627</v>
      </c>
      <c r="M60" s="4">
        <f>20.1/20.5</f>
        <v>0.98048780487804887</v>
      </c>
      <c r="N60" s="4"/>
      <c r="O60" s="4">
        <f>20.5/22.7</f>
        <v>0.90308370044052866</v>
      </c>
      <c r="P60" s="4">
        <f>18.7/22.7</f>
        <v>0.82378854625550657</v>
      </c>
      <c r="Q60" s="4" t="s">
        <v>46</v>
      </c>
      <c r="R60" s="4" t="s">
        <v>46</v>
      </c>
      <c r="S60" s="4">
        <f>14.5/10</f>
        <v>1.45</v>
      </c>
      <c r="T60" s="4">
        <f>30.3/29.1</f>
        <v>1.0412371134020619</v>
      </c>
      <c r="U60" s="4">
        <f>7.4/37.2</f>
        <v>0.19892473118279569</v>
      </c>
      <c r="V60" s="4">
        <f>18.8/15.3</f>
        <v>1.2287581699346406</v>
      </c>
      <c r="W60" s="4"/>
      <c r="X60" s="4"/>
      <c r="Y60" s="4">
        <f>40.9/26.8</f>
        <v>1.5261194029850744</v>
      </c>
      <c r="Z60" s="4" t="s">
        <v>46</v>
      </c>
      <c r="AA60" s="4"/>
      <c r="AB60" s="4"/>
      <c r="AC60" s="4">
        <f>17.6/29.1</f>
        <v>0.60481099656357395</v>
      </c>
      <c r="AD60" s="4">
        <f>29.1/69.1</f>
        <v>0.42112879884225768</v>
      </c>
      <c r="AE60" s="4">
        <f>17.6/69.1</f>
        <v>0.25470332850940669</v>
      </c>
      <c r="AF60" s="4">
        <f>46.7/69.1</f>
        <v>0.67583212735166431</v>
      </c>
      <c r="AG60" s="4">
        <f>2.7/29.1</f>
        <v>9.2783505154639179E-2</v>
      </c>
      <c r="AH60" s="4">
        <f>2.6/17.6</f>
        <v>0.14772727272727271</v>
      </c>
      <c r="AI60" s="4">
        <f>8/46.7</f>
        <v>0.17130620985010706</v>
      </c>
      <c r="AJ60" s="4"/>
      <c r="AK60" s="4"/>
      <c r="AL60" s="4">
        <f>0.146/0.901</f>
        <v>0.16204217536071031</v>
      </c>
      <c r="AM60" s="4">
        <f>153.7/472.5</f>
        <v>0.32529100529100524</v>
      </c>
      <c r="AN60" s="4">
        <f>24.4/29.6</f>
        <v>0.82432432432432423</v>
      </c>
      <c r="AO60" s="4">
        <f>293.5/472.5</f>
        <v>0.62116402116402114</v>
      </c>
      <c r="AP60" s="4">
        <f>205.4/472.5</f>
        <v>0.43470899470899471</v>
      </c>
      <c r="AQ60" s="4">
        <f>306.2/472.5</f>
        <v>0.64804232804232798</v>
      </c>
      <c r="AR60" s="4">
        <f>225/358.5</f>
        <v>0.62761506276150625</v>
      </c>
      <c r="AS60" s="4">
        <f>112.8/225</f>
        <v>0.5013333333333333</v>
      </c>
    </row>
    <row r="61" spans="1:45" x14ac:dyDescent="0.2">
      <c r="A61" s="3" t="s">
        <v>120</v>
      </c>
      <c r="B61" t="s">
        <v>60</v>
      </c>
      <c r="C61">
        <v>251.90199999999999</v>
      </c>
      <c r="D61">
        <v>251.2</v>
      </c>
      <c r="E61" s="4"/>
      <c r="F61" s="4">
        <v>140</v>
      </c>
      <c r="G61" s="6">
        <f>26.38/103.94</f>
        <v>0.25380026938618433</v>
      </c>
      <c r="H61" s="4">
        <f>24.2/29.1</f>
        <v>0.83161512027491402</v>
      </c>
      <c r="I61" s="4">
        <f>13.8/11.4</f>
        <v>1.2105263157894737</v>
      </c>
      <c r="J61" s="4"/>
      <c r="K61" s="4"/>
      <c r="L61" s="4">
        <f>6.8/12.1</f>
        <v>0.56198347107438018</v>
      </c>
      <c r="M61" s="4"/>
      <c r="N61" s="4"/>
      <c r="O61" s="4">
        <f>0.425/0.622</f>
        <v>0.68327974276527326</v>
      </c>
      <c r="P61" s="4">
        <f>0.273/0.622</f>
        <v>0.43890675241157562</v>
      </c>
      <c r="Q61" s="4"/>
      <c r="R61" s="4"/>
      <c r="S61" s="4"/>
      <c r="T61" s="4">
        <f>5.4/6.9</f>
        <v>0.78260869565217395</v>
      </c>
      <c r="U61" s="4">
        <f>1.4/7.5</f>
        <v>0.18666666666666665</v>
      </c>
      <c r="V61" s="4">
        <f>5.8/6.1</f>
        <v>0.9508196721311476</v>
      </c>
      <c r="W61" s="4">
        <f>5.7/6.7</f>
        <v>0.85074626865671643</v>
      </c>
      <c r="X61" s="4">
        <f>5.4/1.8</f>
        <v>3</v>
      </c>
      <c r="Y61" s="4">
        <f>12.2/9.3</f>
        <v>1.311827956989247</v>
      </c>
      <c r="Z61" s="4"/>
      <c r="AA61" s="4"/>
      <c r="AB61" s="4"/>
      <c r="AC61" s="4"/>
      <c r="AD61" s="4"/>
      <c r="AE61" s="4"/>
      <c r="AF61" s="4">
        <f>16.8/23.3</f>
        <v>0.72103004291845496</v>
      </c>
      <c r="AG61" s="4"/>
      <c r="AH61" s="4"/>
      <c r="AI61" s="4">
        <f>3.8/16.8</f>
        <v>0.22619047619047616</v>
      </c>
      <c r="AJ61" s="4">
        <f>15.5/4.3</f>
        <v>3.6046511627906979</v>
      </c>
      <c r="AK61" s="4"/>
      <c r="AL61" s="4"/>
      <c r="AM61" s="13">
        <f>14.9/37.84</f>
        <v>0.39376321353065535</v>
      </c>
      <c r="AN61" s="10"/>
      <c r="AO61" s="13">
        <f>23.88/37.84</f>
        <v>0.63107822410147985</v>
      </c>
      <c r="AP61" s="13">
        <f>19.39/37.84</f>
        <v>0.51242071881606766</v>
      </c>
      <c r="AQ61" s="13">
        <f>26.96/37.84</f>
        <v>0.71247357293868918</v>
      </c>
      <c r="AR61" s="10">
        <f>23.45/80.49</f>
        <v>0.29134053919741582</v>
      </c>
      <c r="AS61" s="4"/>
    </row>
    <row r="62" spans="1:45" x14ac:dyDescent="0.2">
      <c r="A62" s="3" t="s">
        <v>121</v>
      </c>
      <c r="B62" t="s">
        <v>56</v>
      </c>
      <c r="C62">
        <v>330.9</v>
      </c>
      <c r="D62">
        <v>323.2</v>
      </c>
      <c r="E62" s="4">
        <v>128.6</v>
      </c>
      <c r="F62" s="4">
        <v>120.9</v>
      </c>
      <c r="G62" s="4">
        <f>33.2/128.6</f>
        <v>0.25816485225505448</v>
      </c>
      <c r="H62" s="4">
        <f>31.9/33.2</f>
        <v>0.96084337349397575</v>
      </c>
      <c r="I62" s="4">
        <f>18.6/10</f>
        <v>1.86</v>
      </c>
      <c r="J62" s="4">
        <f>25.1/29.5</f>
        <v>0.85084745762711866</v>
      </c>
      <c r="K62" s="4">
        <f>29.4/15.1</f>
        <v>1.9470198675496688</v>
      </c>
      <c r="L62" s="4">
        <f>9.1/18.6</f>
        <v>0.48924731182795694</v>
      </c>
      <c r="M62" s="4">
        <f>4.9/4.7</f>
        <v>1.0425531914893618</v>
      </c>
      <c r="N62" s="6">
        <f>1.77/3.06</f>
        <v>0.57843137254901955</v>
      </c>
      <c r="O62" s="4">
        <f>7.5/10</f>
        <v>0.75</v>
      </c>
      <c r="P62" s="4">
        <f>9.1/15.1</f>
        <v>0.60264900662251653</v>
      </c>
      <c r="Q62" s="4"/>
      <c r="R62" s="4"/>
      <c r="S62" s="4">
        <f>0.662/0.248</f>
        <v>2.6693548387096775</v>
      </c>
      <c r="T62" s="4">
        <f>10.4/6.3</f>
        <v>1.6507936507936509</v>
      </c>
      <c r="U62" s="4">
        <f>3/18.1</f>
        <v>0.16574585635359115</v>
      </c>
      <c r="V62" s="4">
        <f>16.4/7.1</f>
        <v>2.3098591549295775</v>
      </c>
      <c r="W62" s="4">
        <f>16.9/9</f>
        <v>1.8777777777777775</v>
      </c>
      <c r="X62" s="4">
        <f>0.677/0.354</f>
        <v>1.9124293785310738</v>
      </c>
      <c r="Y62" s="4">
        <f>27.5/18.1</f>
        <v>1.5193370165745854</v>
      </c>
      <c r="Z62" s="4"/>
      <c r="AA62" s="4"/>
      <c r="AB62" s="4"/>
      <c r="AC62" s="4">
        <f>8.4/8.7</f>
        <v>0.9655172413793105</v>
      </c>
      <c r="AD62" s="4">
        <f>8.7/25.4</f>
        <v>0.34251968503937008</v>
      </c>
      <c r="AE62" s="4">
        <f>8.4/25.4</f>
        <v>0.33070866141732286</v>
      </c>
      <c r="AF62" s="4">
        <f>19.4/25.4</f>
        <v>0.76377952755905509</v>
      </c>
      <c r="AG62" s="4">
        <f>1.9/8.7</f>
        <v>0.21839080459770116</v>
      </c>
      <c r="AH62" s="4">
        <f>1.8/8.4</f>
        <v>0.21428571428571427</v>
      </c>
      <c r="AI62" s="4">
        <f>4.5/19.4</f>
        <v>0.23195876288659795</v>
      </c>
      <c r="AJ62" s="4">
        <f>0.509/0.429</f>
        <v>1.1864801864801866</v>
      </c>
      <c r="AK62" s="4">
        <f>9.9/37.1</f>
        <v>0.26684636118598382</v>
      </c>
      <c r="AL62" s="4">
        <f>7.1/6.2</f>
        <v>1.1451612903225805</v>
      </c>
      <c r="AM62" s="4">
        <f>51.8/120.9</f>
        <v>0.42845326716294452</v>
      </c>
      <c r="AN62" s="4">
        <f>5.8/5.7</f>
        <v>1.0175438596491226</v>
      </c>
      <c r="AO62" s="4">
        <f>74.6/120.9</f>
        <v>0.61703887510339117</v>
      </c>
      <c r="AP62" s="4">
        <f>54.7/120.9</f>
        <v>0.45244003308519437</v>
      </c>
      <c r="AQ62" s="4">
        <f>79.3/120.9</f>
        <v>0.65591397849462363</v>
      </c>
      <c r="AR62" s="4">
        <f>31.9/96.7</f>
        <v>0.32988624612202688</v>
      </c>
      <c r="AS62" s="4">
        <f>7.9/31.9</f>
        <v>0.24764890282131663</v>
      </c>
    </row>
    <row r="63" spans="1:45" x14ac:dyDescent="0.2">
      <c r="A63" s="3" t="s">
        <v>122</v>
      </c>
      <c r="B63" t="s">
        <v>60</v>
      </c>
      <c r="C63">
        <v>251.434</v>
      </c>
      <c r="D63">
        <v>249.8666667</v>
      </c>
      <c r="E63" s="4">
        <v>1300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f>106.4/62.7</f>
        <v>1.696969696969697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>
        <f>148.8/110.5</f>
        <v>1.3466063348416291</v>
      </c>
      <c r="AK63" s="4"/>
      <c r="AL63" s="4"/>
      <c r="AM63" s="4"/>
      <c r="AN63" s="4">
        <f>33.5/30.9</f>
        <v>1.0841423948220066</v>
      </c>
      <c r="AO63" s="4"/>
      <c r="AP63" s="4"/>
      <c r="AQ63" s="4"/>
      <c r="AR63" s="4"/>
      <c r="AS63" s="4">
        <f>107.7/324.5</f>
        <v>0.33189522342064715</v>
      </c>
    </row>
    <row r="64" spans="1:45" x14ac:dyDescent="0.2">
      <c r="A64" s="3" t="s">
        <v>123</v>
      </c>
      <c r="B64" t="s">
        <v>124</v>
      </c>
      <c r="C64">
        <v>113</v>
      </c>
      <c r="D64">
        <v>100.5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0.146/0.26</f>
        <v>0.56153846153846143</v>
      </c>
      <c r="Y64" s="4">
        <f>0.523/0.378</f>
        <v>1.3835978835978837</v>
      </c>
      <c r="Z64" s="4"/>
      <c r="AA64" s="4"/>
      <c r="AB64" s="4"/>
      <c r="AC64" s="4">
        <f>0.228/0.428</f>
        <v>0.53271028037383183</v>
      </c>
      <c r="AD64" s="4">
        <f>0.428/1.099</f>
        <v>0.38944494995450407</v>
      </c>
      <c r="AE64" s="4">
        <f>0.228/1.099</f>
        <v>0.20746132848043677</v>
      </c>
      <c r="AF64" s="4">
        <f>0.693/1.099</f>
        <v>0.63057324840764328</v>
      </c>
      <c r="AG64" s="4"/>
      <c r="AH64" s="4"/>
      <c r="AI64" s="4">
        <f>0.13/0.693</f>
        <v>0.18759018759018761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">
      <c r="A65" s="7" t="s">
        <v>125</v>
      </c>
      <c r="B65" t="s">
        <v>126</v>
      </c>
      <c r="C65">
        <v>330.9</v>
      </c>
      <c r="D65">
        <v>303.7</v>
      </c>
      <c r="E65" s="5">
        <v>174.9</v>
      </c>
      <c r="F65" s="5">
        <v>149.4</v>
      </c>
      <c r="G65" s="5">
        <f>37.3/174.9</f>
        <v>0.21326472269868493</v>
      </c>
      <c r="H65" s="5">
        <f>27.9/39.7</f>
        <v>0.70277078085642308</v>
      </c>
      <c r="I65" s="5">
        <f>17.2/14.2</f>
        <v>1.2112676056338028</v>
      </c>
      <c r="J65" s="5">
        <f>10.4/17.2</f>
        <v>0.60465116279069775</v>
      </c>
      <c r="K65" s="5">
        <f>14/14.2</f>
        <v>0.9859154929577465</v>
      </c>
      <c r="L65" s="5">
        <f>7.8/15.9</f>
        <v>0.49056603773584906</v>
      </c>
      <c r="M65" s="5">
        <f>3.7/5.4</f>
        <v>0.68518518518518512</v>
      </c>
      <c r="N65" s="6">
        <f>2.09/4.23</f>
        <v>0.49408983451536637</v>
      </c>
      <c r="O65" s="5">
        <f>5.4/14.2</f>
        <v>0.38028169014084512</v>
      </c>
      <c r="P65" s="5">
        <f>5.2/14.2</f>
        <v>0.36619718309859156</v>
      </c>
      <c r="Q65" s="5">
        <f>2.7/4.8</f>
        <v>0.56250000000000011</v>
      </c>
      <c r="R65" s="5">
        <f>4.8/3.5</f>
        <v>1.3714285714285714</v>
      </c>
      <c r="S65" s="5">
        <f>2.7/2.7</f>
        <v>1</v>
      </c>
      <c r="T65" s="5">
        <f>10.8/10.7</f>
        <v>1.0093457943925235</v>
      </c>
      <c r="U65" s="5">
        <f>1.1/11.4</f>
        <v>9.6491228070175447E-2</v>
      </c>
      <c r="V65" s="5">
        <f>8.6/7.1</f>
        <v>1.2112676056338028</v>
      </c>
      <c r="W65" s="5">
        <f>10.1/9.8</f>
        <v>1.0306122448979591</v>
      </c>
      <c r="X65" s="9">
        <f>7/7.9</f>
        <v>0.88607594936708856</v>
      </c>
      <c r="Y65" s="5">
        <f>16.8/14.4</f>
        <v>1.1666666666666667</v>
      </c>
      <c r="Z65" s="5">
        <f>6.1/3.9</f>
        <v>1.5641025641025641</v>
      </c>
      <c r="AA65" s="5">
        <f>16.7/5.6</f>
        <v>2.9821428571428572</v>
      </c>
      <c r="AB65" s="5"/>
      <c r="AC65" s="5">
        <f>4.3/9.7</f>
        <v>0.44329896907216498</v>
      </c>
      <c r="AD65" s="5">
        <f>9.7/24</f>
        <v>0.40416666666666662</v>
      </c>
      <c r="AE65" s="5">
        <f>4.3/24</f>
        <v>0.17916666666666667</v>
      </c>
      <c r="AF65" s="5">
        <f>18.2/24</f>
        <v>0.7583333333333333</v>
      </c>
      <c r="AG65" s="5">
        <f>2.4/9.7</f>
        <v>0.24742268041237114</v>
      </c>
      <c r="AH65" s="5">
        <f>0.6/4.3</f>
        <v>0.13953488372093023</v>
      </c>
      <c r="AI65" s="5">
        <f>5.2/18.2</f>
        <v>0.28571428571428575</v>
      </c>
      <c r="AJ65" s="5">
        <f>19.5/7.5</f>
        <v>2.6</v>
      </c>
      <c r="AK65" s="5">
        <f>12.1/37.6</f>
        <v>0.32180851063829785</v>
      </c>
      <c r="AL65" s="5">
        <f>23.3/18.8</f>
        <v>1.2393617021276595</v>
      </c>
      <c r="AM65" s="6">
        <f>57.37/148</f>
        <v>0.38763513513513514</v>
      </c>
      <c r="AN65" s="5">
        <f>8/13.5</f>
        <v>0.59259259259259256</v>
      </c>
      <c r="AO65" s="6">
        <f>93.29/148</f>
        <v>0.63033783783783792</v>
      </c>
      <c r="AP65" s="6">
        <f>67.99/148</f>
        <v>0.45939189189189183</v>
      </c>
      <c r="AQ65" s="6">
        <f>97.36/148</f>
        <v>0.65783783783783778</v>
      </c>
      <c r="AR65" s="5">
        <f>48.1/126.8</f>
        <v>0.37933753943217668</v>
      </c>
      <c r="AS65" s="5">
        <f>25.1/48.1</f>
        <v>0.5218295218295218</v>
      </c>
    </row>
    <row r="66" spans="1:45" x14ac:dyDescent="0.2">
      <c r="A66" s="3" t="s">
        <v>127</v>
      </c>
      <c r="B66" t="s">
        <v>126</v>
      </c>
      <c r="C66">
        <v>311</v>
      </c>
      <c r="D66">
        <v>306</v>
      </c>
      <c r="E66" s="4"/>
      <c r="F66" s="4">
        <v>52.2</v>
      </c>
      <c r="G66" s="4">
        <f>1.865/8.48</f>
        <v>0.21992924528301885</v>
      </c>
      <c r="H66" s="4">
        <f>1.594/1.865</f>
        <v>0.85469168900804293</v>
      </c>
      <c r="I66" s="4">
        <f>1.018/0.636</f>
        <v>1.60062893081761</v>
      </c>
      <c r="J66" s="4"/>
      <c r="K66" s="4"/>
      <c r="L66" s="4">
        <f>0.448/1.018</f>
        <v>0.4400785854616896</v>
      </c>
      <c r="M66" s="4"/>
      <c r="N66" s="4"/>
      <c r="O66" s="4"/>
      <c r="P66" s="4"/>
      <c r="Q66" s="4"/>
      <c r="R66" s="4"/>
      <c r="S66" s="4"/>
      <c r="T66" s="4">
        <f>0.376/0.413</f>
        <v>0.91041162227602912</v>
      </c>
      <c r="U66" s="4"/>
      <c r="V66" s="4"/>
      <c r="W66" s="4"/>
      <c r="X66" s="11"/>
      <c r="Y66" s="4">
        <f>237.977/215.133</f>
        <v>1.1061854759613821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>
        <f>5.617/1.933</f>
        <v>2.9058458354888774</v>
      </c>
      <c r="AK66" s="4">
        <f>0.833/1.979</f>
        <v>0.4209196563921172</v>
      </c>
      <c r="AL66" s="4"/>
      <c r="AM66" s="6">
        <f>40.89/112.94</f>
        <v>0.36205064636089962</v>
      </c>
      <c r="AN66" s="5"/>
      <c r="AO66" s="6">
        <f>63.7/112.94</f>
        <v>0.56401629183637336</v>
      </c>
      <c r="AP66" s="6">
        <f>53.76/112.94</f>
        <v>0.47600495838498319</v>
      </c>
      <c r="AQ66" s="6">
        <f>68.44/112.94</f>
        <v>0.60598547901540645</v>
      </c>
      <c r="AR66" s="5">
        <f>3.219/5.073</f>
        <v>0.63453577764636304</v>
      </c>
      <c r="AS66" s="4">
        <f>1.219/3.219</f>
        <v>0.3786890338614477</v>
      </c>
    </row>
    <row r="67" spans="1:45" x14ac:dyDescent="0.2">
      <c r="A67" s="3" t="s">
        <v>128</v>
      </c>
      <c r="B67" t="s">
        <v>126</v>
      </c>
      <c r="C67">
        <v>307</v>
      </c>
      <c r="D67">
        <v>303.7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f>0.992/1.404</f>
        <v>0.70655270655270663</v>
      </c>
      <c r="P67" s="4"/>
      <c r="Q67" s="4"/>
      <c r="R67" s="4"/>
      <c r="S67" s="4"/>
      <c r="T67" s="4"/>
      <c r="U67" s="4">
        <f>0.146/1.168</f>
        <v>0.125</v>
      </c>
      <c r="V67" s="4">
        <f>0.82/0.477</f>
        <v>1.7190775681341719</v>
      </c>
      <c r="W67" s="4">
        <f>0.627/0.531</f>
        <v>1.1807909604519773</v>
      </c>
      <c r="X67" s="11"/>
      <c r="Y67" s="4">
        <f>1.483/1.183</f>
        <v>1.2535925612848691</v>
      </c>
      <c r="Z67" s="4">
        <f>0.629/0.288</f>
        <v>2.1840277777777781</v>
      </c>
      <c r="AA67" s="4">
        <f>1.25/0.272</f>
        <v>4.5955882352941178</v>
      </c>
      <c r="AB67" s="4"/>
      <c r="AC67" s="4">
        <f>0.819/0.865</f>
        <v>0.94682080924855483</v>
      </c>
      <c r="AD67" s="4">
        <f>0.865/2.578</f>
        <v>0.33553141970519784</v>
      </c>
      <c r="AE67" s="4">
        <f>0.819/2.578</f>
        <v>0.31768813033359194</v>
      </c>
      <c r="AF67" s="4">
        <f>2.126/2.578</f>
        <v>0.8246702870442203</v>
      </c>
      <c r="AG67" s="4">
        <f>0.104/0.865</f>
        <v>0.12023121387283237</v>
      </c>
      <c r="AH67" s="4">
        <f>0.211/0.819</f>
        <v>0.25763125763125766</v>
      </c>
      <c r="AI67" s="4">
        <f>0.542/2.126</f>
        <v>0.25493885230479779</v>
      </c>
      <c r="AJ67" s="4">
        <f>1.292/0.735</f>
        <v>1.7578231292517008</v>
      </c>
      <c r="AK67" s="4"/>
      <c r="AL67" s="4"/>
      <c r="AM67" s="4"/>
      <c r="AN67" s="4">
        <f>0.833/1.556</f>
        <v>0.53534704370179942</v>
      </c>
      <c r="AO67" s="4"/>
      <c r="AP67" s="4"/>
      <c r="AQ67" s="4"/>
      <c r="AR67" s="4"/>
      <c r="AS67" s="4"/>
    </row>
    <row r="68" spans="1:45" x14ac:dyDescent="0.2">
      <c r="A68" s="3" t="s">
        <v>129</v>
      </c>
      <c r="B68" t="s">
        <v>60</v>
      </c>
      <c r="C68">
        <v>251.55099999999999</v>
      </c>
      <c r="D68">
        <v>251.2</v>
      </c>
      <c r="E68" s="4"/>
      <c r="F68" s="4"/>
      <c r="G68" s="4"/>
      <c r="H68" s="4">
        <f>72.1/80.1</f>
        <v>0.90012484394506864</v>
      </c>
      <c r="I68" s="4">
        <f>32.5/33.4</f>
        <v>0.97305389221556893</v>
      </c>
      <c r="J68" s="4">
        <f>13.5/21.6</f>
        <v>0.625</v>
      </c>
      <c r="K68" s="4">
        <f>18.3/23</f>
        <v>0.79565217391304355</v>
      </c>
      <c r="L68" s="4">
        <f>18.6/33.4</f>
        <v>0.55688622754491024</v>
      </c>
      <c r="M68" s="4">
        <f>4.5/8.8</f>
        <v>0.51136363636363635</v>
      </c>
      <c r="N68" s="4"/>
      <c r="O68" s="4">
        <f>8.8/23</f>
        <v>0.38260869565217392</v>
      </c>
      <c r="P68" s="4">
        <f>6.8/23</f>
        <v>0.29565217391304349</v>
      </c>
      <c r="Q68" s="4" t="s">
        <v>46</v>
      </c>
      <c r="R68" s="4" t="s">
        <v>46</v>
      </c>
      <c r="S68" s="4">
        <f>5.2/5</f>
        <v>1.04</v>
      </c>
      <c r="T68" s="4">
        <f>13.9/27.6</f>
        <v>0.50362318840579712</v>
      </c>
      <c r="U68" s="4">
        <f>4.8/21.9</f>
        <v>0.21917808219178084</v>
      </c>
      <c r="V68" s="4">
        <f>16/13.4</f>
        <v>1.1940298507462686</v>
      </c>
      <c r="W68" s="4">
        <f>26.1/17.5</f>
        <v>1.4914285714285715</v>
      </c>
      <c r="X68" s="4">
        <f>18/14.1</f>
        <v>1.2765957446808511</v>
      </c>
      <c r="Y68" s="4">
        <f>36/31</f>
        <v>1.1612903225806452</v>
      </c>
      <c r="Z68" s="4">
        <f>14.2/9.5</f>
        <v>1.4947368421052631</v>
      </c>
      <c r="AA68" s="4"/>
      <c r="AB68" s="4"/>
      <c r="AC68" s="4">
        <f>19.2/21.9</f>
        <v>0.87671232876712335</v>
      </c>
      <c r="AD68" s="4">
        <f>21.9/56.7</f>
        <v>0.38624338624338622</v>
      </c>
      <c r="AE68" s="4">
        <f>19.2/56.7</f>
        <v>0.33862433862433861</v>
      </c>
      <c r="AF68" s="4">
        <f>42/56.7</f>
        <v>0.7407407407407407</v>
      </c>
      <c r="AG68" s="4">
        <f>3.3/21.9</f>
        <v>0.15068493150684931</v>
      </c>
      <c r="AH68" s="4">
        <f>2.3/19.2</f>
        <v>0.11979166666666666</v>
      </c>
      <c r="AI68" s="4">
        <f>12.5/42</f>
        <v>0.29761904761904762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">
      <c r="A69" s="3" t="s">
        <v>130</v>
      </c>
      <c r="B69" t="s">
        <v>60</v>
      </c>
      <c r="C69">
        <v>251.2</v>
      </c>
      <c r="D69">
        <v>249.2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>
        <f>0.2/3.4</f>
        <v>5.8823529411764712E-2</v>
      </c>
      <c r="V69" s="4"/>
      <c r="W69" s="4"/>
      <c r="X69" s="4">
        <f>0.498/0.769</f>
        <v>0.64759427828348504</v>
      </c>
      <c r="Y69" s="4">
        <f>4.3/3.8</f>
        <v>1.131578947368421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">
      <c r="A70" s="3" t="s">
        <v>131</v>
      </c>
      <c r="B70" t="s">
        <v>45</v>
      </c>
      <c r="C70">
        <v>363.33333329999999</v>
      </c>
      <c r="D70">
        <v>358.9</v>
      </c>
      <c r="E70" s="4">
        <v>43</v>
      </c>
      <c r="F70" s="4">
        <v>39.4</v>
      </c>
      <c r="G70" s="11">
        <f>11.9/43</f>
        <v>0.27674418604651163</v>
      </c>
      <c r="H70" s="4">
        <f>8.3/11.9</f>
        <v>0.69747899159663873</v>
      </c>
      <c r="I70" s="4">
        <f>6.4/4.5</f>
        <v>1.4222222222222223</v>
      </c>
      <c r="J70" s="4"/>
      <c r="K70" s="4"/>
      <c r="L70" s="4">
        <f>2.8/6.4</f>
        <v>0.43749999999999994</v>
      </c>
      <c r="M70" s="4">
        <f>2/2.3</f>
        <v>0.86956521739130443</v>
      </c>
      <c r="N70" s="4"/>
      <c r="O70" s="4">
        <f>2.3/4.5</f>
        <v>0.51111111111111107</v>
      </c>
      <c r="P70" s="4"/>
      <c r="Q70" s="4"/>
      <c r="R70" s="4"/>
      <c r="S70" s="4"/>
      <c r="T70" s="4">
        <f>3.4/1.6</f>
        <v>2.125</v>
      </c>
      <c r="U70" s="4">
        <f>0.7/3</f>
        <v>0.23333333333333331</v>
      </c>
      <c r="V70" s="4">
        <f>2.8/1.8</f>
        <v>1.5555555555555554</v>
      </c>
      <c r="W70" s="4">
        <f>1.2/1.8</f>
        <v>0.66666666666666663</v>
      </c>
      <c r="X70" s="4">
        <f>2.1/2.6</f>
        <v>0.80769230769230771</v>
      </c>
      <c r="Y70" s="4">
        <f>5.9/4.8</f>
        <v>1.2291666666666667</v>
      </c>
      <c r="Z70" s="4">
        <f>2.8/1.3</f>
        <v>2.1538461538461537</v>
      </c>
      <c r="AA70" s="4"/>
      <c r="AB70" s="4"/>
      <c r="AC70" s="4">
        <f>1.4/3.2</f>
        <v>0.43749999999999994</v>
      </c>
      <c r="AD70" s="4">
        <f>3.2/8.6</f>
        <v>0.372093023255814</v>
      </c>
      <c r="AE70" s="4">
        <f>1.4/8.6</f>
        <v>0.16279069767441859</v>
      </c>
      <c r="AF70" s="4">
        <f>6.2/8.6</f>
        <v>0.72093023255813959</v>
      </c>
      <c r="AG70" s="4">
        <f>0.6/3.2</f>
        <v>0.18749999999999997</v>
      </c>
      <c r="AH70" s="4">
        <f>0.3/1.4</f>
        <v>0.2142857142857143</v>
      </c>
      <c r="AI70" s="4">
        <f>1/6.2</f>
        <v>0.16129032258064516</v>
      </c>
      <c r="AJ70" s="4"/>
      <c r="AK70" s="5"/>
      <c r="AL70" s="5"/>
      <c r="AM70" s="6">
        <f>49.69/112.38</f>
        <v>0.44216052678412526</v>
      </c>
      <c r="AN70" s="5"/>
      <c r="AO70" s="6">
        <f>69.8/112.38</f>
        <v>0.62110695853354692</v>
      </c>
      <c r="AP70" s="6">
        <f>50.82/112.38</f>
        <v>0.45221569674319279</v>
      </c>
      <c r="AQ70" s="6">
        <f>72.96/112.38</f>
        <v>0.64922584089695667</v>
      </c>
      <c r="AR70" s="5">
        <f>10.9/32.1</f>
        <v>0.33956386292834889</v>
      </c>
      <c r="AS70" s="5">
        <f>3.6/10.9</f>
        <v>0.33027522935779818</v>
      </c>
    </row>
    <row r="71" spans="1:45" x14ac:dyDescent="0.2">
      <c r="A71" s="3" t="s">
        <v>132</v>
      </c>
      <c r="B71" t="s">
        <v>52</v>
      </c>
      <c r="C71">
        <v>387.7</v>
      </c>
      <c r="D71">
        <v>372.2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32" x14ac:dyDescent="0.2">
      <c r="A72" s="20" t="s">
        <v>133</v>
      </c>
      <c r="B72" t="s">
        <v>60</v>
      </c>
      <c r="C72">
        <v>249.2</v>
      </c>
      <c r="D72">
        <v>246.83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">
      <c r="A73" s="3" t="s">
        <v>134</v>
      </c>
      <c r="B73" t="s">
        <v>135</v>
      </c>
      <c r="C73">
        <v>290.10000000000002</v>
      </c>
      <c r="D73">
        <v>283.5</v>
      </c>
      <c r="E73" s="4"/>
      <c r="F73" s="4"/>
      <c r="G73" s="4"/>
      <c r="H73" s="4"/>
      <c r="I73" s="4">
        <f>84.6/78.5</f>
        <v>1.0777070063694267</v>
      </c>
      <c r="J73" s="4">
        <f>42.5/84.6</f>
        <v>0.50236406619385343</v>
      </c>
      <c r="K73" s="4">
        <f>71.8/78.5</f>
        <v>0.91464968152866244</v>
      </c>
      <c r="L73" s="4"/>
      <c r="M73" s="4">
        <f>6.7/30.8</f>
        <v>0.21753246753246752</v>
      </c>
      <c r="N73" s="6">
        <f>3.03/6.24</f>
        <v>0.48557692307692302</v>
      </c>
      <c r="O73" s="4">
        <f>30.8/78.5</f>
        <v>0.3923566878980892</v>
      </c>
      <c r="P73" s="4">
        <f>28.3/78.5</f>
        <v>0.36050955414012742</v>
      </c>
      <c r="Q73" s="4"/>
      <c r="R73" s="4"/>
      <c r="S73" s="4"/>
      <c r="T73" s="4"/>
      <c r="U73" s="4">
        <f>6.9/41.2</f>
        <v>0.16747572815533981</v>
      </c>
      <c r="V73" s="4">
        <f>36.3/39.2</f>
        <v>0.92602040816326514</v>
      </c>
      <c r="W73" s="4">
        <f>50.2/64.6</f>
        <v>0.77708978328173384</v>
      </c>
      <c r="X73" s="4">
        <f>32.8/31.3</f>
        <v>1.0479233226837059</v>
      </c>
      <c r="Y73" s="4">
        <f>76/55.1</f>
        <v>1.3793103448275861</v>
      </c>
      <c r="Z73" s="4">
        <f>26.8/8.9</f>
        <v>3.0112359550561796</v>
      </c>
      <c r="AA73" s="4"/>
      <c r="AB73" s="4">
        <f>9/14.9</f>
        <v>0.60402684563758391</v>
      </c>
      <c r="AC73" s="4"/>
      <c r="AD73" s="4"/>
      <c r="AE73" s="4"/>
      <c r="AF73" s="4"/>
      <c r="AG73" s="4"/>
      <c r="AH73" s="4"/>
      <c r="AI73" s="4">
        <f>0.482/1.716</f>
        <v>0.28088578088578087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x14ac:dyDescent="0.2">
      <c r="A74" s="3" t="s">
        <v>136</v>
      </c>
      <c r="B74" t="s">
        <v>86</v>
      </c>
      <c r="C74">
        <v>413.6</v>
      </c>
      <c r="D74">
        <v>410.8</v>
      </c>
      <c r="E74" s="4"/>
      <c r="F74" s="4"/>
      <c r="G74" s="4"/>
      <c r="H74" s="4"/>
      <c r="I74" s="4">
        <f>18.1/10.1</f>
        <v>1.7920792079207923</v>
      </c>
      <c r="J74" s="4">
        <f>16.2/18.1</f>
        <v>0.8950276243093922</v>
      </c>
      <c r="K74" s="4">
        <f>18/10.1</f>
        <v>1.7821782178217822</v>
      </c>
      <c r="L74" s="4"/>
      <c r="M74" s="4"/>
      <c r="N74" s="4"/>
      <c r="O74" s="4"/>
      <c r="P74" s="4">
        <f>0.417/1.01</f>
        <v>0.41287128712871285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f>11.9/11.9</f>
        <v>1</v>
      </c>
      <c r="AC74" s="4"/>
      <c r="AD74" s="4">
        <f>12.9/26</f>
        <v>0.49615384615384617</v>
      </c>
      <c r="AE74" s="4"/>
      <c r="AF74" s="4"/>
      <c r="AG74" s="4"/>
      <c r="AH74" s="4"/>
      <c r="AI74" s="4"/>
      <c r="AJ74" s="4" t="s">
        <v>46</v>
      </c>
      <c r="AK74" s="4"/>
      <c r="AL74" s="4"/>
      <c r="AM74" s="4"/>
      <c r="AN74" s="4"/>
      <c r="AO74" s="4"/>
      <c r="AP74" s="4"/>
      <c r="AQ74" s="4"/>
      <c r="AR74" s="4"/>
      <c r="AS74" s="4"/>
    </row>
    <row r="75" spans="1:45" x14ac:dyDescent="0.2">
      <c r="A75" s="3" t="s">
        <v>137</v>
      </c>
      <c r="B75" t="s">
        <v>77</v>
      </c>
      <c r="C75">
        <v>159.3666667</v>
      </c>
      <c r="D75">
        <v>157.30000000000001</v>
      </c>
      <c r="E75" s="4">
        <v>250</v>
      </c>
      <c r="F75" s="4"/>
      <c r="G75" s="4">
        <f>6.4/23.2</f>
        <v>0.27586206896551724</v>
      </c>
      <c r="H75" s="4">
        <f>5.4/6.4</f>
        <v>0.84375</v>
      </c>
      <c r="I75" s="4">
        <f>10.3/3.5</f>
        <v>2.9428571428571431</v>
      </c>
      <c r="J75" s="4"/>
      <c r="K75" s="4">
        <f>6.2/4.9</f>
        <v>1.2653061224489794</v>
      </c>
      <c r="L75" s="4">
        <f>6.5/11</f>
        <v>0.59090909090909094</v>
      </c>
      <c r="M75" s="4"/>
      <c r="N75" s="4"/>
      <c r="O75" s="4">
        <f>3.9/4.9</f>
        <v>0.79591836734693866</v>
      </c>
      <c r="P75" s="4">
        <f>3.4/4.9</f>
        <v>0.69387755102040805</v>
      </c>
      <c r="Q75" s="4"/>
      <c r="R75" s="4"/>
      <c r="S75" s="4"/>
      <c r="T75" s="4">
        <f>6.2/4.7</f>
        <v>1.3191489361702127</v>
      </c>
      <c r="U75" s="4">
        <f>1.4/8.4</f>
        <v>0.16666666666666666</v>
      </c>
      <c r="V75" s="4">
        <f>7.3/5.1</f>
        <v>1.4313725490196079</v>
      </c>
      <c r="W75" s="4">
        <f>4.9/4.3</f>
        <v>1.1395348837209303</v>
      </c>
      <c r="X75" s="4">
        <f>2.2/7.2</f>
        <v>0.30555555555555558</v>
      </c>
      <c r="Y75" s="4">
        <f>10.8/7.3</f>
        <v>1.4794520547945207</v>
      </c>
      <c r="Z75" s="4"/>
      <c r="AA75" s="4"/>
      <c r="AB75" s="4"/>
      <c r="AC75" s="4">
        <f>5.8/7.9</f>
        <v>0.73417721518987333</v>
      </c>
      <c r="AD75" s="4">
        <f>7.9/19.8</f>
        <v>0.39898989898989901</v>
      </c>
      <c r="AE75" s="4">
        <f>5.8/19.8</f>
        <v>0.29292929292929293</v>
      </c>
      <c r="AF75" s="4">
        <f>12.1/19.8</f>
        <v>0.61111111111111105</v>
      </c>
      <c r="AG75" s="4">
        <f>1.9/7.9</f>
        <v>0.24050632911392403</v>
      </c>
      <c r="AH75" s="4">
        <f>1.1/5.8</f>
        <v>0.18965517241379312</v>
      </c>
      <c r="AI75" s="4">
        <f>2.5/12.1</f>
        <v>0.20661157024793389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x14ac:dyDescent="0.2">
      <c r="A76" s="7" t="s">
        <v>138</v>
      </c>
      <c r="B76" t="s">
        <v>54</v>
      </c>
      <c r="C76">
        <v>242</v>
      </c>
      <c r="D76">
        <v>237</v>
      </c>
      <c r="E76" s="5">
        <v>205.7</v>
      </c>
      <c r="F76" s="5">
        <v>183.8</v>
      </c>
      <c r="G76" s="5">
        <f>44.6/205.7</f>
        <v>0.21682061254253771</v>
      </c>
      <c r="H76" s="5">
        <f>78.5/123.5</f>
        <v>0.63562753036437247</v>
      </c>
      <c r="I76" s="5">
        <f>70.9/24.8</f>
        <v>2.8588709677419355</v>
      </c>
      <c r="J76" s="5"/>
      <c r="K76" s="5"/>
      <c r="L76" s="5">
        <f>33.1/70.9</f>
        <v>0.46685472496473907</v>
      </c>
      <c r="M76" s="5"/>
      <c r="N76" s="5"/>
      <c r="O76" s="5"/>
      <c r="P76" s="5"/>
      <c r="Q76" s="5"/>
      <c r="R76" s="5"/>
      <c r="S76" s="5"/>
      <c r="T76" s="5">
        <f>33.4/18</f>
        <v>1.8555555555555554</v>
      </c>
      <c r="U76" s="5">
        <f>6.8/41.5</f>
        <v>0.16385542168674699</v>
      </c>
      <c r="V76" s="5">
        <f>13.7/10</f>
        <v>1.3699999999999999</v>
      </c>
      <c r="W76" s="5">
        <f>0.567/0.189</f>
        <v>2.9999999999999996</v>
      </c>
      <c r="X76" s="5">
        <f>21.2/21.4</f>
        <v>0.99065420560747663</v>
      </c>
      <c r="Y76" s="5">
        <f>50.3/36.9</f>
        <v>1.3631436314363143</v>
      </c>
      <c r="Z76" s="5" t="s">
        <v>46</v>
      </c>
      <c r="AA76" s="5">
        <f>0.785/0.168</f>
        <v>4.6726190476190474</v>
      </c>
      <c r="AB76" s="5"/>
      <c r="AC76" s="5">
        <f>28/30.5</f>
        <v>0.91803278688524592</v>
      </c>
      <c r="AD76" s="5">
        <f>30.5/78.8</f>
        <v>0.3870558375634518</v>
      </c>
      <c r="AE76" s="5">
        <f>28/78.8</f>
        <v>0.35532994923857869</v>
      </c>
      <c r="AF76" s="5">
        <f>57.9/78.8</f>
        <v>0.73477157360406087</v>
      </c>
      <c r="AG76" s="5">
        <f>1/1.8</f>
        <v>0.55555555555555558</v>
      </c>
      <c r="AH76" s="9">
        <f>6.5/28</f>
        <v>0.23214285714285715</v>
      </c>
      <c r="AI76" s="5">
        <f>13/57.9</f>
        <v>0.22452504317789293</v>
      </c>
      <c r="AJ76" s="5"/>
      <c r="AK76" s="5">
        <f>6.7/36.6</f>
        <v>0.1830601092896175</v>
      </c>
      <c r="AL76" s="5">
        <f>10.6/5</f>
        <v>2.12</v>
      </c>
      <c r="AM76" s="6">
        <f>57.6/166.7</f>
        <v>0.34553089382123581</v>
      </c>
      <c r="AN76" s="5">
        <f>7.1/11.5</f>
        <v>0.61739130434782608</v>
      </c>
      <c r="AO76" s="6">
        <f>95.32/166.7</f>
        <v>0.57180563887222557</v>
      </c>
      <c r="AP76" s="6">
        <f>69.57/166.7</f>
        <v>0.41733653269346127</v>
      </c>
      <c r="AQ76" s="6">
        <f>104.36/166.7</f>
        <v>0.62603479304139176</v>
      </c>
      <c r="AR76" s="5">
        <f>80.4/125.3</f>
        <v>0.64166001596169198</v>
      </c>
      <c r="AS76" s="5">
        <f>21.9/80.4</f>
        <v>0.27238805970149249</v>
      </c>
    </row>
    <row r="77" spans="1:45" x14ac:dyDescent="0.2">
      <c r="A77" s="7" t="s">
        <v>139</v>
      </c>
      <c r="B77" t="s">
        <v>58</v>
      </c>
      <c r="C77">
        <v>182.7</v>
      </c>
      <c r="D77">
        <v>179.83333329999999</v>
      </c>
      <c r="E77" s="5">
        <v>1646.6</v>
      </c>
      <c r="F77" s="5">
        <v>1600</v>
      </c>
      <c r="G77" s="5">
        <f>431.1/1646.6</f>
        <v>0.26181221911818298</v>
      </c>
      <c r="H77" s="5">
        <f>341.8/446</f>
        <v>0.76636771300448436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f>107.7/47.6</f>
        <v>2.2626050420168067</v>
      </c>
      <c r="AB77" s="5"/>
      <c r="AC77" s="5">
        <f>115.4/127.1</f>
        <v>0.90794649881982703</v>
      </c>
      <c r="AD77" s="5">
        <f>127.4/327.3</f>
        <v>0.38924534066605559</v>
      </c>
      <c r="AE77" s="5">
        <f>115.4/327.3</f>
        <v>0.3525817293003361</v>
      </c>
      <c r="AF77" s="5">
        <f>254.1/327.3</f>
        <v>0.77635197066911088</v>
      </c>
      <c r="AG77" s="5">
        <f>20/127.4</f>
        <v>0.15698587127158556</v>
      </c>
      <c r="AH77" s="5">
        <f>15.1/115.4</f>
        <v>0.13084922010398611</v>
      </c>
      <c r="AI77" s="5">
        <f>65/254.1</f>
        <v>0.25580480125934674</v>
      </c>
      <c r="AJ77" s="5"/>
      <c r="AK77" s="5"/>
      <c r="AL77" s="5">
        <f>99.6/160.3</f>
        <v>0.62133499688084837</v>
      </c>
      <c r="AM77" s="6">
        <f>73.64/156.77</f>
        <v>0.46973272947630285</v>
      </c>
      <c r="AN77" s="5">
        <f>0.188/0.469</f>
        <v>0.40085287846481876</v>
      </c>
      <c r="AO77" s="5"/>
      <c r="AP77" s="6">
        <f>94.19/156.77</f>
        <v>0.60081648274542321</v>
      </c>
      <c r="AQ77" s="6">
        <f>123.11/156.77</f>
        <v>0.78529055303948458</v>
      </c>
      <c r="AR77" s="5">
        <f>395.5/1251.1</f>
        <v>0.31612181280473184</v>
      </c>
      <c r="AS77" s="5"/>
    </row>
    <row r="78" spans="1:45" x14ac:dyDescent="0.2">
      <c r="A78" s="3" t="s">
        <v>140</v>
      </c>
      <c r="B78" t="s">
        <v>77</v>
      </c>
      <c r="C78">
        <v>153.83333329999999</v>
      </c>
      <c r="D78">
        <v>152.1</v>
      </c>
      <c r="E78" s="4"/>
      <c r="F78" s="4">
        <v>221</v>
      </c>
      <c r="G78" s="4">
        <f>18.8/79.5</f>
        <v>0.23647798742138365</v>
      </c>
      <c r="H78" s="4">
        <f>63.4/57.9</f>
        <v>1.0949913644214162</v>
      </c>
      <c r="I78" s="4">
        <f>31/14.5</f>
        <v>2.1379310344827585</v>
      </c>
      <c r="J78" s="4">
        <f>10.9/18.2</f>
        <v>0.59890109890109899</v>
      </c>
      <c r="K78" s="4">
        <f>16.8/8.4</f>
        <v>2</v>
      </c>
      <c r="L78" s="4">
        <f>12.5/31</f>
        <v>0.40322580645161288</v>
      </c>
      <c r="M78" s="4">
        <f>15.8/8.8</f>
        <v>1.7954545454545454</v>
      </c>
      <c r="N78" s="6">
        <f>1.65/3.97</f>
        <v>0.41561712846347604</v>
      </c>
      <c r="O78" s="4">
        <f>8.8/14.5</f>
        <v>0.60689655172413803</v>
      </c>
      <c r="P78" s="4">
        <f>4.9/8.4</f>
        <v>0.58333333333333337</v>
      </c>
      <c r="Q78" s="4">
        <f>2.1/2.4</f>
        <v>0.87500000000000011</v>
      </c>
      <c r="R78" s="4">
        <f>2.4/1.4</f>
        <v>1.7142857142857144</v>
      </c>
      <c r="S78" s="4">
        <f>2.1/1.4</f>
        <v>1.5000000000000002</v>
      </c>
      <c r="T78" s="4">
        <f>15.6/12.3</f>
        <v>1.2682926829268291</v>
      </c>
      <c r="U78" s="4">
        <f>3.6/23.5</f>
        <v>0.15319148936170213</v>
      </c>
      <c r="V78" s="4">
        <f>15.7/15.4</f>
        <v>1.0194805194805194</v>
      </c>
      <c r="W78" s="4">
        <f>13.6/10.8</f>
        <v>1.2592592592592591</v>
      </c>
      <c r="X78" s="4">
        <f>4.8/14.1</f>
        <v>0.34042553191489361</v>
      </c>
      <c r="Y78" s="4">
        <f>25.2/17.8</f>
        <v>1.4157303370786516</v>
      </c>
      <c r="Z78" s="4">
        <f>12.8/5.3</f>
        <v>2.4150943396226419</v>
      </c>
      <c r="AA78" s="4"/>
      <c r="AB78" s="4"/>
      <c r="AC78" s="4">
        <f>14.9/17.7</f>
        <v>0.84180790960451979</v>
      </c>
      <c r="AD78" s="4">
        <f>17.7/48.4</f>
        <v>0.36570247933884298</v>
      </c>
      <c r="AE78" s="4">
        <f>14.9/48.4</f>
        <v>0.30785123966942152</v>
      </c>
      <c r="AF78" s="4">
        <f>34/48.4</f>
        <v>0.7024793388429752</v>
      </c>
      <c r="AG78" s="4">
        <f>5.3/17.7</f>
        <v>0.29943502824858759</v>
      </c>
      <c r="AH78" s="4">
        <f>4.2/14.9</f>
        <v>0.28187919463087246</v>
      </c>
      <c r="AI78" s="4">
        <f>9.3/34</f>
        <v>0.27352941176470591</v>
      </c>
      <c r="AJ78" s="4">
        <f>29/19.4</f>
        <v>1.4948453608247423</v>
      </c>
      <c r="AK78" s="4">
        <f>7.2/20.2</f>
        <v>0.35643564356435647</v>
      </c>
      <c r="AL78" s="4"/>
      <c r="AM78" s="4">
        <f>1.953/4.661</f>
        <v>0.41900879639562333</v>
      </c>
      <c r="AN78" s="4">
        <f>0.278/0.566</f>
        <v>0.491166077738516</v>
      </c>
      <c r="AO78" s="4">
        <f>3.068/4.661</f>
        <v>0.65822784810126589</v>
      </c>
      <c r="AP78" s="4">
        <f>2.328/4.661</f>
        <v>0.49946363441321606</v>
      </c>
      <c r="AQ78" s="4">
        <f>3.474/4.661</f>
        <v>0.74533361939497977</v>
      </c>
      <c r="AR78" s="4">
        <f>17.8/61.8</f>
        <v>0.28802588996763756</v>
      </c>
      <c r="AS78" s="4"/>
    </row>
    <row r="79" spans="1:45" x14ac:dyDescent="0.2">
      <c r="A79" s="3" t="s">
        <v>141</v>
      </c>
      <c r="B79" t="s">
        <v>77</v>
      </c>
      <c r="C79">
        <v>153.83333329999999</v>
      </c>
      <c r="D79">
        <v>149.7333333</v>
      </c>
      <c r="E79" s="4">
        <v>970</v>
      </c>
      <c r="F79" s="4">
        <v>910</v>
      </c>
      <c r="G79" s="4">
        <f>2.156/8.787</f>
        <v>0.24536246728121086</v>
      </c>
      <c r="H79" s="4">
        <f>2.003/2.208</f>
        <v>0.90715579710144922</v>
      </c>
      <c r="I79" s="4">
        <f>3.124/1.215</f>
        <v>2.5711934156378602</v>
      </c>
      <c r="J79" s="4"/>
      <c r="K79" s="4"/>
      <c r="L79" s="4">
        <f>0.594/1.48</f>
        <v>0.40135135135135136</v>
      </c>
      <c r="M79" s="4"/>
      <c r="N79" s="4"/>
      <c r="O79" s="4"/>
      <c r="P79" s="4"/>
      <c r="Q79" s="4"/>
      <c r="R79" s="4"/>
      <c r="S79" s="4"/>
      <c r="T79" s="4">
        <f>0.74/0.24</f>
        <v>3.0833333333333335</v>
      </c>
      <c r="U79" s="4"/>
      <c r="V79" s="4"/>
      <c r="W79" s="4"/>
      <c r="X79" s="4"/>
      <c r="Y79" s="4">
        <f>0.868/0.625</f>
        <v>1.3888</v>
      </c>
      <c r="Z79" s="4"/>
      <c r="AA79" s="4"/>
      <c r="AB79" s="4"/>
      <c r="AC79" s="4">
        <f>23.5/26.3</f>
        <v>0.89353612167300378</v>
      </c>
      <c r="AD79" s="4">
        <f>26.3/65.4</f>
        <v>0.40214067278287458</v>
      </c>
      <c r="AE79" s="4">
        <f>23.5/65.4</f>
        <v>0.35932721712538224</v>
      </c>
      <c r="AF79" s="4">
        <f>43.7/65.4</f>
        <v>0.66819571865443428</v>
      </c>
      <c r="AG79" s="4">
        <f>4.2/26.3</f>
        <v>0.1596958174904943</v>
      </c>
      <c r="AH79" s="4">
        <f>3.3/23.5</f>
        <v>0.1404255319148936</v>
      </c>
      <c r="AI79" s="4">
        <f>10.7/43.7</f>
        <v>0.24485125858123566</v>
      </c>
      <c r="AJ79" s="4"/>
      <c r="AK79" s="4">
        <f>0.469/2.554</f>
        <v>0.18363351605324982</v>
      </c>
      <c r="AL79" s="4">
        <f>0.594/0.706</f>
        <v>0.84135977337110479</v>
      </c>
      <c r="AM79" s="6">
        <f>444.3/910</f>
        <v>0.48824175824175825</v>
      </c>
      <c r="AN79" s="5">
        <f>196.8/341.4</f>
        <v>0.57644991212653784</v>
      </c>
      <c r="AO79" s="6">
        <f>646.54/910</f>
        <v>0.71048351648351649</v>
      </c>
      <c r="AP79" s="6">
        <f>458.36/910</f>
        <v>0.50369230769230766</v>
      </c>
      <c r="AQ79" s="6">
        <f>644.2/910</f>
        <v>0.70791208791208793</v>
      </c>
      <c r="AR79" s="4">
        <f>2.583/6.219</f>
        <v>0.41534008683068019</v>
      </c>
      <c r="AS79" s="4">
        <f>0.998/2.583</f>
        <v>0.38637243515292291</v>
      </c>
    </row>
    <row r="80" spans="1:45" x14ac:dyDescent="0.2">
      <c r="A80" s="3" t="s">
        <v>142</v>
      </c>
      <c r="B80" t="s">
        <v>60</v>
      </c>
      <c r="C80">
        <v>251.2</v>
      </c>
      <c r="D80">
        <v>249.8666667</v>
      </c>
      <c r="E80" s="21">
        <v>600</v>
      </c>
      <c r="F80" s="21"/>
      <c r="G80" s="22"/>
      <c r="H80" s="23">
        <f>19.24/29.19</f>
        <v>0.65912983898595401</v>
      </c>
      <c r="I80" s="23">
        <f>12.52/8.13</f>
        <v>1.5399753997539973</v>
      </c>
      <c r="J80" s="23">
        <f>0.771/1.354</f>
        <v>0.569423929098966</v>
      </c>
      <c r="K80" s="23">
        <f>0.75/0.615</f>
        <v>1.2195121951219512</v>
      </c>
      <c r="L80" s="23">
        <f>5.58/12.52</f>
        <v>0.44568690095846647</v>
      </c>
      <c r="M80" s="21">
        <f>3.88/4.05</f>
        <v>0.9580246913580247</v>
      </c>
      <c r="N80" s="24">
        <f>2.73/6.45</f>
        <v>0.42325581395348838</v>
      </c>
      <c r="O80" s="21">
        <f>4.05/8.13</f>
        <v>0.49815498154981541</v>
      </c>
      <c r="P80" s="21">
        <f>0.375/0.626</f>
        <v>0.59904153354632583</v>
      </c>
      <c r="Q80" s="21"/>
      <c r="R80" s="21"/>
      <c r="S80" s="21"/>
      <c r="T80" s="23">
        <f>7.85/5.86</f>
        <v>1.3395904436860067</v>
      </c>
      <c r="U80" s="23">
        <f>1.63/9.61</f>
        <v>0.1696149843912591</v>
      </c>
      <c r="V80" s="23">
        <f>4.67/4.84</f>
        <v>0.9648760330578513</v>
      </c>
      <c r="W80" s="23">
        <f>5.01/5.35</f>
        <v>0.93644859813084114</v>
      </c>
      <c r="X80" s="23">
        <f>4.27/6.49</f>
        <v>0.65793528505392906</v>
      </c>
      <c r="Y80" s="23">
        <f>12.06/10.13</f>
        <v>1.1905231984205331</v>
      </c>
      <c r="Z80" s="21">
        <f>4.15/2.05</f>
        <v>2.0243902439024395</v>
      </c>
      <c r="AA80" s="22"/>
      <c r="AB80" s="22"/>
      <c r="AC80" s="21">
        <f>5.27/8.32</f>
        <v>0.63341346153846145</v>
      </c>
      <c r="AD80" s="21">
        <f>8.32/19.89</f>
        <v>0.41830065359477125</v>
      </c>
      <c r="AE80" s="21">
        <f>5.27/19.89</f>
        <v>0.2649572649572649</v>
      </c>
      <c r="AF80" s="21">
        <f>14.08/19.89</f>
        <v>0.70789341377576676</v>
      </c>
      <c r="AG80" s="21">
        <f>1.51/8.32</f>
        <v>0.18149038461538461</v>
      </c>
      <c r="AH80" s="21">
        <f>0.35/5.27</f>
        <v>6.6413662239089191E-2</v>
      </c>
      <c r="AI80" s="21">
        <f>3.46/14.08</f>
        <v>0.24573863636363635</v>
      </c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1:45" x14ac:dyDescent="0.2">
      <c r="A81" s="3" t="s">
        <v>143</v>
      </c>
      <c r="B81" t="s">
        <v>60</v>
      </c>
      <c r="C81">
        <v>251.2</v>
      </c>
      <c r="D81">
        <v>249.8666667</v>
      </c>
      <c r="E81" s="21">
        <v>1000</v>
      </c>
      <c r="F81" s="21"/>
      <c r="G81" s="21">
        <f>45.55/215</f>
        <v>0.21186046511627907</v>
      </c>
      <c r="H81" s="26">
        <f>85.44/117</f>
        <v>0.73025641025641019</v>
      </c>
      <c r="I81" s="26">
        <f>55.1/35.3</f>
        <v>1.5609065155807367</v>
      </c>
      <c r="J81" s="10"/>
      <c r="K81" s="10"/>
      <c r="L81" s="26">
        <f>24.15/55.1</f>
        <v>0.43829401088929215</v>
      </c>
      <c r="M81" s="24">
        <f>15.4/20.48</f>
        <v>0.751953125</v>
      </c>
      <c r="N81" s="24"/>
      <c r="O81" s="24">
        <f>20.48/35.3</f>
        <v>0.58016997167138817</v>
      </c>
      <c r="P81" s="2">
        <f>0.587/0.767</f>
        <v>0.7653194263363754</v>
      </c>
      <c r="Q81" s="2"/>
      <c r="R81" s="2"/>
      <c r="S81" s="2"/>
      <c r="T81" s="26">
        <f>36.23/23.16</f>
        <v>1.56433506044905</v>
      </c>
      <c r="U81" s="26">
        <f>4.2/36.87</f>
        <v>0.11391375101708708</v>
      </c>
      <c r="V81" s="10"/>
      <c r="W81" s="10"/>
      <c r="X81" s="10"/>
      <c r="Y81" s="26">
        <f>49.81/35.58</f>
        <v>1.3999437886453066</v>
      </c>
      <c r="Z81" s="24">
        <f>16.82/7.89</f>
        <v>2.1318124207858049</v>
      </c>
      <c r="AA81" s="22"/>
      <c r="AB81" s="22"/>
      <c r="AC81" s="2"/>
      <c r="AD81" s="24">
        <f>31.54/85.62</f>
        <v>0.3683718757299696</v>
      </c>
      <c r="AE81" s="10"/>
      <c r="AF81" s="24">
        <f>61.22/85.62</f>
        <v>0.71501985517402467</v>
      </c>
      <c r="AG81" s="24">
        <f>6.67/31.54</f>
        <v>0.21147748890298035</v>
      </c>
      <c r="AH81" s="10"/>
      <c r="AI81" s="24">
        <f>14.62/61.22</f>
        <v>0.23881084612871609</v>
      </c>
      <c r="AJ81" s="26">
        <f>46.26/24.07</f>
        <v>1.9218944744495221</v>
      </c>
      <c r="AK81" s="23">
        <f>8.32/43.63</f>
        <v>0.19069447627779051</v>
      </c>
      <c r="AL81" s="23">
        <f>16.78/19.79</f>
        <v>0.8479029813036888</v>
      </c>
      <c r="AM81" s="26">
        <f>205/675</f>
        <v>0.3037037037037037</v>
      </c>
      <c r="AN81" s="23">
        <f>0.136/0.33</f>
        <v>0.41212121212121211</v>
      </c>
      <c r="AO81" s="26">
        <f>391.21/675</f>
        <v>0.57957037037037029</v>
      </c>
      <c r="AP81" s="26">
        <f>307.66/675</f>
        <v>0.45579259259259264</v>
      </c>
      <c r="AQ81" s="26">
        <f>431.03/675</f>
        <v>0.63856296296296289</v>
      </c>
      <c r="AR81" s="23">
        <f>67.3/149.56</f>
        <v>0.44998662744049206</v>
      </c>
      <c r="AS81" s="23">
        <f>23.8/67.3</f>
        <v>0.35364041604754831</v>
      </c>
    </row>
    <row r="82" spans="1:45" x14ac:dyDescent="0.2">
      <c r="A82" s="3" t="s">
        <v>144</v>
      </c>
      <c r="B82" t="s">
        <v>60</v>
      </c>
      <c r="C82">
        <v>251.55099999999999</v>
      </c>
      <c r="D82">
        <v>251.2</v>
      </c>
      <c r="E82" s="4"/>
      <c r="F82" s="4">
        <v>240</v>
      </c>
      <c r="G82" s="4"/>
      <c r="H82" s="4"/>
      <c r="I82" s="6">
        <f>48.26/24.27</f>
        <v>1.9884631231973628</v>
      </c>
      <c r="J82" s="6">
        <f>18.69/48.26</f>
        <v>0.38727724823870707</v>
      </c>
      <c r="K82" s="2"/>
      <c r="L82" s="6">
        <f>18.51/48.26</f>
        <v>0.383547451305429</v>
      </c>
      <c r="M82" s="6">
        <f>37.27/13.43</f>
        <v>2.7751303052866718</v>
      </c>
      <c r="N82" s="6">
        <f>2.38/12.03</f>
        <v>0.19783873649210307</v>
      </c>
      <c r="O82" s="6">
        <f>15.81/24.27</f>
        <v>0.65142150803461063</v>
      </c>
      <c r="P82" s="6">
        <f>10.46/24.27</f>
        <v>0.430984754841368</v>
      </c>
      <c r="Q82" s="4"/>
      <c r="R82" s="4"/>
      <c r="S82" s="4"/>
      <c r="T82" s="6">
        <f>31.74/17.05</f>
        <v>1.8615835777126097</v>
      </c>
      <c r="U82" s="6">
        <f>3.08/27.45</f>
        <v>0.1122040072859745</v>
      </c>
      <c r="V82" s="6">
        <f>13.81/13.14</f>
        <v>1.0509893455098935</v>
      </c>
      <c r="W82" s="6">
        <f>12.26/8.14</f>
        <v>1.506142506142506</v>
      </c>
      <c r="X82" s="6">
        <f>7.32/19.95</f>
        <v>0.36691729323308275</v>
      </c>
      <c r="Y82" s="6">
        <f>33.74/23.45</f>
        <v>1.4388059701492539</v>
      </c>
      <c r="Z82" s="6">
        <f>7.4/6.53</f>
        <v>1.1332312404287903</v>
      </c>
      <c r="AA82" s="4"/>
      <c r="AB82" s="4"/>
      <c r="AC82" s="4">
        <f>7/8.8</f>
        <v>0.79545454545454541</v>
      </c>
      <c r="AD82" s="4">
        <f>8.8/27.7</f>
        <v>0.3176895306859206</v>
      </c>
      <c r="AE82" s="4">
        <f>7/27.7</f>
        <v>0.25270758122743681</v>
      </c>
      <c r="AF82" s="4">
        <f>20/27.7</f>
        <v>0.72202166064981954</v>
      </c>
      <c r="AG82" s="4">
        <f>1.5/8.8</f>
        <v>0.17045454545454544</v>
      </c>
      <c r="AH82" s="4">
        <f>1.1/7</f>
        <v>0.15714285714285717</v>
      </c>
      <c r="AI82" s="11">
        <f>3.9/20</f>
        <v>0.19500000000000001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x14ac:dyDescent="0.2">
      <c r="A83" s="3" t="s">
        <v>145</v>
      </c>
      <c r="B83" t="s">
        <v>75</v>
      </c>
      <c r="C83">
        <v>237</v>
      </c>
      <c r="D83">
        <v>208.5</v>
      </c>
      <c r="E83" s="4">
        <v>237.3</v>
      </c>
      <c r="F83" s="4">
        <v>225</v>
      </c>
      <c r="G83" s="4">
        <f>67.7/237.3</f>
        <v>0.28529287821323218</v>
      </c>
      <c r="H83" s="4">
        <f>143.1/182.7</f>
        <v>0.78325123152709364</v>
      </c>
      <c r="I83" s="4">
        <f>90.5/46.9</f>
        <v>1.9296375266524521</v>
      </c>
      <c r="J83" s="4"/>
      <c r="K83" s="4"/>
      <c r="L83" s="4">
        <f>32.4/90.5</f>
        <v>0.35801104972375691</v>
      </c>
      <c r="M83" s="4"/>
      <c r="N83" s="4"/>
      <c r="O83" s="4"/>
      <c r="P83" s="4">
        <f>0.365/0.923</f>
        <v>0.39544962080173346</v>
      </c>
      <c r="Q83" s="4"/>
      <c r="R83" s="4"/>
      <c r="S83" s="4"/>
      <c r="T83" s="4">
        <f>61.8/29.1</f>
        <v>2.1237113402061856</v>
      </c>
      <c r="U83" s="4">
        <f>5.1/49.1</f>
        <v>0.10386965376782076</v>
      </c>
      <c r="V83" s="4">
        <f>13.2/4.5</f>
        <v>2.9333333333333331</v>
      </c>
      <c r="W83" s="4">
        <f>11.4/4.5</f>
        <v>2.5333333333333332</v>
      </c>
      <c r="X83" s="4">
        <f>17.3/6.8</f>
        <v>2.5441176470588238</v>
      </c>
      <c r="Y83" s="4">
        <f>61.8/55.5</f>
        <v>1.1135135135135135</v>
      </c>
      <c r="Z83" s="4" t="s">
        <v>46</v>
      </c>
      <c r="AA83" s="4"/>
      <c r="AB83" s="4"/>
      <c r="AC83" s="4"/>
      <c r="AD83" s="4"/>
      <c r="AE83" s="4"/>
      <c r="AF83" s="4"/>
      <c r="AG83" s="17"/>
      <c r="AH83" s="17"/>
      <c r="AI83" s="4"/>
      <c r="AJ83" s="4"/>
      <c r="AK83" s="4"/>
      <c r="AL83" s="4"/>
      <c r="AM83" s="6">
        <f>156.17/389.63</f>
        <v>0.400816158920001</v>
      </c>
      <c r="AN83" s="5"/>
      <c r="AO83" s="6">
        <f>252.21/389.63</f>
        <v>0.6473064189102482</v>
      </c>
      <c r="AP83" s="6">
        <f>189.75/389.63</f>
        <v>0.487000487642122</v>
      </c>
      <c r="AQ83" s="6">
        <f>259.3/389.63</f>
        <v>0.66550316967379308</v>
      </c>
      <c r="AR83" s="5">
        <f>70/177.2</f>
        <v>0.39503386004514673</v>
      </c>
      <c r="AS83" s="4">
        <f>22.7/70</f>
        <v>0.32428571428571429</v>
      </c>
    </row>
    <row r="84" spans="1:45" x14ac:dyDescent="0.2">
      <c r="A84" s="3" t="s">
        <v>146</v>
      </c>
      <c r="B84" t="s">
        <v>60</v>
      </c>
      <c r="C84">
        <v>251.90199999999999</v>
      </c>
      <c r="D84">
        <v>251.2</v>
      </c>
      <c r="E84" s="4">
        <v>302.5</v>
      </c>
      <c r="F84" s="4">
        <v>270</v>
      </c>
      <c r="G84" s="4">
        <f>83.1/302.5</f>
        <v>0.27471074380165289</v>
      </c>
      <c r="H84" s="4">
        <f>62.8/81.6</f>
        <v>0.76960784313725494</v>
      </c>
      <c r="I84" s="4"/>
      <c r="J84" s="4"/>
      <c r="K84" s="4"/>
      <c r="L84" s="4">
        <f>0.563/1.556</f>
        <v>0.36182519280205649</v>
      </c>
      <c r="M84" s="4"/>
      <c r="N84" s="4"/>
      <c r="O84" s="4"/>
      <c r="P84" s="4"/>
      <c r="Q84" s="4">
        <f>6.1/8.2</f>
        <v>0.74390243902439024</v>
      </c>
      <c r="R84" s="4">
        <f>8.2/4.3</f>
        <v>1.9069767441860463</v>
      </c>
      <c r="S84" s="4">
        <f>6.1/3.9</f>
        <v>1.5641025641025641</v>
      </c>
      <c r="T84" s="4">
        <f>28.3/13.6</f>
        <v>2.0808823529411766</v>
      </c>
      <c r="U84" s="4">
        <f>2.8/22</f>
        <v>0.12727272727272726</v>
      </c>
      <c r="V84" s="4">
        <f>19.1/11.1</f>
        <v>1.7207207207207209</v>
      </c>
      <c r="W84" s="4">
        <f>20.2/13.8</f>
        <v>1.4637681159420288</v>
      </c>
      <c r="X84" s="4">
        <f>7.5/15.8</f>
        <v>0.47468354430379744</v>
      </c>
      <c r="Y84" s="4">
        <f>36.2/24.3</f>
        <v>1.4897119341563787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>
        <f>42.9/16</f>
        <v>2.6812499999999999</v>
      </c>
      <c r="AK84" s="4">
        <f>22.3/98.9</f>
        <v>0.22548028311425683</v>
      </c>
      <c r="AL84" s="4">
        <f>15.3/23.6</f>
        <v>0.64830508474576265</v>
      </c>
      <c r="AM84" s="6">
        <f>146.02/394.33</f>
        <v>0.37029898815712731</v>
      </c>
      <c r="AN84" s="5"/>
      <c r="AO84" s="6">
        <f>239.73/394.33</f>
        <v>0.60794258615880103</v>
      </c>
      <c r="AP84" s="6">
        <f>192.09/394.33</f>
        <v>0.48713006872416509</v>
      </c>
      <c r="AQ84" s="6">
        <f>276.42/394.33</f>
        <v>0.70098648340222658</v>
      </c>
      <c r="AR84" s="5">
        <f>56.4/246.1</f>
        <v>0.22917513206013815</v>
      </c>
      <c r="AS84" s="4"/>
    </row>
    <row r="85" spans="1:45" x14ac:dyDescent="0.2">
      <c r="A85" s="3" t="s">
        <v>147</v>
      </c>
      <c r="B85" t="s">
        <v>60</v>
      </c>
      <c r="C85">
        <v>251.90199999999999</v>
      </c>
      <c r="D85">
        <v>251.2</v>
      </c>
      <c r="E85" s="4">
        <v>187.6</v>
      </c>
      <c r="F85" s="4">
        <v>173.6</v>
      </c>
      <c r="G85" s="4">
        <f>18/61.8</f>
        <v>0.29126213592233013</v>
      </c>
      <c r="H85" s="4">
        <f>14/18</f>
        <v>0.77777777777777779</v>
      </c>
      <c r="I85" s="4">
        <f>27.3/14.1</f>
        <v>1.9361702127659575</v>
      </c>
      <c r="J85" s="4">
        <f>11.2/27.3</f>
        <v>0.41025641025641024</v>
      </c>
      <c r="K85" s="4">
        <f>12.7/14.1</f>
        <v>0.900709219858156</v>
      </c>
      <c r="L85" s="4">
        <f>12.5/28</f>
        <v>0.44642857142857145</v>
      </c>
      <c r="M85" s="4">
        <f>7.9/10.4</f>
        <v>0.75961538461538458</v>
      </c>
      <c r="N85" s="6">
        <f>2.46/6.19</f>
        <v>0.39741518578352175</v>
      </c>
      <c r="O85" s="4">
        <f>10.4/14.1</f>
        <v>0.73758865248226957</v>
      </c>
      <c r="P85" s="4">
        <f>6.5/14.1</f>
        <v>0.46099290780141844</v>
      </c>
      <c r="Q85" s="4"/>
      <c r="R85" s="4">
        <f>2.8/2.3</f>
        <v>1.2173913043478262</v>
      </c>
      <c r="S85" s="4"/>
      <c r="T85" s="4">
        <f>16.1/10.1</f>
        <v>1.5940594059405944</v>
      </c>
      <c r="U85" s="4">
        <f>3.5/18.5</f>
        <v>0.1891891891891892</v>
      </c>
      <c r="V85" s="4">
        <f>10/7.5</f>
        <v>1.3333333333333333</v>
      </c>
      <c r="W85" s="4">
        <f>13.1/9.1</f>
        <v>1.4395604395604396</v>
      </c>
      <c r="X85" s="4">
        <f>7.8/12.7</f>
        <v>0.61417322834645671</v>
      </c>
      <c r="Y85" s="4">
        <f>27/18</f>
        <v>1.5</v>
      </c>
      <c r="Z85" s="4">
        <f>8.6/4.3</f>
        <v>2</v>
      </c>
      <c r="AA85" s="4"/>
      <c r="AB85" s="4"/>
      <c r="AC85" s="4">
        <f>9.8/13.5</f>
        <v>0.72592592592592597</v>
      </c>
      <c r="AD85" s="4">
        <f>13.5/37.1</f>
        <v>0.36388140161725063</v>
      </c>
      <c r="AE85" s="4">
        <f>9.8/37.1</f>
        <v>0.26415094339622641</v>
      </c>
      <c r="AF85" s="4">
        <f>28/37.1</f>
        <v>0.75471698113207542</v>
      </c>
      <c r="AG85" s="4">
        <f>3.7/13.5</f>
        <v>0.27407407407407408</v>
      </c>
      <c r="AH85" s="4">
        <f>0.8/9.8</f>
        <v>8.1632653061224483E-2</v>
      </c>
      <c r="AI85" s="11">
        <f>6.8/28</f>
        <v>0.24285714285714285</v>
      </c>
      <c r="AJ85" s="4">
        <f>23.2/12.6</f>
        <v>1.8412698412698412</v>
      </c>
      <c r="AK85" s="4">
        <f>9.5/53.7</f>
        <v>0.17690875232774672</v>
      </c>
      <c r="AL85" s="4">
        <f>24.3/22.5</f>
        <v>1.08</v>
      </c>
      <c r="AM85" s="6">
        <f>69.39/173</f>
        <v>0.40109826589595377</v>
      </c>
      <c r="AN85" s="5"/>
      <c r="AO85" s="6">
        <f>11.4/173.33</f>
        <v>6.5770495586453578E-2</v>
      </c>
      <c r="AP85" s="6">
        <f>85.3/173.33</f>
        <v>0.49212484855477984</v>
      </c>
      <c r="AQ85" s="6">
        <f>116.18/173.33</f>
        <v>0.67028212081001559</v>
      </c>
      <c r="AR85" s="5">
        <f>41.3/146.3</f>
        <v>0.28229665071770332</v>
      </c>
      <c r="AS85" s="4">
        <f>14.7/41.3</f>
        <v>0.3559322033898305</v>
      </c>
    </row>
    <row r="86" spans="1:45" x14ac:dyDescent="0.2">
      <c r="A86" s="3" t="s">
        <v>148</v>
      </c>
      <c r="B86" t="s">
        <v>60</v>
      </c>
      <c r="C86">
        <v>251.2</v>
      </c>
      <c r="D86">
        <v>249.2</v>
      </c>
      <c r="E86" s="4"/>
      <c r="F86" s="4"/>
      <c r="G86" s="4"/>
      <c r="H86" s="4">
        <f>30.6/60.9</f>
        <v>0.50246305418719217</v>
      </c>
      <c r="I86" s="4">
        <f>34/11.8</f>
        <v>2.8813559322033897</v>
      </c>
      <c r="J86" s="4">
        <f>15.2/20.2</f>
        <v>0.75247524752475248</v>
      </c>
      <c r="K86" s="4">
        <f>14/13</f>
        <v>1.0769230769230769</v>
      </c>
      <c r="L86" s="11">
        <f>9.8/34</f>
        <v>0.28823529411764709</v>
      </c>
      <c r="M86" s="4"/>
      <c r="N86" s="6">
        <f>3.82/12.51</f>
        <v>0.30535571542765788</v>
      </c>
      <c r="O86" s="4">
        <f>20.2/13.1</f>
        <v>1.5419847328244274</v>
      </c>
      <c r="P86" s="4">
        <f>7/13.1</f>
        <v>0.53435114503816794</v>
      </c>
      <c r="Q86" s="4"/>
      <c r="R86" s="4"/>
      <c r="S86" s="4"/>
      <c r="T86" s="4">
        <f>13.8/17.2</f>
        <v>0.80232558139534893</v>
      </c>
      <c r="U86" s="4">
        <f>2.6/21.3</f>
        <v>0.12206572769953052</v>
      </c>
      <c r="V86" s="4">
        <f>6.1/8.6</f>
        <v>0.70930232558139539</v>
      </c>
      <c r="W86" s="4">
        <f>13/12.3</f>
        <v>1.056910569105691</v>
      </c>
      <c r="X86" s="4">
        <f>8.5/10</f>
        <v>0.85</v>
      </c>
      <c r="Y86" s="4">
        <f>28/21</f>
        <v>1.3333333333333333</v>
      </c>
      <c r="Z86" s="4"/>
      <c r="AA86" s="4">
        <f>16.9/3.8</f>
        <v>4.447368421052631</v>
      </c>
      <c r="AB86" s="4"/>
      <c r="AC86" s="4"/>
      <c r="AD86" s="4"/>
      <c r="AE86" s="4"/>
      <c r="AF86" s="4"/>
      <c r="AG86" s="4"/>
      <c r="AH86" s="4"/>
      <c r="AI86" s="4">
        <f>7/27.4</f>
        <v>0.25547445255474455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6" x14ac:dyDescent="0.2">
      <c r="A87" s="20" t="s">
        <v>149</v>
      </c>
      <c r="B87" t="s">
        <v>70</v>
      </c>
      <c r="C87">
        <v>254.14</v>
      </c>
      <c r="D87">
        <v>252.28</v>
      </c>
      <c r="E87" s="4"/>
      <c r="F87" s="4"/>
      <c r="G87" s="4"/>
      <c r="H87" s="4">
        <f>38.6/46.1</f>
        <v>0.83731019522776573</v>
      </c>
      <c r="I87" s="4">
        <f>24.4/14.3</f>
        <v>1.706293706293706</v>
      </c>
      <c r="J87" s="4"/>
      <c r="K87" s="4"/>
      <c r="L87" s="4">
        <f>17.4/24.4</f>
        <v>0.71311475409836067</v>
      </c>
      <c r="M87" s="4"/>
      <c r="N87" s="4"/>
      <c r="O87" s="4">
        <f>17/14.3</f>
        <v>1.1888111888111887</v>
      </c>
      <c r="P87" s="4"/>
      <c r="Q87" s="4"/>
      <c r="R87" s="4"/>
      <c r="S87" s="4"/>
      <c r="T87" s="4"/>
      <c r="U87" s="4"/>
      <c r="V87" s="4">
        <f>4.9/7.3</f>
        <v>0.67123287671232879</v>
      </c>
      <c r="W87" s="4"/>
      <c r="X87" s="4"/>
      <c r="Y87" s="4">
        <f>19.8/12</f>
        <v>1.6500000000000001</v>
      </c>
      <c r="Z87" s="4">
        <f>6.9/6.8</f>
        <v>1.0147058823529413</v>
      </c>
      <c r="AA87" s="4"/>
      <c r="AB87" s="4"/>
      <c r="AC87" s="4"/>
      <c r="AD87" s="4"/>
      <c r="AE87" s="4"/>
      <c r="AF87" s="4"/>
      <c r="AG87" s="4"/>
      <c r="AH87" s="4"/>
      <c r="AI87" s="4">
        <f>5.7/20.4</f>
        <v>0.27941176470588236</v>
      </c>
      <c r="AJ87" s="4">
        <f>27/14.5</f>
        <v>1.8620689655172413</v>
      </c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">
      <c r="A88" s="3" t="s">
        <v>150</v>
      </c>
      <c r="B88" t="s">
        <v>54</v>
      </c>
      <c r="C88">
        <v>245.46666669999999</v>
      </c>
      <c r="D88">
        <v>242</v>
      </c>
      <c r="E88" s="4">
        <v>264.8</v>
      </c>
      <c r="F88" s="4">
        <v>252.5</v>
      </c>
      <c r="G88" s="4">
        <f>66.4/264.8</f>
        <v>0.25075528700906347</v>
      </c>
      <c r="H88" s="4"/>
      <c r="I88" s="4">
        <f>23.6/13.7</f>
        <v>1.7226277372262775</v>
      </c>
      <c r="J88" s="4">
        <f>15.1/23.6</f>
        <v>0.63983050847457623</v>
      </c>
      <c r="K88" s="4">
        <f>19/13.7</f>
        <v>1.3868613138686132</v>
      </c>
      <c r="L88" s="4"/>
      <c r="M88" s="4">
        <f>6.7/8.2</f>
        <v>0.81707317073170738</v>
      </c>
      <c r="N88" s="6">
        <f>1.51/3.5</f>
        <v>0.43142857142857144</v>
      </c>
      <c r="O88" s="4">
        <f>8.2/13.7</f>
        <v>0.5985401459854014</v>
      </c>
      <c r="P88" s="4">
        <f>8.9/13.7</f>
        <v>0.64963503649635046</v>
      </c>
      <c r="Q88" s="4"/>
      <c r="R88" s="4"/>
      <c r="S88" s="4"/>
      <c r="T88" s="4"/>
      <c r="U88" s="4"/>
      <c r="V88" s="4"/>
      <c r="W88" s="4"/>
      <c r="X88" s="4"/>
      <c r="Y88" s="4">
        <f>22.1/18.6</f>
        <v>1.1881720430107527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"/>
      <c r="AL88" s="5"/>
      <c r="AM88" s="6">
        <f>97.99/245</f>
        <v>0.39995918367346939</v>
      </c>
      <c r="AN88" s="5"/>
      <c r="AO88" s="6">
        <f>156.95/245</f>
        <v>0.64061224489795909</v>
      </c>
      <c r="AP88" s="6">
        <f>134.41/245</f>
        <v>0.54861224489795912</v>
      </c>
      <c r="AQ88" s="6"/>
      <c r="AR88" s="5">
        <f>(0.884+2.718)/(0.884+3.862)</f>
        <v>0.75895490939738719</v>
      </c>
      <c r="AS88" s="5">
        <f>0.422/1.164</f>
        <v>0.36254295532646047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Cloutier Richard</dc:creator>
  <cp:lastModifiedBy>Mike Lee</cp:lastModifiedBy>
  <dcterms:created xsi:type="dcterms:W3CDTF">2021-05-31T19:39:51Z</dcterms:created>
  <dcterms:modified xsi:type="dcterms:W3CDTF">2023-10-10T23:20:11Z</dcterms:modified>
</cp:coreProperties>
</file>