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T:\eForms\comp\v2024\_final\"/>
    </mc:Choice>
  </mc:AlternateContent>
  <xr:revisionPtr revIDLastSave="0" documentId="13_ncr:1_{6CC9754F-DA09-4BE4-A308-AB1728441E6B}" xr6:coauthVersionLast="47" xr6:coauthVersionMax="47" xr10:uidLastSave="{00000000-0000-0000-0000-000000000000}"/>
  <workbookProtection workbookAlgorithmName="SHA-512" workbookHashValue="uvnm8O4bJ5Om2frqgPBC065Hflz8lXeLeY9lQ+nUu+C+fN0DCO/AsGmI3VCo21h/7R9Es3JEiimYMsWLhu2OMg==" workbookSaltValue="uDSOQeCygrXiQvFbmX+J6Q==" workbookSpinCount="100000" lockStructure="1"/>
  <bookViews>
    <workbookView xWindow="-120" yWindow="-120" windowWidth="38640" windowHeight="21240" xr2:uid="{00000000-000D-0000-FFFF-FFFF00000000}"/>
  </bookViews>
  <sheets>
    <sheet name="CP01A (Vessels)" sheetId="5" r:id="rId1"/>
    <sheet name="CP01B (Authorizations)" sheetId="11" r:id="rId2"/>
    <sheet name="CP01C (Ownership)" sheetId="10" r:id="rId3"/>
    <sheet name="Codes" sheetId="8" r:id="rId4"/>
    <sheet name="Instructions" sheetId="12" r:id="rId5"/>
    <sheet name="Translation" sheetId="9" state="hidden" r:id="rId6"/>
  </sheets>
  <definedNames>
    <definedName name="_xlnm._FilterDatabase" localSheetId="3" hidden="1">Codes!$A$2:$D$175</definedName>
    <definedName name="_xlnm._FilterDatabase" localSheetId="5" hidden="1">Translation!$C$4:$E$111</definedName>
    <definedName name="ActionTrans">Codes!$N$3:$N$5</definedName>
    <definedName name="CCapUnitCod">Codes!$F$71:$F$72</definedName>
    <definedName name="FisheryType">Codes!$F$76:$F$80</definedName>
    <definedName name="FishingArea">Codes!$F$84:$F$87</definedName>
    <definedName name="FlagA2ISO">Codes!$D$3:$D$175</definedName>
    <definedName name="FlagCod">Codes!$B$3:$B$175</definedName>
    <definedName name="FlagName">Codes!$A$3:$A$175</definedName>
    <definedName name="ICCATSerialNo">tblVessels[ICCATSerialNo]</definedName>
    <definedName name="Idiom">'CP01A (Vessels)'!$O$2</definedName>
    <definedName name="IRNoTypeCod">Codes!$F$3:$F$6</definedName>
    <definedName name="IsscfgCod">Codes!$F$35:$F$57</definedName>
    <definedName name="IsscfvCod">Codes!$F$10:$F$31</definedName>
    <definedName name="LangFieldID">Translation!$H$1</definedName>
    <definedName name="LangNameID">Translation!$H$2</definedName>
    <definedName name="LenTypeCod">Codes!$F$61:$F$62</definedName>
    <definedName name="NatRegNo">tblVessels[NatRegNo]</definedName>
    <definedName name="OwOpEntityID">tblOwOpEntities[OwOpEntityID]</definedName>
    <definedName name="RModeCod">Codes!$F$103:$F$104</definedName>
    <definedName name="Status">Codes!$C$3:$C$175</definedName>
    <definedName name="TonTypeCod">Codes!$F$66:$F$67</definedName>
    <definedName name="VmsComSysCod">Codes!$F$91:$F$99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5" l="1"/>
  <c r="B8" i="10"/>
  <c r="B6" i="10"/>
  <c r="B8" i="11"/>
  <c r="B6" i="11"/>
  <c r="B22" i="5"/>
  <c r="B22" i="11"/>
  <c r="H18" i="10"/>
  <c r="G18" i="10"/>
  <c r="H2" i="9"/>
  <c r="H1" i="9"/>
  <c r="H17" i="10"/>
  <c r="D12" i="10"/>
  <c r="F10" i="5"/>
  <c r="G17" i="10"/>
  <c r="G73" i="12"/>
  <c r="G72" i="12"/>
  <c r="G71" i="12"/>
  <c r="G76" i="12"/>
  <c r="G50" i="12"/>
  <c r="C18" i="10"/>
  <c r="B18" i="10"/>
  <c r="G42" i="12"/>
  <c r="G44" i="12"/>
  <c r="G45" i="12"/>
  <c r="G49" i="12"/>
  <c r="G48" i="12"/>
  <c r="G32" i="12"/>
  <c r="G31" i="12"/>
  <c r="A22" i="11"/>
  <c r="F73" i="12"/>
  <c r="F71" i="12"/>
  <c r="F72" i="12"/>
  <c r="H73" i="12"/>
  <c r="H72" i="12"/>
  <c r="H71" i="12"/>
  <c r="C50" i="12"/>
  <c r="C76" i="12"/>
  <c r="H76" i="12"/>
  <c r="H50" i="12"/>
  <c r="K10" i="11"/>
  <c r="K9" i="11"/>
  <c r="K8" i="11"/>
  <c r="K7" i="11"/>
  <c r="A14" i="11"/>
  <c r="A17" i="10"/>
  <c r="C19" i="11"/>
  <c r="A15" i="10"/>
  <c r="A18" i="11"/>
  <c r="A18" i="5"/>
  <c r="F42" i="12"/>
  <c r="C12" i="10"/>
  <c r="F17" i="10"/>
  <c r="B15" i="11"/>
  <c r="B14" i="11"/>
  <c r="B17" i="10"/>
  <c r="A15" i="5"/>
  <c r="C11" i="10"/>
  <c r="C17" i="10"/>
  <c r="B15" i="5"/>
  <c r="A16" i="5"/>
  <c r="D11" i="10"/>
  <c r="D17" i="10"/>
  <c r="A15" i="11"/>
  <c r="E17" i="10"/>
  <c r="H45" i="12"/>
  <c r="H31" i="12"/>
  <c r="H48" i="12"/>
  <c r="H42" i="12"/>
  <c r="F44" i="12"/>
  <c r="F32" i="12"/>
  <c r="H32" i="12"/>
  <c r="H49" i="12"/>
  <c r="H44" i="12"/>
  <c r="F49" i="12"/>
  <c r="F31" i="12"/>
  <c r="F48" i="12"/>
  <c r="F45" i="12"/>
  <c r="N9" i="11"/>
  <c r="N10" i="11"/>
  <c r="I2" i="10"/>
  <c r="H2" i="10"/>
  <c r="G53" i="12"/>
  <c r="G74" i="12"/>
  <c r="G69" i="12"/>
  <c r="G68" i="12"/>
  <c r="G67" i="12"/>
  <c r="G65" i="12"/>
  <c r="G63" i="12"/>
  <c r="G60" i="12"/>
  <c r="G83" i="12"/>
  <c r="G84" i="12"/>
  <c r="G82" i="12"/>
  <c r="G81" i="12"/>
  <c r="G80" i="12"/>
  <c r="G79" i="12"/>
  <c r="G78" i="12"/>
  <c r="G77" i="12"/>
  <c r="G75" i="12"/>
  <c r="G70" i="12"/>
  <c r="G66" i="12"/>
  <c r="G64" i="12"/>
  <c r="G62" i="12"/>
  <c r="G61" i="12"/>
  <c r="G58" i="12"/>
  <c r="G57" i="12"/>
  <c r="G56" i="12"/>
  <c r="G55" i="12"/>
  <c r="G54" i="12"/>
  <c r="G52" i="12"/>
  <c r="G51" i="12"/>
  <c r="G23" i="12"/>
  <c r="G22" i="12"/>
  <c r="G21" i="12"/>
  <c r="G20" i="12"/>
  <c r="G19" i="12"/>
  <c r="G18" i="12"/>
  <c r="G17" i="12"/>
  <c r="G16" i="12"/>
  <c r="G15" i="12"/>
  <c r="G14" i="12"/>
  <c r="G13" i="12"/>
  <c r="G12" i="12"/>
  <c r="G11" i="12"/>
  <c r="P2" i="11"/>
  <c r="O2" i="11"/>
  <c r="I4" i="5"/>
  <c r="G14" i="5" s="1"/>
  <c r="H9" i="11" s="1"/>
  <c r="D6" i="11"/>
  <c r="C6" i="10"/>
  <c r="I9" i="5"/>
  <c r="G47" i="12"/>
  <c r="G46" i="12"/>
  <c r="G43" i="12"/>
  <c r="G41" i="12"/>
  <c r="G40" i="12"/>
  <c r="G39" i="12"/>
  <c r="G38" i="12"/>
  <c r="G37" i="12"/>
  <c r="G36" i="12"/>
  <c r="G35" i="12"/>
  <c r="G34" i="12"/>
  <c r="G33" i="12"/>
  <c r="G30" i="12"/>
  <c r="G29" i="12"/>
  <c r="G28" i="12"/>
  <c r="G27" i="12"/>
  <c r="G26" i="12"/>
  <c r="G25" i="12"/>
  <c r="G24" i="12"/>
  <c r="B16" i="5"/>
  <c r="A12" i="5"/>
  <c r="F53" i="12"/>
  <c r="F65" i="12"/>
  <c r="F82" i="12"/>
  <c r="F78" i="12"/>
  <c r="F64" i="12"/>
  <c r="F56" i="12"/>
  <c r="E69" i="12"/>
  <c r="D51" i="12"/>
  <c r="E35" i="12"/>
  <c r="S20" i="11"/>
  <c r="J20" i="11"/>
  <c r="Q20" i="11"/>
  <c r="F61" i="12"/>
  <c r="O20" i="11"/>
  <c r="F52" i="12"/>
  <c r="B50" i="12"/>
  <c r="D43" i="12"/>
  <c r="C77" i="12"/>
  <c r="G16" i="10"/>
  <c r="F58" i="12"/>
  <c r="D24" i="12"/>
  <c r="F66" i="12"/>
  <c r="E41" i="12"/>
  <c r="F63" i="12"/>
  <c r="F77" i="12"/>
  <c r="F62" i="12"/>
  <c r="F55" i="12"/>
  <c r="E67" i="12"/>
  <c r="E51" i="12"/>
  <c r="E33" i="12"/>
  <c r="C20" i="11"/>
  <c r="E65" i="12"/>
  <c r="F84" i="12"/>
  <c r="E63" i="12"/>
  <c r="F69" i="12"/>
  <c r="E60" i="12"/>
  <c r="F57" i="12"/>
  <c r="X20" i="11"/>
  <c r="F60" i="12"/>
  <c r="F83" i="12"/>
  <c r="D83" i="12"/>
  <c r="F54" i="12"/>
  <c r="E24" i="12"/>
  <c r="F70" i="12"/>
  <c r="M20" i="11"/>
  <c r="F81" i="12"/>
  <c r="F51" i="12"/>
  <c r="E43" i="12"/>
  <c r="F67" i="12"/>
  <c r="F75" i="12"/>
  <c r="A20" i="11"/>
  <c r="F74" i="12"/>
  <c r="B76" i="12"/>
  <c r="D77" i="12"/>
  <c r="F59" i="12"/>
  <c r="F68" i="12"/>
  <c r="C51" i="12"/>
  <c r="A16" i="10"/>
  <c r="E74" i="12"/>
  <c r="F80" i="12"/>
  <c r="E53" i="12"/>
  <c r="F79" i="12"/>
  <c r="H69" i="12"/>
  <c r="H79" i="12"/>
  <c r="H75" i="12"/>
  <c r="H66" i="12"/>
  <c r="H57" i="12"/>
  <c r="H55" i="12"/>
  <c r="H61" i="12"/>
  <c r="H74" i="12"/>
  <c r="H68" i="12"/>
  <c r="H67" i="12"/>
  <c r="H53" i="12"/>
  <c r="H83" i="12"/>
  <c r="H78" i="12"/>
  <c r="H64" i="12"/>
  <c r="H56" i="12"/>
  <c r="H54" i="12"/>
  <c r="H70" i="12"/>
  <c r="H80" i="12"/>
  <c r="H51" i="12"/>
  <c r="H65" i="12"/>
  <c r="H84" i="12"/>
  <c r="H77" i="12"/>
  <c r="H62" i="12"/>
  <c r="H52" i="12"/>
  <c r="H58" i="12"/>
  <c r="H63" i="12"/>
  <c r="H82" i="12"/>
  <c r="H81" i="12"/>
  <c r="H60" i="12"/>
  <c r="H59" i="12"/>
  <c r="T20" i="5"/>
  <c r="A19" i="5"/>
  <c r="J20" i="5"/>
  <c r="A20" i="5"/>
  <c r="R20" i="5"/>
  <c r="L20" i="5"/>
  <c r="T19" i="5"/>
  <c r="B2" i="5"/>
  <c r="C24" i="12"/>
  <c r="B11" i="12"/>
  <c r="B13" i="12"/>
  <c r="F20" i="12"/>
  <c r="F23" i="12"/>
  <c r="C13" i="12"/>
  <c r="D13" i="12"/>
  <c r="F22" i="12"/>
  <c r="D18" i="12"/>
  <c r="F21" i="12"/>
  <c r="H22" i="12"/>
  <c r="H16" i="12"/>
  <c r="H21" i="12"/>
  <c r="H15" i="12"/>
  <c r="H20" i="12"/>
  <c r="H13" i="12"/>
  <c r="H14" i="12"/>
  <c r="H19" i="12"/>
  <c r="H18" i="12"/>
  <c r="H23" i="12"/>
  <c r="H17" i="12"/>
  <c r="F19" i="12"/>
  <c r="F17" i="12"/>
  <c r="F6" i="5"/>
  <c r="F5" i="5"/>
  <c r="F16" i="12"/>
  <c r="F12" i="12"/>
  <c r="F11" i="12"/>
  <c r="F13" i="12"/>
  <c r="F15" i="12"/>
  <c r="H11" i="12"/>
  <c r="H12" i="12"/>
  <c r="N1" i="5"/>
  <c r="O1" i="11" s="1"/>
  <c r="O1" i="5"/>
  <c r="F5" i="11"/>
  <c r="J4" i="5"/>
  <c r="J7" i="5"/>
  <c r="A9" i="5"/>
  <c r="A4" i="11" s="1"/>
  <c r="A4" i="5"/>
  <c r="J6" i="5"/>
  <c r="J5" i="5"/>
  <c r="A1" i="12"/>
  <c r="B1" i="5"/>
  <c r="B1" i="11" s="1"/>
  <c r="Y21" i="11"/>
  <c r="A7" i="5"/>
  <c r="A5" i="5"/>
  <c r="F18" i="12"/>
  <c r="F14" i="12"/>
  <c r="A6" i="5"/>
  <c r="A10" i="5"/>
  <c r="A6" i="11" s="1"/>
  <c r="J9" i="5"/>
  <c r="F38" i="12"/>
  <c r="F43" i="12"/>
  <c r="F25" i="12"/>
  <c r="F26" i="12"/>
  <c r="H35" i="12"/>
  <c r="H36" i="12"/>
  <c r="H28" i="12"/>
  <c r="H29" i="12"/>
  <c r="H47" i="12"/>
  <c r="H24" i="12"/>
  <c r="H40" i="12"/>
  <c r="H41" i="12"/>
  <c r="H30" i="12"/>
  <c r="F37" i="12"/>
  <c r="H34" i="12"/>
  <c r="H46" i="12"/>
  <c r="F27" i="12"/>
  <c r="F39" i="12"/>
  <c r="F28" i="12"/>
  <c r="F40" i="12"/>
  <c r="H37" i="12"/>
  <c r="F29" i="12"/>
  <c r="F35" i="12"/>
  <c r="F41" i="12"/>
  <c r="F47" i="12"/>
  <c r="H26" i="12"/>
  <c r="H38" i="12"/>
  <c r="F33" i="12"/>
  <c r="F34" i="12"/>
  <c r="F46" i="12"/>
  <c r="H25" i="12"/>
  <c r="H43" i="12"/>
  <c r="F24" i="12"/>
  <c r="F30" i="12"/>
  <c r="F36" i="12"/>
  <c r="H27" i="12"/>
  <c r="H33" i="12"/>
  <c r="H39" i="12"/>
  <c r="A1" i="5"/>
  <c r="A1" i="10" s="1"/>
  <c r="B4" i="12"/>
  <c r="A11" i="12"/>
  <c r="B5" i="12"/>
  <c r="B6" i="12"/>
  <c r="H10" i="12"/>
  <c r="E21" i="5"/>
  <c r="A10" i="12"/>
  <c r="B10" i="12"/>
  <c r="B3" i="12"/>
  <c r="C10" i="12"/>
  <c r="G10" i="12"/>
  <c r="C21" i="5"/>
  <c r="I21" i="5"/>
  <c r="O21" i="5"/>
  <c r="U21" i="5"/>
  <c r="C21" i="11"/>
  <c r="I21" i="11"/>
  <c r="T21" i="11"/>
  <c r="D21" i="5"/>
  <c r="J21" i="5"/>
  <c r="P21" i="5"/>
  <c r="V21" i="5"/>
  <c r="D21" i="11"/>
  <c r="J21" i="11"/>
  <c r="O21" i="11"/>
  <c r="U21" i="11"/>
  <c r="K21" i="5"/>
  <c r="Q21" i="5"/>
  <c r="W21" i="5"/>
  <c r="E21" i="11"/>
  <c r="K21" i="11"/>
  <c r="P21" i="11"/>
  <c r="V21" i="11"/>
  <c r="F21" i="5"/>
  <c r="L21" i="5"/>
  <c r="R21" i="5"/>
  <c r="X21" i="5"/>
  <c r="F21" i="11"/>
  <c r="L21" i="11"/>
  <c r="Q21" i="11"/>
  <c r="W21" i="11"/>
  <c r="E10" i="12"/>
  <c r="G21" i="5"/>
  <c r="Y21" i="5"/>
  <c r="A21" i="11"/>
  <c r="G21" i="11"/>
  <c r="M21" i="11"/>
  <c r="R21" i="11"/>
  <c r="X21" i="11"/>
  <c r="D10" i="12"/>
  <c r="B7" i="12"/>
  <c r="A21" i="5"/>
  <c r="M21" i="5"/>
  <c r="S21" i="5"/>
  <c r="A2" i="12"/>
  <c r="A9" i="12"/>
  <c r="F10" i="12"/>
  <c r="B21" i="5"/>
  <c r="H21" i="5"/>
  <c r="N21" i="5"/>
  <c r="T21" i="5"/>
  <c r="Z21" i="5"/>
  <c r="B21" i="11"/>
  <c r="H21" i="11"/>
  <c r="N21" i="11"/>
  <c r="S21" i="11"/>
  <c r="A6" i="10"/>
  <c r="A8" i="11"/>
  <c r="A8" i="10"/>
  <c r="P1" i="11"/>
  <c r="I1" i="10"/>
  <c r="A1" i="11"/>
  <c r="B1" i="10"/>
  <c r="B2" i="11"/>
  <c r="B2" i="10"/>
  <c r="I22" i="11"/>
  <c r="H22" i="11"/>
  <c r="G22" i="11"/>
  <c r="F22" i="11"/>
  <c r="W22" i="11"/>
  <c r="L22" i="11"/>
  <c r="E22" i="11"/>
  <c r="Y22" i="11"/>
  <c r="X22" i="11"/>
  <c r="T22" i="11"/>
  <c r="S22" i="11"/>
  <c r="R22" i="11"/>
  <c r="Q22" i="11"/>
  <c r="P22" i="11"/>
  <c r="O22" i="11"/>
  <c r="N22" i="11"/>
  <c r="M22" i="11"/>
  <c r="K22" i="11"/>
  <c r="J22" i="11"/>
  <c r="D22" i="11"/>
  <c r="V22" i="11"/>
  <c r="G22" i="5"/>
  <c r="F22" i="5"/>
  <c r="A18" i="10"/>
  <c r="D18" i="10"/>
  <c r="E18" i="10"/>
  <c r="N5" i="8"/>
  <c r="N4" i="8"/>
  <c r="N3" i="8"/>
  <c r="D22" i="5"/>
  <c r="C22" i="5"/>
  <c r="F18" i="10"/>
  <c r="A22" i="5"/>
  <c r="Z22" i="5"/>
  <c r="W22" i="5"/>
  <c r="T22" i="5"/>
  <c r="P22" i="5"/>
  <c r="M22" i="5"/>
  <c r="H22" i="5"/>
  <c r="K22" i="5"/>
  <c r="J22" i="5"/>
  <c r="E22" i="5"/>
  <c r="U22" i="5"/>
  <c r="L22" i="5"/>
  <c r="U22" i="11"/>
  <c r="C22" i="11"/>
  <c r="R22" i="5"/>
  <c r="Y22" i="5"/>
  <c r="X22" i="5"/>
  <c r="V22" i="5"/>
  <c r="S22" i="5"/>
  <c r="Q22" i="5"/>
  <c r="O22" i="5"/>
  <c r="N22" i="5"/>
  <c r="I22" i="5"/>
  <c r="J8" i="5" l="1"/>
  <c r="G13" i="5"/>
  <c r="H8" i="11" s="1"/>
  <c r="H1" i="10"/>
  <c r="F16" i="5"/>
  <c r="F11" i="11" s="1"/>
  <c r="F12" i="5"/>
  <c r="F7" i="11" s="1"/>
  <c r="G15" i="5"/>
  <c r="H10" i="11" s="1"/>
  <c r="G11" i="5"/>
  <c r="H6" i="11" s="1"/>
  <c r="F14" i="5"/>
  <c r="F9" i="11" s="1"/>
  <c r="G12" i="5"/>
  <c r="H7" i="11" s="1"/>
  <c r="F13" i="5"/>
  <c r="F8" i="11" s="1"/>
  <c r="F11" i="5"/>
  <c r="F6" i="11" s="1"/>
  <c r="A4" i="10"/>
  <c r="F15" i="5"/>
  <c r="F10" i="11" s="1"/>
</calcChain>
</file>

<file path=xl/sharedStrings.xml><?xml version="1.0" encoding="utf-8"?>
<sst xmlns="http://schemas.openxmlformats.org/spreadsheetml/2006/main" count="2389" uniqueCount="1425">
  <si>
    <t>Identification</t>
  </si>
  <si>
    <t>Home port</t>
  </si>
  <si>
    <t>OwnerID</t>
  </si>
  <si>
    <t>OperatorID</t>
  </si>
  <si>
    <t>Name</t>
  </si>
  <si>
    <t>City</t>
  </si>
  <si>
    <t>Country</t>
  </si>
  <si>
    <t>Phone</t>
  </si>
  <si>
    <t>Email</t>
  </si>
  <si>
    <t>Address</t>
  </si>
  <si>
    <t>Current Name (Latin)</t>
  </si>
  <si>
    <t>Previous Name (Latin)</t>
  </si>
  <si>
    <t>Tonnage</t>
  </si>
  <si>
    <t>Header</t>
  </si>
  <si>
    <t>Year Built</t>
  </si>
  <si>
    <t xml:space="preserve">Characteristics </t>
  </si>
  <si>
    <t>VMS 
installed</t>
  </si>
  <si>
    <t>VmsComSystem</t>
  </si>
  <si>
    <t>NO-VMS</t>
  </si>
  <si>
    <t>NO VMS system</t>
  </si>
  <si>
    <t>VMS-GEN</t>
  </si>
  <si>
    <t>ARGOS</t>
  </si>
  <si>
    <t>Argos</t>
  </si>
  <si>
    <t>INMSAT</t>
  </si>
  <si>
    <t>Inmarsat</t>
  </si>
  <si>
    <t>INMSAT-C</t>
  </si>
  <si>
    <t>Inmarsat-C</t>
  </si>
  <si>
    <t>INMSAT-D</t>
  </si>
  <si>
    <t>Inmarsat-D/D+</t>
  </si>
  <si>
    <t>IRIDIUM</t>
  </si>
  <si>
    <t>Iridium</t>
  </si>
  <si>
    <t>ORBCOM</t>
  </si>
  <si>
    <t>Orbcomm</t>
  </si>
  <si>
    <t>QUALCOM</t>
  </si>
  <si>
    <t>Qualcomm</t>
  </si>
  <si>
    <t>IsscfvName</t>
  </si>
  <si>
    <t>IsscfvGroup</t>
  </si>
  <si>
    <t>UN</t>
  </si>
  <si>
    <t>UNKNOWN</t>
  </si>
  <si>
    <t>TO</t>
  </si>
  <si>
    <t>TRAWLER</t>
  </si>
  <si>
    <t>SP</t>
  </si>
  <si>
    <t>Purse seiner</t>
  </si>
  <si>
    <t>SEINER</t>
  </si>
  <si>
    <t>SOX</t>
  </si>
  <si>
    <t>Seiner nei</t>
  </si>
  <si>
    <t>DO</t>
  </si>
  <si>
    <t>DREDGER</t>
  </si>
  <si>
    <t>GO</t>
  </si>
  <si>
    <t>GILLNETTER</t>
  </si>
  <si>
    <t>WO</t>
  </si>
  <si>
    <t>TRAP SETTER</t>
  </si>
  <si>
    <t>LH</t>
  </si>
  <si>
    <t>Handliner</t>
  </si>
  <si>
    <t>LINER</t>
  </si>
  <si>
    <t>LL</t>
  </si>
  <si>
    <t>Longliner</t>
  </si>
  <si>
    <t>LP</t>
  </si>
  <si>
    <t>Pole and liners</t>
  </si>
  <si>
    <t>LT</t>
  </si>
  <si>
    <t>Troller</t>
  </si>
  <si>
    <t>MO</t>
  </si>
  <si>
    <t>MULTIPURPOSE</t>
  </si>
  <si>
    <t>RO</t>
  </si>
  <si>
    <t>RECREATIONAL</t>
  </si>
  <si>
    <t>HO</t>
  </si>
  <si>
    <t>MOTHERSHIP</t>
  </si>
  <si>
    <t>FO</t>
  </si>
  <si>
    <t>CARRIER</t>
  </si>
  <si>
    <t>FX</t>
  </si>
  <si>
    <t>Fishing Vessel nei</t>
  </si>
  <si>
    <t>NOT SPECIFIED (FV)</t>
  </si>
  <si>
    <t>TW</t>
  </si>
  <si>
    <t>TOWING VESSEL</t>
  </si>
  <si>
    <t>AU</t>
  </si>
  <si>
    <t>AUXILIARY VESSEL</t>
  </si>
  <si>
    <t>SV</t>
  </si>
  <si>
    <t>SUPPORT VESSEL</t>
  </si>
  <si>
    <t>VOX</t>
  </si>
  <si>
    <t>NON-FISHING VESSEL nei</t>
  </si>
  <si>
    <t>IsscfgName</t>
  </si>
  <si>
    <t>PS</t>
  </si>
  <si>
    <t>SURROUNDING NET</t>
  </si>
  <si>
    <t xml:space="preserve">With purse lines (purse seines) </t>
  </si>
  <si>
    <t xml:space="preserve">SB </t>
  </si>
  <si>
    <t>SEINE NET</t>
  </si>
  <si>
    <t>Beach seines</t>
  </si>
  <si>
    <t>TB</t>
  </si>
  <si>
    <t>TRAWL NET</t>
  </si>
  <si>
    <t>Bottom trawls</t>
  </si>
  <si>
    <t>DRB</t>
  </si>
  <si>
    <t>DREDGE</t>
  </si>
  <si>
    <t xml:space="preserve">Boat dredges </t>
  </si>
  <si>
    <t>LIFT NET</t>
  </si>
  <si>
    <t xml:space="preserve">Portable hand lift nets </t>
  </si>
  <si>
    <t>FALLING GEAR</t>
  </si>
  <si>
    <t>Cast nets</t>
  </si>
  <si>
    <t>GNS</t>
  </si>
  <si>
    <t>GILLNET AND ENTANGLING NET</t>
  </si>
  <si>
    <t>Set Gillnets</t>
  </si>
  <si>
    <t>FPN</t>
  </si>
  <si>
    <t>TRAP</t>
  </si>
  <si>
    <t>Stationary uncovered pound nets</t>
  </si>
  <si>
    <t>HOOKS AND LINES (longlines)</t>
  </si>
  <si>
    <t>Longlines (not specified)</t>
  </si>
  <si>
    <t>LTL</t>
  </si>
  <si>
    <t>HOOKS AND LINES (trolling)</t>
  </si>
  <si>
    <t>Trolling lines</t>
  </si>
  <si>
    <t>LX</t>
  </si>
  <si>
    <t>HOOKS AND LINES</t>
  </si>
  <si>
    <t>Hooks and lines</t>
  </si>
  <si>
    <t>HAR</t>
  </si>
  <si>
    <t>Harpoons</t>
  </si>
  <si>
    <t>HMX</t>
  </si>
  <si>
    <t>HARVESTING MACHINE</t>
  </si>
  <si>
    <t>Harvesting machines</t>
  </si>
  <si>
    <t>MIS</t>
  </si>
  <si>
    <t>MISCELLANEUS GEAR</t>
  </si>
  <si>
    <t>RG</t>
  </si>
  <si>
    <t>RECREATIONAL FISHING GEAR</t>
  </si>
  <si>
    <t>Recreational fishing gear</t>
  </si>
  <si>
    <t>NAP</t>
  </si>
  <si>
    <t>NOT APPLICABLE</t>
  </si>
  <si>
    <t>NK</t>
  </si>
  <si>
    <t>GEAR NOT KNOWN</t>
  </si>
  <si>
    <t>Gear not know or not specified</t>
  </si>
  <si>
    <t>CarCapUnitDescrip</t>
  </si>
  <si>
    <t>cf</t>
  </si>
  <si>
    <t>Carrying capacity in cubic feets (f3) - dead weight volume</t>
  </si>
  <si>
    <t>m3</t>
  </si>
  <si>
    <t>Carrying capacity in cubic meters (m3) - dead weight volume</t>
  </si>
  <si>
    <t>FlagName</t>
  </si>
  <si>
    <t>FlagA2ISO</t>
  </si>
  <si>
    <t>USA</t>
  </si>
  <si>
    <t>US</t>
  </si>
  <si>
    <t>JPN</t>
  </si>
  <si>
    <t>Japan</t>
  </si>
  <si>
    <t>JP</t>
  </si>
  <si>
    <t>ZAF</t>
  </si>
  <si>
    <t>South Africa</t>
  </si>
  <si>
    <t>ZA</t>
  </si>
  <si>
    <t>GHA</t>
  </si>
  <si>
    <t>Ghana</t>
  </si>
  <si>
    <t>GH</t>
  </si>
  <si>
    <t>CAN</t>
  </si>
  <si>
    <t>Canada</t>
  </si>
  <si>
    <t>CA</t>
  </si>
  <si>
    <t>PM</t>
  </si>
  <si>
    <t>BRA</t>
  </si>
  <si>
    <t>Brazil</t>
  </si>
  <si>
    <t>BR</t>
  </si>
  <si>
    <t>MAR</t>
  </si>
  <si>
    <t>Maroc</t>
  </si>
  <si>
    <t>MA</t>
  </si>
  <si>
    <t>KOR</t>
  </si>
  <si>
    <t>KR</t>
  </si>
  <si>
    <t>CIV</t>
  </si>
  <si>
    <t>CI</t>
  </si>
  <si>
    <t>AGO</t>
  </si>
  <si>
    <t>Angola</t>
  </si>
  <si>
    <t>AO</t>
  </si>
  <si>
    <t>RUS</t>
  </si>
  <si>
    <t>Russian Federation</t>
  </si>
  <si>
    <t>RU</t>
  </si>
  <si>
    <t>GAB</t>
  </si>
  <si>
    <t>Gabon</t>
  </si>
  <si>
    <t>GA</t>
  </si>
  <si>
    <t>CPV</t>
  </si>
  <si>
    <t>Cape Verde</t>
  </si>
  <si>
    <t>CV</t>
  </si>
  <si>
    <t>URY</t>
  </si>
  <si>
    <t>Uruguay</t>
  </si>
  <si>
    <t>UY</t>
  </si>
  <si>
    <t>STP</t>
  </si>
  <si>
    <t>ST</t>
  </si>
  <si>
    <t>VEN</t>
  </si>
  <si>
    <t>Venezuela</t>
  </si>
  <si>
    <t>VE</t>
  </si>
  <si>
    <t>GNQ</t>
  </si>
  <si>
    <t>Guinea Ecuatorial</t>
  </si>
  <si>
    <t>GQ</t>
  </si>
  <si>
    <t>GIN</t>
  </si>
  <si>
    <t>GN</t>
  </si>
  <si>
    <t>SH</t>
  </si>
  <si>
    <t>BM</t>
  </si>
  <si>
    <t>TC</t>
  </si>
  <si>
    <t>VG</t>
  </si>
  <si>
    <t>LBY</t>
  </si>
  <si>
    <t>Libya</t>
  </si>
  <si>
    <t>LY</t>
  </si>
  <si>
    <t>CHN</t>
  </si>
  <si>
    <t>CN</t>
  </si>
  <si>
    <t>HR</t>
  </si>
  <si>
    <t>DK</t>
  </si>
  <si>
    <t>FR</t>
  </si>
  <si>
    <t>DE</t>
  </si>
  <si>
    <t>GR</t>
  </si>
  <si>
    <t>IT</t>
  </si>
  <si>
    <t>MT</t>
  </si>
  <si>
    <t>PL</t>
  </si>
  <si>
    <t>PT</t>
  </si>
  <si>
    <t>ES</t>
  </si>
  <si>
    <t>SE</t>
  </si>
  <si>
    <t>BG</t>
  </si>
  <si>
    <t>CY</t>
  </si>
  <si>
    <t>IE</t>
  </si>
  <si>
    <t>NL</t>
  </si>
  <si>
    <t>GB</t>
  </si>
  <si>
    <t>EE</t>
  </si>
  <si>
    <t>LV</t>
  </si>
  <si>
    <t>BE</t>
  </si>
  <si>
    <t>SI</t>
  </si>
  <si>
    <t>HU</t>
  </si>
  <si>
    <t>TUN</t>
  </si>
  <si>
    <t>Tunisie</t>
  </si>
  <si>
    <t>TN</t>
  </si>
  <si>
    <t>PAN</t>
  </si>
  <si>
    <t>Panama</t>
  </si>
  <si>
    <t>PA</t>
  </si>
  <si>
    <t>TTO</t>
  </si>
  <si>
    <t>Trinidad and Tobago</t>
  </si>
  <si>
    <t>TT</t>
  </si>
  <si>
    <t>NAM</t>
  </si>
  <si>
    <t>Namibia</t>
  </si>
  <si>
    <t>NA</t>
  </si>
  <si>
    <t>BRB</t>
  </si>
  <si>
    <t>Barbados</t>
  </si>
  <si>
    <t>BB</t>
  </si>
  <si>
    <t>HND</t>
  </si>
  <si>
    <t>Honduras</t>
  </si>
  <si>
    <t>HN</t>
  </si>
  <si>
    <t>DZA</t>
  </si>
  <si>
    <t>Algerie</t>
  </si>
  <si>
    <t>DZ</t>
  </si>
  <si>
    <t>MEX</t>
  </si>
  <si>
    <t>Mexico</t>
  </si>
  <si>
    <t>MX</t>
  </si>
  <si>
    <t>VUT</t>
  </si>
  <si>
    <t>Vanuatu</t>
  </si>
  <si>
    <t>VU</t>
  </si>
  <si>
    <t>ISL</t>
  </si>
  <si>
    <t>Iceland</t>
  </si>
  <si>
    <t>IS</t>
  </si>
  <si>
    <t>TUR</t>
  </si>
  <si>
    <t>TR</t>
  </si>
  <si>
    <t>PHL</t>
  </si>
  <si>
    <t>Philippines</t>
  </si>
  <si>
    <t>PH</t>
  </si>
  <si>
    <t>NOR</t>
  </si>
  <si>
    <t>Norway</t>
  </si>
  <si>
    <t>NO</t>
  </si>
  <si>
    <t>NIC</t>
  </si>
  <si>
    <t>Nicaragua</t>
  </si>
  <si>
    <t>NI</t>
  </si>
  <si>
    <t>GTM</t>
  </si>
  <si>
    <t>Guatemala</t>
  </si>
  <si>
    <t>GT</t>
  </si>
  <si>
    <t>SEN</t>
  </si>
  <si>
    <t>Senegal</t>
  </si>
  <si>
    <t>SN</t>
  </si>
  <si>
    <t>BLZ</t>
  </si>
  <si>
    <t>Belize</t>
  </si>
  <si>
    <t>BZ</t>
  </si>
  <si>
    <t>SYR</t>
  </si>
  <si>
    <t>SY</t>
  </si>
  <si>
    <t>VCT</t>
  </si>
  <si>
    <t>VC</t>
  </si>
  <si>
    <t>EGY</t>
  </si>
  <si>
    <t>Egypt</t>
  </si>
  <si>
    <t>EG</t>
  </si>
  <si>
    <t>ALB</t>
  </si>
  <si>
    <t>Albania</t>
  </si>
  <si>
    <t>AL</t>
  </si>
  <si>
    <t>SLE</t>
  </si>
  <si>
    <t>Sierra Leone</t>
  </si>
  <si>
    <t>SL</t>
  </si>
  <si>
    <t>TAI</t>
  </si>
  <si>
    <t>Chinese Taipei</t>
  </si>
  <si>
    <t>GUY</t>
  </si>
  <si>
    <t>Guyana</t>
  </si>
  <si>
    <t>GY</t>
  </si>
  <si>
    <t>Curaçao</t>
  </si>
  <si>
    <t>KNA</t>
  </si>
  <si>
    <t>Saint Kitts and Nevis</t>
  </si>
  <si>
    <t>KN</t>
  </si>
  <si>
    <t>ARG</t>
  </si>
  <si>
    <t>Argentina</t>
  </si>
  <si>
    <t>AR</t>
  </si>
  <si>
    <t>CUB</t>
  </si>
  <si>
    <t>Cuba</t>
  </si>
  <si>
    <t>CU</t>
  </si>
  <si>
    <t>GRD</t>
  </si>
  <si>
    <t>Grenada</t>
  </si>
  <si>
    <t>GD</t>
  </si>
  <si>
    <t>DOM</t>
  </si>
  <si>
    <t>Dominican Republic</t>
  </si>
  <si>
    <t>ISR</t>
  </si>
  <si>
    <t>Israel</t>
  </si>
  <si>
    <t>IL</t>
  </si>
  <si>
    <t>LBN</t>
  </si>
  <si>
    <t>Lebanon</t>
  </si>
  <si>
    <t>LB</t>
  </si>
  <si>
    <t>VIR</t>
  </si>
  <si>
    <t>US Virgin Islands</t>
  </si>
  <si>
    <t>VI</t>
  </si>
  <si>
    <t>LBR</t>
  </si>
  <si>
    <t>Liberia</t>
  </si>
  <si>
    <t>LR</t>
  </si>
  <si>
    <t>PRI</t>
  </si>
  <si>
    <t>Puerto Rico</t>
  </si>
  <si>
    <t>PR</t>
  </si>
  <si>
    <t>COL</t>
  </si>
  <si>
    <t>Colombia</t>
  </si>
  <si>
    <t>CO</t>
  </si>
  <si>
    <t>BEN</t>
  </si>
  <si>
    <t>Benin</t>
  </si>
  <si>
    <t>BJ</t>
  </si>
  <si>
    <t>COG</t>
  </si>
  <si>
    <t>Congo</t>
  </si>
  <si>
    <t>CG</t>
  </si>
  <si>
    <t>TGO</t>
  </si>
  <si>
    <t>Togo</t>
  </si>
  <si>
    <t>TG</t>
  </si>
  <si>
    <t>CYM</t>
  </si>
  <si>
    <t>Cayman Islands</t>
  </si>
  <si>
    <t>KY</t>
  </si>
  <si>
    <t>LCA</t>
  </si>
  <si>
    <t>LC</t>
  </si>
  <si>
    <t>MRT</t>
  </si>
  <si>
    <t>Mauritania</t>
  </si>
  <si>
    <t>MR</t>
  </si>
  <si>
    <t>CMR</t>
  </si>
  <si>
    <t>Cameroon</t>
  </si>
  <si>
    <t>CM</t>
  </si>
  <si>
    <t>NGA</t>
  </si>
  <si>
    <t>Nigeria</t>
  </si>
  <si>
    <t>NG</t>
  </si>
  <si>
    <t>ABW</t>
  </si>
  <si>
    <t>Aruba</t>
  </si>
  <si>
    <t>AW</t>
  </si>
  <si>
    <t>GNB</t>
  </si>
  <si>
    <t>Guinea Bissau</t>
  </si>
  <si>
    <t>GW</t>
  </si>
  <si>
    <t>UKR</t>
  </si>
  <si>
    <t>Ukraine</t>
  </si>
  <si>
    <t>UA</t>
  </si>
  <si>
    <t>ATG</t>
  </si>
  <si>
    <t>Antigua and Barbuda</t>
  </si>
  <si>
    <t>AG</t>
  </si>
  <si>
    <t>JAM</t>
  </si>
  <si>
    <t>Jamaica</t>
  </si>
  <si>
    <t>JM</t>
  </si>
  <si>
    <t>DMA</t>
  </si>
  <si>
    <t>Dominica</t>
  </si>
  <si>
    <t>DM</t>
  </si>
  <si>
    <t>CRI</t>
  </si>
  <si>
    <t>Costa Rica</t>
  </si>
  <si>
    <t>CR</t>
  </si>
  <si>
    <t>GEO</t>
  </si>
  <si>
    <t>Georgia</t>
  </si>
  <si>
    <t>GE</t>
  </si>
  <si>
    <t>GMB</t>
  </si>
  <si>
    <t>Gambia</t>
  </si>
  <si>
    <t>GM</t>
  </si>
  <si>
    <t>BLR</t>
  </si>
  <si>
    <t>Belarus</t>
  </si>
  <si>
    <t>BY</t>
  </si>
  <si>
    <t>FRO</t>
  </si>
  <si>
    <t>Faroe Islands</t>
  </si>
  <si>
    <t>KHM</t>
  </si>
  <si>
    <t>Cambodia</t>
  </si>
  <si>
    <t>KH</t>
  </si>
  <si>
    <t>SYC</t>
  </si>
  <si>
    <t>Seychelles</t>
  </si>
  <si>
    <t>SC</t>
  </si>
  <si>
    <t>MUS</t>
  </si>
  <si>
    <t>Mauritius</t>
  </si>
  <si>
    <t>MU</t>
  </si>
  <si>
    <t>IND</t>
  </si>
  <si>
    <t>India</t>
  </si>
  <si>
    <t>IN</t>
  </si>
  <si>
    <t>IRN</t>
  </si>
  <si>
    <t>IR</t>
  </si>
  <si>
    <t>MYS</t>
  </si>
  <si>
    <t>Malaysia</t>
  </si>
  <si>
    <t>MY</t>
  </si>
  <si>
    <t>SLV</t>
  </si>
  <si>
    <t>El Salvador</t>
  </si>
  <si>
    <t>AIA</t>
  </si>
  <si>
    <t>Anguilla</t>
  </si>
  <si>
    <t>AI</t>
  </si>
  <si>
    <t>THA</t>
  </si>
  <si>
    <t>Thailand</t>
  </si>
  <si>
    <t>TH</t>
  </si>
  <si>
    <t>CHL</t>
  </si>
  <si>
    <t>Chile</t>
  </si>
  <si>
    <t>CL</t>
  </si>
  <si>
    <t>BHS</t>
  </si>
  <si>
    <t>Bahamas</t>
  </si>
  <si>
    <t>BS</t>
  </si>
  <si>
    <t>SUR</t>
  </si>
  <si>
    <t>Suriname</t>
  </si>
  <si>
    <t>SR</t>
  </si>
  <si>
    <t>ECU</t>
  </si>
  <si>
    <t>Ecuador</t>
  </si>
  <si>
    <t>EC</t>
  </si>
  <si>
    <t>AUS</t>
  </si>
  <si>
    <t>Australia</t>
  </si>
  <si>
    <t>FJI</t>
  </si>
  <si>
    <t>Fiji Islands</t>
  </si>
  <si>
    <t>FJ</t>
  </si>
  <si>
    <t>GUM</t>
  </si>
  <si>
    <t>Guam</t>
  </si>
  <si>
    <t>GU</t>
  </si>
  <si>
    <t>IDN</t>
  </si>
  <si>
    <t>Indonesia</t>
  </si>
  <si>
    <t>ID</t>
  </si>
  <si>
    <t>KIR</t>
  </si>
  <si>
    <t>Kiribati</t>
  </si>
  <si>
    <t>KI</t>
  </si>
  <si>
    <t>MDV</t>
  </si>
  <si>
    <t>Maldives</t>
  </si>
  <si>
    <t>MV</t>
  </si>
  <si>
    <t>PNG</t>
  </si>
  <si>
    <t>Papua New Guinea</t>
  </si>
  <si>
    <t>PG</t>
  </si>
  <si>
    <t>LKA</t>
  </si>
  <si>
    <t>Sri Lanka</t>
  </si>
  <si>
    <t>LK</t>
  </si>
  <si>
    <t>VNM</t>
  </si>
  <si>
    <t>VN</t>
  </si>
  <si>
    <t>SGP</t>
  </si>
  <si>
    <t>Singapore</t>
  </si>
  <si>
    <t>SG</t>
  </si>
  <si>
    <t>OMN</t>
  </si>
  <si>
    <t>Oman</t>
  </si>
  <si>
    <t>OM</t>
  </si>
  <si>
    <t>NZL</t>
  </si>
  <si>
    <t>New Zealand</t>
  </si>
  <si>
    <t>NZ</t>
  </si>
  <si>
    <t>FSM</t>
  </si>
  <si>
    <t>Micronesia</t>
  </si>
  <si>
    <t>FM</t>
  </si>
  <si>
    <t>COK</t>
  </si>
  <si>
    <t>Cook Islands</t>
  </si>
  <si>
    <t>CK</t>
  </si>
  <si>
    <t>BOL</t>
  </si>
  <si>
    <t>Bolivia</t>
  </si>
  <si>
    <t>BO</t>
  </si>
  <si>
    <t>PLW</t>
  </si>
  <si>
    <t>Palau</t>
  </si>
  <si>
    <t>PW</t>
  </si>
  <si>
    <t>TON</t>
  </si>
  <si>
    <t>Tonga</t>
  </si>
  <si>
    <t>KEN</t>
  </si>
  <si>
    <t>Kenya</t>
  </si>
  <si>
    <t>KE</t>
  </si>
  <si>
    <t>PYF</t>
  </si>
  <si>
    <t>Polynesie Française</t>
  </si>
  <si>
    <t>PF</t>
  </si>
  <si>
    <t>PER</t>
  </si>
  <si>
    <t>PE</t>
  </si>
  <si>
    <t>CHE</t>
  </si>
  <si>
    <t>Switzerland</t>
  </si>
  <si>
    <t>CH</t>
  </si>
  <si>
    <t>TZA</t>
  </si>
  <si>
    <t>Tanzania</t>
  </si>
  <si>
    <t>TZ</t>
  </si>
  <si>
    <t>ARE</t>
  </si>
  <si>
    <t>United Arab Emirates</t>
  </si>
  <si>
    <t>AE</t>
  </si>
  <si>
    <t>HTI</t>
  </si>
  <si>
    <t>Haiti</t>
  </si>
  <si>
    <t>HT</t>
  </si>
  <si>
    <t>MDG</t>
  </si>
  <si>
    <t>Madagascar</t>
  </si>
  <si>
    <t>MG</t>
  </si>
  <si>
    <t>MOZ</t>
  </si>
  <si>
    <t>Mozambique</t>
  </si>
  <si>
    <t>MZ</t>
  </si>
  <si>
    <t>SLB</t>
  </si>
  <si>
    <t>Solomon Islands</t>
  </si>
  <si>
    <t>SB</t>
  </si>
  <si>
    <t>KWT</t>
  </si>
  <si>
    <t>Kuwait</t>
  </si>
  <si>
    <t>KW</t>
  </si>
  <si>
    <t>MHL</t>
  </si>
  <si>
    <t>Marshall Islands</t>
  </si>
  <si>
    <t>MH</t>
  </si>
  <si>
    <t>Shipyard 
Flag</t>
  </si>
  <si>
    <t>Nombre actual (Latín)</t>
  </si>
  <si>
    <t>Nombre anterior (Latín)</t>
  </si>
  <si>
    <t>Tonelaje</t>
  </si>
  <si>
    <t>Puerto base</t>
  </si>
  <si>
    <t>Port d'attache</t>
  </si>
  <si>
    <t>Section</t>
  </si>
  <si>
    <t>Detail</t>
  </si>
  <si>
    <t>Title</t>
  </si>
  <si>
    <t>Reporting Flag</t>
  </si>
  <si>
    <t>Reporting Agency</t>
  </si>
  <si>
    <t>Caractéristiques</t>
  </si>
  <si>
    <t>Características</t>
  </si>
  <si>
    <t>Identificación</t>
  </si>
  <si>
    <t>FieldID</t>
  </si>
  <si>
    <t>H01</t>
  </si>
  <si>
    <t>IRCS</t>
  </si>
  <si>
    <t>IsscfvID</t>
  </si>
  <si>
    <t>IsscfgID</t>
  </si>
  <si>
    <t>LengthM</t>
  </si>
  <si>
    <t>CarCapacity</t>
  </si>
  <si>
    <t>HomePort</t>
  </si>
  <si>
    <t>ICCATSerialNo</t>
  </si>
  <si>
    <t>VesselNameCur</t>
  </si>
  <si>
    <t>DepthM</t>
  </si>
  <si>
    <t>Zip code</t>
  </si>
  <si>
    <t>Nom</t>
  </si>
  <si>
    <t>Nombre</t>
  </si>
  <si>
    <t>Adresse</t>
  </si>
  <si>
    <t>Dirección</t>
  </si>
  <si>
    <t>Ville</t>
  </si>
  <si>
    <t>Ciudad</t>
  </si>
  <si>
    <t>Code postal</t>
  </si>
  <si>
    <t>Pays</t>
  </si>
  <si>
    <t>País</t>
  </si>
  <si>
    <t>T01</t>
  </si>
  <si>
    <t>Código postal</t>
  </si>
  <si>
    <t>Téléphone</t>
  </si>
  <si>
    <t>Teléfono</t>
  </si>
  <si>
    <t>LenType</t>
  </si>
  <si>
    <t>TonType</t>
  </si>
  <si>
    <t>NatRegNo</t>
  </si>
  <si>
    <t>VesselNamePrv</t>
  </si>
  <si>
    <t>Status</t>
  </si>
  <si>
    <t>CP</t>
  </si>
  <si>
    <t>NCC</t>
  </si>
  <si>
    <t>NCO</t>
  </si>
  <si>
    <t>China PR</t>
  </si>
  <si>
    <t>Iran</t>
  </si>
  <si>
    <t>Mandatory information</t>
  </si>
  <si>
    <t>Secretariat use only</t>
  </si>
  <si>
    <t>Nom actuel (Latin)</t>
  </si>
  <si>
    <t>Agencia que informa</t>
  </si>
  <si>
    <t>Version</t>
  </si>
  <si>
    <t>Information obligatoire</t>
  </si>
  <si>
    <t>Información obligatoria</t>
  </si>
  <si>
    <t>Información opcional</t>
  </si>
  <si>
    <t>Divers</t>
  </si>
  <si>
    <t>Diversos</t>
  </si>
  <si>
    <t>Various</t>
  </si>
  <si>
    <t>Pavillon du 
chantier naval</t>
  </si>
  <si>
    <t>Pabellón del 
astillero</t>
  </si>
  <si>
    <t>Tirant d'eau 
(m)</t>
  </si>
  <si>
    <t>Depth 
(m)</t>
  </si>
  <si>
    <t>Calado 
(m)</t>
  </si>
  <si>
    <t>VMS 
installé</t>
  </si>
  <si>
    <t>VMS 
instalado</t>
  </si>
  <si>
    <t>Mandatory information (vessels)</t>
  </si>
  <si>
    <t>Information obligatoire (navires)</t>
  </si>
  <si>
    <t>Información obligatoria (buques)</t>
  </si>
  <si>
    <t>información opcional (buques)</t>
  </si>
  <si>
    <t>Nom précédent (Latin)</t>
  </si>
  <si>
    <t>Optional information</t>
  </si>
  <si>
    <t>Optional information (vessels)</t>
  </si>
  <si>
    <t>Notes</t>
  </si>
  <si>
    <t>Remarques</t>
  </si>
  <si>
    <t>Notas</t>
  </si>
  <si>
    <t>OwOpName</t>
  </si>
  <si>
    <t>OwOpCity</t>
  </si>
  <si>
    <t>OwOpTel</t>
  </si>
  <si>
    <t>OwOpEmail</t>
  </si>
  <si>
    <t>OwOpEntityID</t>
  </si>
  <si>
    <t>Owner/Operator
Entity ID</t>
  </si>
  <si>
    <t>Propriétaire/Opérateur
Entité ID</t>
  </si>
  <si>
    <t>Armador/Operador
Entidad ID</t>
  </si>
  <si>
    <t>LenTypeEN</t>
  </si>
  <si>
    <t>LOA</t>
  </si>
  <si>
    <t>Length overall</t>
  </si>
  <si>
    <t>OTH</t>
  </si>
  <si>
    <t>TonTypeEN</t>
  </si>
  <si>
    <t>GRT</t>
  </si>
  <si>
    <t>Gross registered tonnage (m3)</t>
  </si>
  <si>
    <t>Gross tonnage (m3)</t>
  </si>
  <si>
    <t>(specify in notes)</t>
  </si>
  <si>
    <t>For Carrier vessels</t>
  </si>
  <si>
    <t>Pour Navires de charge</t>
  </si>
  <si>
    <t>Para Buques de transporte</t>
  </si>
  <si>
    <t>FisheryType</t>
  </si>
  <si>
    <t>FishingArea</t>
  </si>
  <si>
    <t>FisheryTypeName</t>
  </si>
  <si>
    <t>A</t>
  </si>
  <si>
    <t>C</t>
  </si>
  <si>
    <t>Commercial</t>
  </si>
  <si>
    <t>R</t>
  </si>
  <si>
    <t>Recreational</t>
  </si>
  <si>
    <t>FishingAreaName</t>
  </si>
  <si>
    <t>ADRI</t>
  </si>
  <si>
    <t>Adriatic sea only</t>
  </si>
  <si>
    <t>MDOT</t>
  </si>
  <si>
    <t>BFTE</t>
  </si>
  <si>
    <t>Carrier vessels</t>
  </si>
  <si>
    <t>Navires de charge</t>
  </si>
  <si>
    <t>Buques de transporte</t>
  </si>
  <si>
    <t>TROP vessels</t>
  </si>
  <si>
    <t>Navires TROP</t>
  </si>
  <si>
    <t>Buques TROP</t>
  </si>
  <si>
    <t>SWO-MED vessels</t>
  </si>
  <si>
    <t>Navires SWO-MED</t>
  </si>
  <si>
    <t>Buques SWO-MED</t>
  </si>
  <si>
    <t>Fishery 
type</t>
  </si>
  <si>
    <t>Type de 
pêche</t>
  </si>
  <si>
    <t xml:space="preserve">Tipo de 
pesca </t>
  </si>
  <si>
    <t>Action requested</t>
  </si>
  <si>
    <t>Acción solicitada</t>
  </si>
  <si>
    <t>ExternalMark</t>
  </si>
  <si>
    <t>External mark</t>
  </si>
  <si>
    <t>Marque externe</t>
  </si>
  <si>
    <t>Marca exterior</t>
  </si>
  <si>
    <t>Vietnam</t>
  </si>
  <si>
    <t>Pavillon déclarant</t>
  </si>
  <si>
    <t>Agence déclarante</t>
  </si>
  <si>
    <t>Action sollicitée</t>
  </si>
  <si>
    <t>Pabellón que informa</t>
  </si>
  <si>
    <t>information facultative (navires)</t>
  </si>
  <si>
    <t>Unidad de Cap. carga</t>
  </si>
  <si>
    <t>Information facultative</t>
  </si>
  <si>
    <t>AA</t>
  </si>
  <si>
    <t>AM</t>
  </si>
  <si>
    <t>AT-E</t>
  </si>
  <si>
    <t>All Eastern BFT stock (ATE+MED)</t>
  </si>
  <si>
    <t>Mediterranean other (excluding Adriatic)</t>
  </si>
  <si>
    <t>Artisanal fishery (Atlantic)</t>
  </si>
  <si>
    <t>Artisanal fishery (Mediterranean)</t>
  </si>
  <si>
    <t>Artisanal fishery</t>
  </si>
  <si>
    <t>CUW</t>
  </si>
  <si>
    <t>CW</t>
  </si>
  <si>
    <t>FLK</t>
  </si>
  <si>
    <t>Falklands</t>
  </si>
  <si>
    <t>FK</t>
  </si>
  <si>
    <t>Unknown (no info)</t>
  </si>
  <si>
    <t>Atlantic east (excluding MEDI)</t>
  </si>
  <si>
    <t>VMS (unspecified type)</t>
  </si>
  <si>
    <t>IntRegNo</t>
  </si>
  <si>
    <t>IRNoType</t>
  </si>
  <si>
    <t>Syria</t>
  </si>
  <si>
    <t>SVB</t>
  </si>
  <si>
    <t>SUPPORT VESSEL (BB/PS)</t>
  </si>
  <si>
    <t>MNE</t>
  </si>
  <si>
    <t>Montenegro</t>
  </si>
  <si>
    <t>ME</t>
  </si>
  <si>
    <t>PSE</t>
  </si>
  <si>
    <t>Palestine</t>
  </si>
  <si>
    <t>Perú</t>
  </si>
  <si>
    <t>WSM</t>
  </si>
  <si>
    <t>Samoa</t>
  </si>
  <si>
    <t>WS</t>
  </si>
  <si>
    <t>SRB</t>
  </si>
  <si>
    <t>Serbia</t>
  </si>
  <si>
    <t>RS</t>
  </si>
  <si>
    <t>TUV</t>
  </si>
  <si>
    <t>Tuvalu</t>
  </si>
  <si>
    <t>TV</t>
  </si>
  <si>
    <t>Remarks</t>
  </si>
  <si>
    <t>IMO</t>
  </si>
  <si>
    <t>IMO number</t>
  </si>
  <si>
    <t>LRN</t>
  </si>
  <si>
    <t>WOD</t>
  </si>
  <si>
    <t>LRN number (IHS-fairplay)</t>
  </si>
  <si>
    <t>International Maritime Organization number [7 digits] system</t>
  </si>
  <si>
    <t>IHS-farplay LR numbering [7 digits] system (former Loyds Registry, etc.)</t>
  </si>
  <si>
    <t>ActionID</t>
  </si>
  <si>
    <t>ActionEN</t>
  </si>
  <si>
    <t>ActionFR</t>
  </si>
  <si>
    <t>ActionES</t>
  </si>
  <si>
    <t>ActionTrans</t>
  </si>
  <si>
    <t>Add new vessels</t>
  </si>
  <si>
    <t>Ajouter de nouveaux navires</t>
  </si>
  <si>
    <t>Añadir nuevos buques</t>
  </si>
  <si>
    <t>Changes to some vessels</t>
  </si>
  <si>
    <t>Changements concernant certains navires</t>
  </si>
  <si>
    <t>Cambios a algunos buques</t>
  </si>
  <si>
    <t>RModeCode</t>
  </si>
  <si>
    <t>RenewMode</t>
  </si>
  <si>
    <t>Explicit / Explicite / Explícita</t>
  </si>
  <si>
    <t>Automatic / Automatique / Automática</t>
  </si>
  <si>
    <t>Only with an explicit form submission. Waiting for CPC report</t>
  </si>
  <si>
    <t>Automatic (system) renewal 1 day after starting the year/fishning season</t>
  </si>
  <si>
    <t>BND</t>
  </si>
  <si>
    <t>Brunei</t>
  </si>
  <si>
    <t>BN</t>
  </si>
  <si>
    <t>Description</t>
  </si>
  <si>
    <t>IsscfgGroup</t>
  </si>
  <si>
    <t>TM</t>
  </si>
  <si>
    <t xml:space="preserve">Midwater trawls </t>
  </si>
  <si>
    <t>LNP</t>
  </si>
  <si>
    <t>FCN</t>
  </si>
  <si>
    <t>GND</t>
  </si>
  <si>
    <t>Driftnets</t>
  </si>
  <si>
    <t>LHP</t>
  </si>
  <si>
    <t>Handline and pole-lines (hand operated)</t>
  </si>
  <si>
    <t>LHM</t>
  </si>
  <si>
    <t>Handline and pole-lines (mechanized)</t>
  </si>
  <si>
    <t>LLS</t>
  </si>
  <si>
    <t>Set longlines</t>
  </si>
  <si>
    <t>LLD</t>
  </si>
  <si>
    <t>Drifting longlines</t>
  </si>
  <si>
    <t>GRAPPLING AND WOUNDLING</t>
  </si>
  <si>
    <t>Not applicable (not a fishing vessel)</t>
  </si>
  <si>
    <t>Côte d'Ivoire</t>
  </si>
  <si>
    <t>Exempt (wooden FV.)</t>
  </si>
  <si>
    <t>Wooden are exempt from IMO/LRN (unique Number "0000000")</t>
  </si>
  <si>
    <t>JUS</t>
  </si>
  <si>
    <t>Justification received</t>
  </si>
  <si>
    <t>Explicit justification per Vessel (Unique Number "0000001")</t>
  </si>
  <si>
    <t>AND</t>
  </si>
  <si>
    <t>Andorra</t>
  </si>
  <si>
    <t>AD</t>
  </si>
  <si>
    <t>NCL</t>
  </si>
  <si>
    <t>New Caledonia</t>
  </si>
  <si>
    <t>NC</t>
  </si>
  <si>
    <t>SAU</t>
  </si>
  <si>
    <t>Saudi Arabia</t>
  </si>
  <si>
    <t>SA</t>
  </si>
  <si>
    <t>ALB-MED vessels</t>
  </si>
  <si>
    <t>Positive list (LOA &gt;= 20 meters) AND associated authorisations (Lists)</t>
  </si>
  <si>
    <t>P20mDtTo</t>
  </si>
  <si>
    <t>AUTO</t>
  </si>
  <si>
    <t>EXPL</t>
  </si>
  <si>
    <t>P20mRM</t>
  </si>
  <si>
    <t>TropRM</t>
  </si>
  <si>
    <t>ALBmDtTo</t>
  </si>
  <si>
    <t>SWOmDtTo</t>
  </si>
  <si>
    <t>TropDtTo</t>
  </si>
  <si>
    <t>CarrDtTo</t>
  </si>
  <si>
    <t>SWOn</t>
  </si>
  <si>
    <t>SWOs</t>
  </si>
  <si>
    <t>ALBn</t>
  </si>
  <si>
    <t>ALBs</t>
  </si>
  <si>
    <t>Navires ALB-MED</t>
  </si>
  <si>
    <t>Buques ALB-MED</t>
  </si>
  <si>
    <t>SWO-N 
(X)</t>
  </si>
  <si>
    <t>SWO-S 
(X)</t>
  </si>
  <si>
    <t>ALB-N 
(X)</t>
  </si>
  <si>
    <t>ALB-S 
(X)</t>
  </si>
  <si>
    <t>Liste positive (LOA&gt; = 20 mètres) ET autorisations associées (Listes)</t>
  </si>
  <si>
    <t>Lista positiva (LOA&gt; = 20 metros) Y autorizaciones asociadas (Listas)</t>
  </si>
  <si>
    <t>BFEcDtTo</t>
  </si>
  <si>
    <t>BFEoDtTo</t>
  </si>
  <si>
    <t>Order</t>
  </si>
  <si>
    <t>Subform</t>
  </si>
  <si>
    <t>Item</t>
  </si>
  <si>
    <t>FieldType</t>
  </si>
  <si>
    <t>FldNameEN</t>
  </si>
  <si>
    <t>FldNameFR</t>
  </si>
  <si>
    <t>FldNameES</t>
  </si>
  <si>
    <t>n/a</t>
  </si>
  <si>
    <t>field</t>
  </si>
  <si>
    <t>ICCAT code</t>
  </si>
  <si>
    <t>Dirección de la persona o empresa propietaria del buque o que opera el buque</t>
  </si>
  <si>
    <t>Ciudad en la que tiene su domicilio el armador/operador</t>
  </si>
  <si>
    <t>Código postal o zip de la dirección Por favor, no utilice - / u otros caracteres entre los dígitos</t>
  </si>
  <si>
    <t>País en que tiene su domicilio el armador/operador</t>
  </si>
  <si>
    <t>Número de teléfono (incluir el código internacional)</t>
  </si>
  <si>
    <t>Correo electrónico del armador/operador</t>
  </si>
  <si>
    <t>number</t>
  </si>
  <si>
    <t>Indicativo internacional de radio Debe estar compuesto solo por números y letras, por ejemplo, 7T2472 (sin espacios ni , “-“, “.”, u otros caracteres especiales). Si el buque es demasiado pequeño para tener un IRCS asignado, entonces debe indicar n/a</t>
  </si>
  <si>
    <t>La taille des navires doit correspondre à la longueur hors tout, à savoir la distance mesurée en ligne droite entre le point le plus en avant de la proue et le point le plus en arrière de la poupe. La taille doit se limiter à la première décimale (p. ex. 23,9)</t>
  </si>
  <si>
    <t>Le tonnage doit être en TJB ou TB. Les autres types de tonnage ne seront pas acceptés. Le tonnage doit se limiter à la première décimale (p. ex. 159,6)</t>
  </si>
  <si>
    <t>Veuillez sélectionner l'unité utilisée pour déclarer la capacité (à choisir parmi les codes de types d’unités disponibles).</t>
  </si>
  <si>
    <t xml:space="preserve">Veuillez saisir la date de la fin de l'autorisation </t>
  </si>
  <si>
    <t>Veuillez saisir la date de la fin de l'autorisation (pour BET, YFT, SKJ)</t>
  </si>
  <si>
    <t>Veuillez saisir la date de fin d'autorisation sur la liste SWO-MED.</t>
  </si>
  <si>
    <t>Cualquier buque autorizado a capturar atún blanco del Mediterráneo al margen de su eslora. Introducir la fecha de inicio de la autorización. La lista debe presentarse anualmente antes del 15 de marzo</t>
  </si>
  <si>
    <t>Indicar el área en la que el buque está autorizado a pescar, utilizando una de las opciones de la hoja de códigos</t>
  </si>
  <si>
    <t>Translation for Forms</t>
  </si>
  <si>
    <t>LangFieldID</t>
  </si>
  <si>
    <t>LangNameID</t>
  </si>
  <si>
    <t>a)</t>
  </si>
  <si>
    <t>b)</t>
  </si>
  <si>
    <t>c)</t>
  </si>
  <si>
    <t>d)</t>
  </si>
  <si>
    <t>e)</t>
  </si>
  <si>
    <t>G00</t>
  </si>
  <si>
    <t>General</t>
  </si>
  <si>
    <t>title</t>
  </si>
  <si>
    <t>Instructions</t>
  </si>
  <si>
    <t>Instrucciones</t>
  </si>
  <si>
    <t>Instructions to complete the form</t>
  </si>
  <si>
    <t>Instructions pour remplir le formulaire</t>
  </si>
  <si>
    <t>Instrucciones para cumplimentar el formulario</t>
  </si>
  <si>
    <t>G01</t>
  </si>
  <si>
    <t>subtitle</t>
  </si>
  <si>
    <t>G01a</t>
  </si>
  <si>
    <t>item</t>
  </si>
  <si>
    <t>General01</t>
  </si>
  <si>
    <t>Complete as far as possible the Header and Detail sections (don't leave fields empty when information is known).</t>
  </si>
  <si>
    <t>G01b</t>
  </si>
  <si>
    <t>General02</t>
  </si>
  <si>
    <t>In Header section, only white cells can be filled (manually or by selecting from the Combo Box the corresponding code).</t>
  </si>
  <si>
    <t>G01c</t>
  </si>
  <si>
    <t>General03</t>
  </si>
  <si>
    <t>Always use ICCAT standard codes (when element "OTHERS" of various fields is required it must be explicitly described in "Notes").</t>
  </si>
  <si>
    <t>G01d</t>
  </si>
  <si>
    <t>General04</t>
  </si>
  <si>
    <t>G01e</t>
  </si>
  <si>
    <t>General05</t>
  </si>
  <si>
    <t>Leave "blank" the fields for which you don't collect information</t>
  </si>
  <si>
    <t>S00</t>
  </si>
  <si>
    <t>Specific</t>
  </si>
  <si>
    <t>Specific (by field)</t>
  </si>
  <si>
    <t>Spécifique (par champ)</t>
  </si>
  <si>
    <t>Específico (por campo)</t>
  </si>
  <si>
    <t>SC01</t>
  </si>
  <si>
    <t>Form</t>
  </si>
  <si>
    <t>Formulaire</t>
  </si>
  <si>
    <t>Formulario</t>
  </si>
  <si>
    <t>SC02</t>
  </si>
  <si>
    <t>Sub-form</t>
  </si>
  <si>
    <t>Sous-formulaire</t>
  </si>
  <si>
    <t>Subformulario</t>
  </si>
  <si>
    <t>SC03</t>
  </si>
  <si>
    <t>Part</t>
  </si>
  <si>
    <t>Partie</t>
  </si>
  <si>
    <t>Parte</t>
  </si>
  <si>
    <t>SC04</t>
  </si>
  <si>
    <t xml:space="preserve">Section </t>
  </si>
  <si>
    <t>Sección</t>
  </si>
  <si>
    <t>SC05</t>
  </si>
  <si>
    <t>Sub-section</t>
  </si>
  <si>
    <t>Sous-section</t>
  </si>
  <si>
    <t>Sub-secciones</t>
  </si>
  <si>
    <t>SC06</t>
  </si>
  <si>
    <t>Field (name)</t>
  </si>
  <si>
    <t>Champ (nom)</t>
  </si>
  <si>
    <t>Campo (nombre)</t>
  </si>
  <si>
    <t>SC07</t>
  </si>
  <si>
    <t>Field (format)</t>
  </si>
  <si>
    <t>Champ (format)</t>
  </si>
  <si>
    <t>Campo (formato)</t>
  </si>
  <si>
    <t>SC08</t>
  </si>
  <si>
    <t>Descripción</t>
  </si>
  <si>
    <t>1-CP01A</t>
  </si>
  <si>
    <t>1-CP01B</t>
  </si>
  <si>
    <t>1-CP01C</t>
  </si>
  <si>
    <t>2-Instructions</t>
  </si>
  <si>
    <t>Titre</t>
  </si>
  <si>
    <t>Título</t>
  </si>
  <si>
    <t>Form Title</t>
  </si>
  <si>
    <t>Titre du formulaire</t>
  </si>
  <si>
    <t>Título del formulario</t>
  </si>
  <si>
    <t>ICCAT</t>
  </si>
  <si>
    <t>CICTA</t>
  </si>
  <si>
    <t>CICAA</t>
  </si>
  <si>
    <t>INTERNATIONAL COMMISSION FOR THE CONSERVATION OF ATLANTIC TUNAS</t>
  </si>
  <si>
    <t>COMMISSION INTERNATIONALE POUR LA CONSERVATION DES THONIDÉS DE L'ATLANTIQUE</t>
  </si>
  <si>
    <t>COMISIÓN INTERNACIONAL PARA LA CONSERVACIÓN DEL ATÚN ATLÁNTICO</t>
  </si>
  <si>
    <t>T02</t>
  </si>
  <si>
    <t>(fixed)</t>
  </si>
  <si>
    <t>Versión</t>
  </si>
  <si>
    <t>Always use the lastest version of this form.</t>
  </si>
  <si>
    <t>T03</t>
  </si>
  <si>
    <t>Language</t>
  </si>
  <si>
    <t>Langue</t>
  </si>
  <si>
    <t>Idioma</t>
  </si>
  <si>
    <t>Choose the language (EN, FR, ES) for form translation</t>
  </si>
  <si>
    <t>T00</t>
  </si>
  <si>
    <t>T04</t>
  </si>
  <si>
    <t>section</t>
  </si>
  <si>
    <t>T05</t>
  </si>
  <si>
    <t>ICCAT Serial Number</t>
  </si>
  <si>
    <t>Nat. Registry Nº (NRN)</t>
  </si>
  <si>
    <t>Nº Registre Nat. (NRN)</t>
  </si>
  <si>
    <t>Nº Registro Nac. (NRN)</t>
  </si>
  <si>
    <t>Internat. Registry Nº (IRN)</t>
  </si>
  <si>
    <t>Nº Registre Internat. (IRN)</t>
  </si>
  <si>
    <t>Nº Registro Internac. (IRN)</t>
  </si>
  <si>
    <t>Type of IRN (IMO/LR Nº)</t>
  </si>
  <si>
    <t>Type de IRN (IMO/LR Nº)</t>
  </si>
  <si>
    <t>Tipo de IRN  (OMI/LR Nº)</t>
  </si>
  <si>
    <t>Flag (Current)</t>
  </si>
  <si>
    <t>Pavillon (actuel)</t>
  </si>
  <si>
    <t>Pabellón (actual)</t>
  </si>
  <si>
    <t>Flag (Previous)</t>
  </si>
  <si>
    <t>Pavillon (antérieur)</t>
  </si>
  <si>
    <t>Pabellón (previo)</t>
  </si>
  <si>
    <t>Length (m)</t>
  </si>
  <si>
    <t>Longueur (m)</t>
  </si>
  <si>
    <t>Eslora (m)</t>
  </si>
  <si>
    <t>Length type</t>
  </si>
  <si>
    <t>Type longueur</t>
  </si>
  <si>
    <t>Tipo eslora</t>
  </si>
  <si>
    <t>Tonnage type</t>
  </si>
  <si>
    <t>Type de tonnage</t>
  </si>
  <si>
    <t>Tipo de tonelaje</t>
  </si>
  <si>
    <t>Vessel type (ISSCFV)</t>
  </si>
  <si>
    <t>Type navire (ISSCFV)</t>
  </si>
  <si>
    <t>Tipo buque (ISSCFV)</t>
  </si>
  <si>
    <t>Gear type (ISSCFG)</t>
  </si>
  <si>
    <t>Type d'engin (ISSCFG)</t>
  </si>
  <si>
    <t>Tipo arte (ISSCFG)</t>
  </si>
  <si>
    <t xml:space="preserve">Carrying Capacity </t>
  </si>
  <si>
    <t>Capacité de charge</t>
  </si>
  <si>
    <t>Capacidad de carga</t>
  </si>
  <si>
    <t>Carr. Capacity unit</t>
  </si>
  <si>
    <t>Unité Cap. charge</t>
  </si>
  <si>
    <t>Año Construcción</t>
  </si>
  <si>
    <t>Année Construction</t>
  </si>
  <si>
    <t>string</t>
  </si>
  <si>
    <t>integer</t>
  </si>
  <si>
    <t>float</t>
  </si>
  <si>
    <t>hFlagRep</t>
  </si>
  <si>
    <t>hAgency</t>
  </si>
  <si>
    <t>hPerson</t>
  </si>
  <si>
    <t>hActions</t>
  </si>
  <si>
    <t>hNotes</t>
  </si>
  <si>
    <t>hAddress</t>
  </si>
  <si>
    <t>BFA</t>
  </si>
  <si>
    <t>Burkina Faso</t>
  </si>
  <si>
    <t>BF</t>
  </si>
  <si>
    <t>H00</t>
  </si>
  <si>
    <t>H10</t>
  </si>
  <si>
    <t>H20</t>
  </si>
  <si>
    <t>Tête</t>
  </si>
  <si>
    <t>Cabecera</t>
  </si>
  <si>
    <t>Filters</t>
  </si>
  <si>
    <t>subsection</t>
  </si>
  <si>
    <t>Réservé au Secrétariat</t>
  </si>
  <si>
    <t>Reservado a la Secretaría</t>
  </si>
  <si>
    <t>H30</t>
  </si>
  <si>
    <t>Data set characteristics</t>
  </si>
  <si>
    <t>date</t>
  </si>
  <si>
    <t>Date reported</t>
  </si>
  <si>
    <t>Date de déclaration</t>
  </si>
  <si>
    <t>Fecha de notificación</t>
  </si>
  <si>
    <t>Reservado a la Sacretaría</t>
  </si>
  <si>
    <t>hRef</t>
  </si>
  <si>
    <t>Reference Nº</t>
  </si>
  <si>
    <t>Nº Reference</t>
  </si>
  <si>
    <t>Nº Referencia</t>
  </si>
  <si>
    <t>File name (proposed)</t>
  </si>
  <si>
    <t>(reserved)</t>
  </si>
  <si>
    <t>Flag Correspondent</t>
  </si>
  <si>
    <t>Révision complète (registre de navires)</t>
  </si>
  <si>
    <t>Revisión completa (registro de buques)</t>
  </si>
  <si>
    <t>Full revision of vessel record</t>
  </si>
  <si>
    <t>Correspondant du Pavillon</t>
  </si>
  <si>
    <t>Corresponsal de Bandera</t>
  </si>
  <si>
    <t>(auto)</t>
  </si>
  <si>
    <t>H31</t>
  </si>
  <si>
    <t xml:space="preserve">CP01B résumé (Nº navires: </t>
  </si>
  <si>
    <t xml:space="preserve">CP01B resumen (Nº buques:  </t>
  </si>
  <si>
    <t xml:space="preserve">CP01B summary (Nº vessels: </t>
  </si>
  <si>
    <t>Table. Flags</t>
  </si>
  <si>
    <t>Table. ISSCFV (FAO vessel types)</t>
  </si>
  <si>
    <t>Table. ISSCFG (FAO gears)</t>
  </si>
  <si>
    <t>Table. Length types (vessels)</t>
  </si>
  <si>
    <t>Table Tonnage types (vessels)</t>
  </si>
  <si>
    <t>Table Carry capacity units (vessels)</t>
  </si>
  <si>
    <t>Table. Fishery types</t>
  </si>
  <si>
    <t>Table. Fishing areas</t>
  </si>
  <si>
    <t>Table. VMS systems</t>
  </si>
  <si>
    <t>Table. Reporting content</t>
  </si>
  <si>
    <t>FlagCod</t>
  </si>
  <si>
    <t>IRNoTypeCod</t>
  </si>
  <si>
    <t>IsscfvCod</t>
  </si>
  <si>
    <t>IsscfgCod</t>
  </si>
  <si>
    <t>LenTypeCod</t>
  </si>
  <si>
    <t>VmsComSysCod</t>
  </si>
  <si>
    <t>CCapUnitCod</t>
  </si>
  <si>
    <t>TonTypeCod</t>
  </si>
  <si>
    <t>Table. Renewal modes (vessel authorisation lists)</t>
  </si>
  <si>
    <t>tVersion</t>
  </si>
  <si>
    <t>tLang</t>
  </si>
  <si>
    <t>hEmail</t>
  </si>
  <si>
    <t>hPhone</t>
  </si>
  <si>
    <t>hDateRep</t>
  </si>
  <si>
    <t>REGISTRATION/AUTHORISATION OF VESSELS IN THE ICCAT VESSEL RECORD</t>
  </si>
  <si>
    <t>REGISTRO/AUTORIZACIÓN DE BUQUES EN EL REGISTRO DE BUQUES ICCAT</t>
  </si>
  <si>
    <t>hFName</t>
  </si>
  <si>
    <t>(automatic completion obtained from CP01A)</t>
  </si>
  <si>
    <t>(relleno automático obtenido de CP01A)</t>
  </si>
  <si>
    <t>D00</t>
  </si>
  <si>
    <t>Détail</t>
  </si>
  <si>
    <t>Detalle</t>
  </si>
  <si>
    <t>CP01B</t>
  </si>
  <si>
    <t>CP01C</t>
  </si>
  <si>
    <t>D10</t>
  </si>
  <si>
    <t>D20</t>
  </si>
  <si>
    <t>D11</t>
  </si>
  <si>
    <t>D12</t>
  </si>
  <si>
    <t>D13</t>
  </si>
  <si>
    <t>D14</t>
  </si>
  <si>
    <t>D21</t>
  </si>
  <si>
    <t>D30</t>
  </si>
  <si>
    <t>D40</t>
  </si>
  <si>
    <t>D41</t>
  </si>
  <si>
    <t>D42</t>
  </si>
  <si>
    <t>D43</t>
  </si>
  <si>
    <t>D44</t>
  </si>
  <si>
    <t>D45</t>
  </si>
  <si>
    <t>D46</t>
  </si>
  <si>
    <t>D47</t>
  </si>
  <si>
    <t>D50</t>
  </si>
  <si>
    <t>D60</t>
  </si>
  <si>
    <t>OwOpZipCd</t>
  </si>
  <si>
    <t>OwOpCtry</t>
  </si>
  <si>
    <t>OwOpAddrs</t>
  </si>
  <si>
    <t>dd/mm/yyyy</t>
  </si>
  <si>
    <t>De (date)</t>
  </si>
  <si>
    <t>From (date)</t>
  </si>
  <si>
    <t>Desde (fecha)</t>
  </si>
  <si>
    <t xml:space="preserve">To (date) </t>
  </si>
  <si>
    <t>À (date)</t>
  </si>
  <si>
    <t>Hasta (fecha)</t>
  </si>
  <si>
    <t>P20mDtFr</t>
  </si>
  <si>
    <t>TropDtFr</t>
  </si>
  <si>
    <t>SWOmDtFr</t>
  </si>
  <si>
    <t>ALBmDtFr</t>
  </si>
  <si>
    <t>CarrDtFr</t>
  </si>
  <si>
    <t>BFEcDtFr</t>
  </si>
  <si>
    <t>BFEoDtFr</t>
  </si>
  <si>
    <t>CP01A</t>
  </si>
  <si>
    <t>Ownership (Owners/Operators) details</t>
  </si>
  <si>
    <t>Enter the name of the person to be contacted in the event of enquiries</t>
  </si>
  <si>
    <t>Enter the name of your ministry, institute or agency</t>
  </si>
  <si>
    <t>Enter the street address of your ministry, institute or agency</t>
  </si>
  <si>
    <t>Indicate the actions being requested (select one option)</t>
  </si>
  <si>
    <t>Move to sub-form:</t>
  </si>
  <si>
    <t>VMSSysCd</t>
  </si>
  <si>
    <t>EngineHP</t>
  </si>
  <si>
    <t>YrBuilt</t>
  </si>
  <si>
    <t>CCapUnitCd</t>
  </si>
  <si>
    <t>FlagCurCd</t>
  </si>
  <si>
    <t>Owner ID</t>
  </si>
  <si>
    <t>Armateur ID</t>
  </si>
  <si>
    <t>Armador ID</t>
  </si>
  <si>
    <t>Operador ID</t>
  </si>
  <si>
    <t>Opérateur ID</t>
  </si>
  <si>
    <t>Operator ID</t>
  </si>
  <si>
    <t>Ownership (CP01C)</t>
  </si>
  <si>
    <t>Propiedad (CP01C)</t>
  </si>
  <si>
    <t>Propriété (CP01C)</t>
  </si>
  <si>
    <t>FlagPrvCd</t>
  </si>
  <si>
    <t>ShipyNat</t>
  </si>
  <si>
    <t>If the vessel has previously been registered in the ICCAT Record of Vessels and has therefore been assigned an ICCAT number, this number must be cited. Please check the list of inactive vessels to determine if a number has previously been assigned. If the vessel is being registered with ICCAT for the first time, please leave this field blank</t>
  </si>
  <si>
    <t>The national registry number as it appears in the registry of your CPC</t>
  </si>
  <si>
    <t>This should be IMO number or a number in the seven-digit numbering sequence allocated by IHS-Fairplay (LR number). All vessels of 20 m or greater must have an IMO number, except wooden LSFVs that are not authorized to fish on the high seas or LSFVs unable to obtain an IMO/LR number</t>
  </si>
  <si>
    <t>If number is provided, type = IMO. If the vessel is wooden and not authorised to operate on the high seas, type = WOD. If unable to obtain an IMO/LR number, then an explanation must accompany the submission, and type = JUS</t>
  </si>
  <si>
    <t>International Radio Call Sign. This must comprise only letters and numbers, e.g. 7T2472 (no spaces, "-", ".", or any other special character are allowed. If the vessel is too small to have an IRCS assigned, then "n/a" should be entered</t>
  </si>
  <si>
    <t>Please enter the current name of the vessel (all characters must be in Latin script). The use of characters in other alphabets can cause processing errors</t>
  </si>
  <si>
    <t>If the vessel had a different name previously, even when under a different flag, this should be reported</t>
  </si>
  <si>
    <t>Select the flag (choose from available flag codes) under which the vessel is operating.</t>
  </si>
  <si>
    <t>If the vessel previously operated under a different flag (even with a different name) this should be reported. Select a code from the available flag codes. Failure to report previous name/previous flag can result in duplications and incoherencies both in the ICCAT data base and the CLAV</t>
  </si>
  <si>
    <t>Please enter the number which corresponds to the row in Form CP01-C which contains the information on the owner. If the same owner is being reported for several vessels, the information only needs to be entered once on form CP01-C, and the same number can be entered in this field for each vessel owned by that person/company</t>
  </si>
  <si>
    <t>Please check the code sheet for a list of valid 3 Alpha codes. Only one type can be selected for each vessel (choose from the available vessel type codes)</t>
  </si>
  <si>
    <t>Please check the code sheet for a list of valid 3 Alpha codes. Only one type can be selected for each fishing gear (choose from the available fishing gear type codes)</t>
  </si>
  <si>
    <t>Two codes are available: LOA (length overall) and OTH (other). The length type should be length overall (LOA). If OTH is reported, an explanation should accompany the submission</t>
  </si>
  <si>
    <t>This can be GRT or GT. Other types of tonnage are not acceptable. Tonnage should be limited to 1 decimal place (e.g. 159.6)</t>
  </si>
  <si>
    <t>Gross Tonnage (GT) or GRT (Gross registered tonnage). Select the tonnage type (choose from the available tonnage type codes)</t>
  </si>
  <si>
    <t>Carrying capacity may be in cubic feet (f3) of dead weight volume (code cf ) or in cubic metres (m3) - dead weight volume (code m3)</t>
  </si>
  <si>
    <t>Please select which of the units has been used to report the capacity (choose from the available unit type codes)</t>
  </si>
  <si>
    <t>If there is an external mark different from other characteristics, please insert</t>
  </si>
  <si>
    <t>Insert the year in which the vessel was built</t>
  </si>
  <si>
    <t>Select the country/entity in which the vessel was built (choose from the available flag codes)</t>
  </si>
  <si>
    <t>Home port is the port at which the vessel is based and may differ from port of registry</t>
  </si>
  <si>
    <t>The vessel's depth (in metres, to 1 decimal place) is measured vertically from the lowest point of the hull, ordinarily from the bottom of the keel, to the side of any deck that you may choose as a reference point (preferably upperdeck amidship)</t>
  </si>
  <si>
    <t>Insert horse power of the engine</t>
  </si>
  <si>
    <t>Type of VMS system installed. Please see code sheet and choose an option. If no VMS is installed, use NO-VMS</t>
  </si>
  <si>
    <t>This field is obligatory and cannot be left blank. It must coincide with NatRegNo field on form CP01A, and all vessels reported must be in the same order on form B as they appear on form A</t>
  </si>
  <si>
    <t>If the vessel is 20m or greater and is not a carrier vessel, it must be included on this list. Please insert the start date of the authorisation (which cannot be more than 45 days before date of submission of the form)</t>
  </si>
  <si>
    <t>Please insert the date of end of the authorisation</t>
  </si>
  <si>
    <t>If the vessel authorisation does not expire each year, enter AUTO. This will automatically renew the authorisation for your vessel on 1 January each year. If the vessel authorisation cannot be renewed automatically enter EXPL. The authorisation will expire at the end date, and if not renewed by the CPC, the vessel will be deactivated  from the ICCAT Record after 45 days and sent to the inactive list</t>
  </si>
  <si>
    <t>If the vessel 20m or greater is authorised to catch northern swordfish, please mark with an X. If not, please leave blank</t>
  </si>
  <si>
    <t>If the vessel 20m or greater is authorised to catch southern swordfish, please mark with an X. If not, please leave blank</t>
  </si>
  <si>
    <t>If the vessel 20m or greater is authorised to catch northern albacore, please mark with an X. If not, please leave blank</t>
  </si>
  <si>
    <t>If the vessel 20m or greater is authorised to catch southern albacore, please mark with an X. If not, please leave blank</t>
  </si>
  <si>
    <t>If the vessel is authorised to catch bigeye, yellowfin and/or skipjack, or to operate as a support vessel in such fisheries, please enter the start date of such authorisation. Start date cannot be more than 45 days before submission of form</t>
  </si>
  <si>
    <t>Please insert the date of end of the authorisation (for BET, YFT, SKJ)</t>
  </si>
  <si>
    <t>If the vessel authorisation does not expire each year, enter AUTO. This will automatically renew the authorisation for your vessel on this list on 1 January each year. If the vessel authorisation cannot be renewed automatically enter EXPL. The authorisation will expire at the end date, and if not renewed by the CPC, the vessel will be removed from this list after 45 days</t>
  </si>
  <si>
    <t>Please insert the end date for authoriation on the SWO-MED list</t>
  </si>
  <si>
    <t>For any vessel, regardless of length, authorised to catch Mediterranean albacore. Please enter start date for authorisation. Lists must be provided annually before 15 March</t>
  </si>
  <si>
    <t>Please insert the end date for authoriation on the ALB-MED list</t>
  </si>
  <si>
    <t>Please insert the start date of the authorisation for the carrier vessels authorised to receive transhipments of ICCAT species either at-sea or in-port. Lists must be sent each calendar year, but no deadline is specified. Carrier vessels may not receive transhipments of ICCAT species until they appear on the List of Carrier Vessels on the ICCAT Record</t>
  </si>
  <si>
    <t>Insert the date of the end of the authorisation as an ICCAT carrier vessel</t>
  </si>
  <si>
    <t>Indicate whether fishery is artisinal, commercial or recreational. Please see Codes sheet for options available</t>
  </si>
  <si>
    <t>Indicate the area in which the vessel is authorised to fish, using one of the options in the Codes sheet</t>
  </si>
  <si>
    <t>Show the quota (in kilos) assigned to the vessel for the current fishing year. Quantities should be limited to 1 decimal place</t>
  </si>
  <si>
    <t>Insert the start date of authoristion of towing, support, auxiliary vessels, regardless of size. Lists must be submitted annually at least 15 days before the start of authorisations</t>
  </si>
  <si>
    <t>Street address of person or company who owns or operates the vessel</t>
  </si>
  <si>
    <t>City in which owner/operator is domiciled</t>
  </si>
  <si>
    <t>Postal code or zip code of address. Please do not use . - / or other characters between the digits</t>
  </si>
  <si>
    <t>Country in which owner/operator is domiciled</t>
  </si>
  <si>
    <t>Telephone number (include international code)</t>
  </si>
  <si>
    <t>Email of owner/operator</t>
  </si>
  <si>
    <t>Insert the date of the end of the authorisation as an ICCAT BFT-E catching vessel</t>
  </si>
  <si>
    <t>Insert the date of the end of the authorisation as an ICCAT BFT-E other vessel</t>
  </si>
  <si>
    <t>Saisissez la date de la fin de l’autorisation en tant que navire de capture de BFT-E de l'ICCAT</t>
  </si>
  <si>
    <t>Insertar la fecha de finalización de la autorización como buque de captura de BFT-E de ICCAT</t>
  </si>
  <si>
    <t>Saisissez la date de la fin de l’autorisation en tant qu’autre navire de BFT-E de l'ICCAT</t>
  </si>
  <si>
    <t>Pour tous les navires de capture de thon rouge de l'Atlantique Est et de la Méditerranée, indépendamment de leur longueur. Veuillez saisir la date de début de l'autorisation du navire. Les listes doivent être soumises chaque année et au moins 15 jours avant le début de l’autorisation. Les périodes d'autorisation doivent être conformes aux périodes d'ouverture stipulées dans la recommandation en vigueur de l'ICCAT concernant le BFT-E</t>
  </si>
  <si>
    <t>For all eastern Atlantic and Mediterranean catching vessels, regardless of length. Please insert the start date of authorisation of the vessel. Lists should be submitted annually, and at least 15 days before the start of the authorisation. Authorisation periods should be in accordance with the open seasons stipulated in the current Recommendation on BFT-E</t>
  </si>
  <si>
    <t>Renouvellement (mode)</t>
  </si>
  <si>
    <t>Renovación (modo)</t>
  </si>
  <si>
    <t>Renewal (mode)</t>
  </si>
  <si>
    <t>H40</t>
  </si>
  <si>
    <t>H41</t>
  </si>
  <si>
    <t>H42</t>
  </si>
  <si>
    <t>H43</t>
  </si>
  <si>
    <t>Example (OS dependent):</t>
  </si>
  <si>
    <t>Format for all "date" fields (*)</t>
  </si>
  <si>
    <t>Format pour tous les champs "date" (*)</t>
  </si>
  <si>
    <t>Formato para todos los campos "fecha" (*)</t>
  </si>
  <si>
    <t>Format (par défaut):</t>
  </si>
  <si>
    <t>Formato (por defecto):</t>
  </si>
  <si>
    <t>Format (default):</t>
  </si>
  <si>
    <t>Input "dates" (OS dependent) as:</t>
  </si>
  <si>
    <t>Introducier "fechas" (dependiente SO) como:</t>
  </si>
  <si>
    <t>Entrez "dates" (dépendant SO) comme:</t>
  </si>
  <si>
    <t>Autorizaciones en las listas de ICCAT</t>
  </si>
  <si>
    <t>Detalles de propiedad (propietarios/operadores)</t>
  </si>
  <si>
    <t>Introduzca el nombre de la persona a contactar en caso de consultas</t>
  </si>
  <si>
    <t>Introduzca el nombre de su ministerio, institución o agencia</t>
  </si>
  <si>
    <t>Introduzca la dirección de su ministerio, institución o agencia</t>
  </si>
  <si>
    <t>Enter the email address of the person to be contacted</t>
  </si>
  <si>
    <t>Introduzca la dirección de correo electrónico de la persona a contactar</t>
  </si>
  <si>
    <t>Enter the telephone number of the person to be contacted</t>
  </si>
  <si>
    <t>Introduzca el número de teléfono de la persona a contactar</t>
  </si>
  <si>
    <t>Enter the flag of the CPC (Party, Entity or Fishing Entity) submitting the information</t>
  </si>
  <si>
    <t>Indique las acciones solicitadas (seleccione una opción)</t>
  </si>
  <si>
    <t>Indiquez les actions demandées (sélectionnez une option)</t>
  </si>
  <si>
    <t>For any relevant notes (justification on lack of IMO numbers, etc.)</t>
  </si>
  <si>
    <t>Send the form to ICCAT with the proposed file name (if required, adding a suffix at the end of the filename: [suffix])</t>
  </si>
  <si>
    <t>Enviar el formulario a ICCAT con el nombre del archivo propuesto (si es necesario, agregue un sufijo al final del nombre del archivo: [suffix])</t>
  </si>
  <si>
    <t>Nom fichier (proposé)</t>
  </si>
  <si>
    <t>Nombre archivo (propuesto)</t>
  </si>
  <si>
    <t>Insert consecutive number. This number should be transposed to Form CP01A,  (owner /operator ID fields) for each vessel owned or operated by this person/company</t>
  </si>
  <si>
    <t>Exemple (dépendant SO):</t>
  </si>
  <si>
    <t>Ejemplo (dependiente OS):</t>
  </si>
  <si>
    <t>BFT-E Catching Vessels</t>
  </si>
  <si>
    <t>BFT-E Other Vessels</t>
  </si>
  <si>
    <t>Navires de capture BFT-E</t>
  </si>
  <si>
    <t>Autres navires BFT-E</t>
  </si>
  <si>
    <t>Buques de captura BFT-E</t>
  </si>
  <si>
    <t>Otros buques BFT-E</t>
  </si>
  <si>
    <t>Número serie ICCAT</t>
  </si>
  <si>
    <t>Numéro série ICCAT</t>
  </si>
  <si>
    <t>Registry Number (NRN)</t>
  </si>
  <si>
    <t>Nº Registre (NRN)</t>
  </si>
  <si>
    <t>Número Registro (NRN)</t>
  </si>
  <si>
    <t>BFEcFisAre</t>
  </si>
  <si>
    <t>BFEcFisTyp</t>
  </si>
  <si>
    <t>BFEcAQuoKG</t>
  </si>
  <si>
    <t>Fishing area</t>
  </si>
  <si>
    <t>Zone pêche</t>
  </si>
  <si>
    <t>Área pesca</t>
  </si>
  <si>
    <t>Cuota asignada (kg)</t>
  </si>
  <si>
    <t>Quota alloué (kg)</t>
  </si>
  <si>
    <t>Assigned quota (kg)</t>
  </si>
  <si>
    <t>Características conjunto de datos</t>
  </si>
  <si>
    <t>Caractéristiques jeu de données</t>
  </si>
  <si>
    <t>fldDescEN</t>
  </si>
  <si>
    <t>fldDescFR</t>
  </si>
  <si>
    <t>fldDescES</t>
  </si>
  <si>
    <t>Authorizations on the ICCAT lists</t>
  </si>
  <si>
    <t>For any vessel, regardless of length, authorised to catch Mediterranean swordfish. Please enter start date for authorisation. Lists must be provided annually before 15 January. Recreational vessels may be reported separately 15 days before the start of their authorisation (CP01A mandatory field: Name of vessel, National register number, ICCAT Record Number (if any), Previous name (if any), Length overall, and, Name/address of owner(s) and operator(s))</t>
  </si>
  <si>
    <t>INSCRIPTION/AUTORISATION DES NAVIRES DANS LE REGISTRE DES NAVIRES ICCAT</t>
  </si>
  <si>
    <t>Autorisations dans les listes de l ICCAT</t>
  </si>
  <si>
    <t xml:space="preserve">Détails de propriété (propriétaires/opérateurs) </t>
  </si>
  <si>
    <t>Utilisez toujours la dernière version de ce formulaire</t>
  </si>
  <si>
    <t>Utilice siempre la última versión de este formulario</t>
  </si>
  <si>
    <t>Choisissez la langue (EN, FR, ES) pour la traduction du formulaire</t>
  </si>
  <si>
    <t>Elija el idioma (EN, FR, ES) para la traducción del formulario</t>
  </si>
  <si>
    <t>(remplissage automatique obtenue de CP01A)</t>
  </si>
  <si>
    <t>Saisissez le nom de la personne à contacter en cas d'enquête</t>
  </si>
  <si>
    <t>Saisissez le nom de votre ministère, institut ou agence</t>
  </si>
  <si>
    <t>Saisissez l'adresse de votre ministère, institut ou agence</t>
  </si>
  <si>
    <t>Saisissez l'adresse e-mail de la personne à contacter</t>
  </si>
  <si>
    <t>Saisissez le numéro de téléphone de la personne à contacter</t>
  </si>
  <si>
    <t>Saisissez le pavillon de la CPC (Partie, Entité ou Entité de pêche) soumettant l'information</t>
  </si>
  <si>
    <t>Introduzca el pabellón de la CPC (Parte, Entidad o Entidad pesquera) que presenta la información</t>
  </si>
  <si>
    <t>Espace reservé aux notes pertinentes (justification de l'absence de numéros OMI, etc.)</t>
  </si>
  <si>
    <t>Para cualquier nota relevante (justificación sobre omisión de números OMI, etc.)</t>
  </si>
  <si>
    <t>Envoyez le formulaire à l'ICCAT avec le nom du fichier proposé (si nécessaire, ajoutez un suffixe à la fin du nom de fichier: [suffix])</t>
  </si>
  <si>
    <t>Numéro serie ICCAT</t>
  </si>
  <si>
    <t>Número serie CICAA</t>
  </si>
  <si>
    <t>Il convient d’indiquer si le navire a été enregistré antérieurement dans le Registre ICCAT des navires (un numéro ICCAT lui ayant donc déjà été attribué). Veuillez vérifier la liste des navires inactifs pour déterminer si un numéro lui a été attribué antérieurement. Si le navire est enregistré pour la première fois auprès de l'ICCAT, veuillez laisser ce champ vide</t>
  </si>
  <si>
    <t>En el caso de que el buque se haya inscrito anteriormente en el registro de ICCAT (y, por tanto, se le haya asignado un número ICCAT) esto debe indicarse. Por favor compruebe la lista de buques inactivos para comprobar si se le ha asignado un número anteriormente. Si el buque se inscribe en el registro ICCAT por primera vez, deje en blanco este campo</t>
  </si>
  <si>
    <t>Le numéro de registre national est celui qui apparaît dans le registre de votre CPC</t>
  </si>
  <si>
    <t>Número de registro nacional, tal y como está en el registro de su CPC</t>
  </si>
  <si>
    <t>Il doit s'agir d'un numéro OMI ou d'un numéro correspondant à la séquence de numérotation de sept chiffres attribuée par IHS-Fairplay (numéro LR). Tous les navires de 20 m ou plus doivent être titulaire d’un numéro OMI, sauf les LSFV en bois qui ne sont pas autorisés à pêcher en haute mer ou les LSFV qui ne peuvent pas obtenir de numéro OMI/LR</t>
  </si>
  <si>
    <t>Debería ser el número OMI o un número secuencial de siete dígitos asignado por IHS – Fairplay (número LR). Todos los buques con una eslora total de 20 m o superior tienen que tener un número OMI, excepto los LSFV de madera que no están autorizados a pescar en alta mar o los LSFV que no pueden obtener un número OMI/LR</t>
  </si>
  <si>
    <t>Si le numéro est fourni, saisissez « OMI ». Si le navire est en bois et n'est pas autorisé à opérer en haute mer, saisissez « WOD ». Si vous ne parvenez pas à obtenir de numéro OMI/LR, veuillez joindre une explication et saisissez « JUS »</t>
  </si>
  <si>
    <t>Si se facilita el número, indicar tipo = OMI. Si el buque es de madera y no está autorizado a operar en alta mar, indique tipo =WOD. En el caso de no poder obtener un número OMI/LR, debe incluirse una explicación y debe indicarse tipo = JUS</t>
  </si>
  <si>
    <t>Indicatif international d’appel radio. Cet indicatif ne comportera que des lettres et des chiffres, par ex. 7T2472 (sans espace, « - », « . », ou tout autre caractère spécial). Si le navire est trop petit pour qu’un IRCS lui soit attribué, saisissez « (n/a) »</t>
  </si>
  <si>
    <t>Veuillez saisir le nom actuel du navire (tous les caractères doivent être en alphabet latin). L’utilisation de caractères d’autres alphabets peut causer des erreurs de traitement</t>
  </si>
  <si>
    <t>Consignar el nombre actual del buque (todos los caracteres tienen que estar en caracteres latinos). El uso de caracteres de otros alfabetos podría generar errores de procesamiento</t>
  </si>
  <si>
    <t>Il convient d’indiquer si le navire portait un autre nom antérieurement, même sous un autre pavillon</t>
  </si>
  <si>
    <t>En el caso de que buque haya tenido otro nombre anteriormente, incluso bajo otro pabellón, esto debe indicarse</t>
  </si>
  <si>
    <t>Sélectionnez le pavillon (à choisir parmi les codes de pavillons disponibles) sous lequel le navire opère</t>
  </si>
  <si>
    <t>Seleccionar el pabellón (consultar los códigos de pabellón disponibles) bajo el que opera el buque</t>
  </si>
  <si>
    <t>Il convient d’indiquer si le navire opérait préalablement sous un autre pavillon (même s’il portait un autre nom). Le code est à sélectionner parmi les codes de pavillons disponibles. La non-déclaration du nom/pavillon antérieur peut donner lieu à des dédoublements et des incohérences dans la base de données de l'ICCAT et la CLAV</t>
  </si>
  <si>
    <t>Si el buque operó anteriormente bajo otro pabellón (incluso con un nombre diferente) esto debe indicarse. Tiene que seleccionarse el código de los códigos de pabellón disponibles. La no comunicación del nombre anterior/pabellón anterior puede dar lugar a duplicaciones e incoherencias, tanto en la base de datos de ICCAT como en la CLAV</t>
  </si>
  <si>
    <t>Veuillez saisir le numéro de la rangée du formulaire CP01-C qui contient les coordonnées du propriétaire. Si un même propriétaire est déclaré pour plusieurs navires, les informations ne doivent être saisies qu’une seule fois dans le formulaire CP01-C et le même numéro peut être saisi dans ce champ pour chaque navire appartenant à cette personne/société</t>
  </si>
  <si>
    <t>Consigne el número que corresponde a la hilera del formulario CP01-C que contiene la información sobre el armador. Si se comunica el mismo armador para varios buques, la información tiene que introducirse una única vez en el formulario CP01-C y puede introducirse el mismo número en este campo para cada buque propiedad de dicha persona/empresa</t>
  </si>
  <si>
    <t>Please enter the number which corresponds to the row in Form CP01C which contains the information on the operator. This may be the same or different from the owner</t>
  </si>
  <si>
    <t>Veuillez saisir le numéro de la rangée du formulaire CP01C qui contient les coordonnées de l’opérateur. Ce numéro peut être le même que celui du propriétaire, ou être différent</t>
  </si>
  <si>
    <t>Consigne el número que corresponde a la hilera del formulario CP01C que contiene la información sobre el operador. Puede ser o no la misma información que para el armador</t>
  </si>
  <si>
    <t>Veuillez consulter la liste de codes pour obtenir les codes valides de deux lettres. Seul un type peut être sélectionné pour chaque navire (à choisir parmi les codes de types de navires disponibles)</t>
  </si>
  <si>
    <t>Compruebe la hoja de códigos que incluye una lista de códigos válidos de tres letras. Solo puede seleccionarse un tipo para cada buque (a escoger de la lista de códigos de tipos de buques disponible)</t>
  </si>
  <si>
    <t>Veuillez consulter la liste de codes pour obtenir les codes valides de deux lettres. Seul un type peut être sélectionné pour chaque engin de pêche (à choisir parmi les codes de types d’engins de pêche disponibles)</t>
  </si>
  <si>
    <t>Compruebe la hoja de códigos que incluye una lista de códigos válidos de tres letras. Solo puede seleccionarse un tipo para cada arte de pesca (a escoger de la lista de códigos de tipos de artes disponibles)</t>
  </si>
  <si>
    <t>La eslora debe ser la eslora total, definida como la distancia medida en una línea recta entre el punto más saliente anterior de la proa y el punto más saliente posterior de la popa. Para la eslora solo se incluirá el primer decimal (Por ejemplo, 23,9)</t>
  </si>
  <si>
    <t>Deux codes sont disponibles : LOA (longueur hors tout) et OTH (autres). Le type de longueur doit être la longueur hors tout (LOA.) Si OTH est déclaré, une explication doit être jointe à la soumission</t>
  </si>
  <si>
    <t>Hay dos códigos disponibles: LOA (eslora total) y OTH (otros). El tipo de eslora debe ser la eslora total (LOA). Si se indica OTH debe incluirse una explicación</t>
  </si>
  <si>
    <t>Podría ser GRT o GT. No se aceptan otros tipos de tonelaje. Para el tonelaje solo se incluirá el primer decimal (Por ejemplo, 159,6)</t>
  </si>
  <si>
    <t>Tonnage brut (TB) ou tonneaux de jauge brute (TJB). Sélectionnez le type de tonnage (à choisir parmi les codes de types de tonnage disponibles)</t>
  </si>
  <si>
    <t>Arqueo bruto (GT) o GRT (tonelaje de arqueo bruto). Seleccionar el tipo de tonelaje (a escoger de la lista de códigos de tipos de tonelaje disponibles)</t>
  </si>
  <si>
    <t>La capacité de charge peut être en pieds cubes (f3) du volume de poids mort (code cf) ou en mètres cubes (m3) - volume de poids mort (code m3)</t>
  </si>
  <si>
    <t>Seleccionar la unidad que se ha utilizado para comunicar la capacidad  (a escoger de la lista de códigos de tipos de unidades disponibles)</t>
  </si>
  <si>
    <t>S’il existe un marquage externe différent de celui des autres caractéristiques, veuillez le saisir</t>
  </si>
  <si>
    <t>Indicar si hay una marca externa diferente de otras características</t>
  </si>
  <si>
    <t>Saisissez l’année de construction du navire</t>
  </si>
  <si>
    <t>Indicar el año en que se armó el buque</t>
  </si>
  <si>
    <t>Veuillez sélectionner le pays/l’entité où le navire a été construit (à choisir parmi les codes de pavillons disponibles)</t>
  </si>
  <si>
    <t>Seleccionar el país/entidad en que se armó el buque (a escoger de la lista de códigos de pabellones disponibles)</t>
  </si>
  <si>
    <t>Le port d’attache est le port dans lequel le navire est basé et peut différer du port d’immatriculation</t>
  </si>
  <si>
    <t>Puerto base es el puerto en el que el puerto tiene su base y puede ser diferente al puerto de registro</t>
  </si>
  <si>
    <t>Le creux du navire (en mètres, à la première décimale) correspond à la distance verticale entre le point le plus bas de la coque, usuellement le point le plus bas de la quille, et le côté de l’un des ponts servant de point de référence (de préférence le pont supérieur à mi-longueur du navire)</t>
  </si>
  <si>
    <t>El puntal del buque (en metros, con una cifra decimal) se mide verticalmente desde el punto más bajo del casco, generalmente el extremo inferior de la quilla, hasta el costado de cualquier punto de la cubierta que se escoja como referencia (preferiblemente en la cubierta superior en la parte media del buque)</t>
  </si>
  <si>
    <t>Engine Power (HP)</t>
  </si>
  <si>
    <t>Moteur Puissance (CV)</t>
  </si>
  <si>
    <t>Motor Potencia (CV)</t>
  </si>
  <si>
    <t>Saisissez la puissance du moteur en chevaux</t>
  </si>
  <si>
    <t>Consignar la potencia en caballos del motor</t>
  </si>
  <si>
    <t>Type de système VMS installé. Veuillez consulter la liste des codes disponibles d’où le choix doit se faire. Si aucun VMS n’est installé, saisissez « NO-VMS »</t>
  </si>
  <si>
    <t>Tipo de sistema VMS instalado Consultar la hoja de códigos disponibles y elegir. Si no tiene un VMS instalado, indique NO-VMS</t>
  </si>
  <si>
    <t>Authorized periods for inclusion on the ICCAT vessel registry</t>
  </si>
  <si>
    <t xml:space="preserve">Périodes d'autorisation pour l'inscription dans le registre des navires CICTA </t>
  </si>
  <si>
    <t>Periodos autorización p/ inclusion en el registro de buques CICAA</t>
  </si>
  <si>
    <t>Ce champ est obligatoire et doit être rempli. Ce champ doit coïncider avec le champ NatRegNo du formulaire CP01-A, et tous les navires déclarés dans le formulaire B doivent apparaître dans le même ordre que dans le formulaire A</t>
  </si>
  <si>
    <t>Este campo es obligatorio y no puede dejarse en blanco. Debe coincidir con el campo NatRegNo  del formulario CP01-A, y todos los buques comunicados en el formulario B deben seguir el mismo orden en el que aparecen en formulario A</t>
  </si>
  <si>
    <t>Si le navire mesure 20 m ou plus et n'est pas un navire de charge, il doit être inclus dans cette liste. Veuillez insérer la date de début de l'autorisation (qui ne peut pas être antérieure à plus de 45 jours avant la date de soumission du formulaire)</t>
  </si>
  <si>
    <t>Si el buque tiene una eslora de 20 m o superior y no es un buque de transporte, debe incluirse en dicha lista. Le ruego introduzca la fecha de inicio del periodo de autorización (que no puede preceder en más de 45 días a la fecha de presentación del formulario)</t>
  </si>
  <si>
    <t>Insertar la fecha de finalización de la autorización</t>
  </si>
  <si>
    <t>Si l’autorisation du navire n’expire pas chaque année, saisissez AUTO. Cela renouvellera automatiquement l'autorisation de votre navire le 1er janvier de chaque année. Si l’autorisation du navire ne peut pas être renouvelée automatiquement, saisissez EXPL. L'autorisation expirera à la date de fin, et si elle n'est pas renouvelée par la CPC, le navire sera désactivé du registre ICCAT après 45 jours et envoyé à la liste inactive</t>
  </si>
  <si>
    <t xml:space="preserve">Si la autorización del buque no expira cada año, insertar AUTO. De este modo la autorización de su buque se renovará de forma automática el 1 de enero de cada año. Si la autorización del buque no puede renovarse automáticamente, inserte EXPL. La autorización expirará en la fecha final, y si la CPC no la renueva, el buque será desactivado en el registro ICCAT en un plazo de 45 días y se trasladará a la lista de buques inactivos </t>
  </si>
  <si>
    <t>Si le navire de 20 m ou plus est autorisé à capturer l'espadon du Nord, veuillez inscrire un « x ». Dans le cas contraire, laissez cet espace vide</t>
  </si>
  <si>
    <t>Si el buque tiene una eslora de 20 m o superior y está autorizado a capturar pez espada del norte, indicar con una X. En caso contrario, deje la celda en blanco</t>
  </si>
  <si>
    <t>Si le navire de 20 m ou plus est autorisé à capturer l'espadon du Sud, veuillez inscrire un « x ». Dans le cas contraire, laissez cet espace vide</t>
  </si>
  <si>
    <t>Si el buque tiene una eslora de 20 m o superior y está autorizado a capturar pez espada del sur, indicar con una X. En caso contrario, dejar la celda en blanco</t>
  </si>
  <si>
    <t>Si le navire de 20 m ou plus est autorisé à capturer le germon du Nord, veuillez inscrire un « x ». Dans le cas contraire, laissez cet espace vide</t>
  </si>
  <si>
    <t>Si el buque tiene una eslora de 20 m o superior y está autorizado a capturar atún blanco del norte, indicar con una X. En caso contrario, deje la celda en blanco</t>
  </si>
  <si>
    <t>Si le navire de 20 m ou plus est autorisé à capturer le germon du Sud, veuillez inscrire un « x ». Dans le cas contraire, laissez cet espace vide</t>
  </si>
  <si>
    <t>Si el buque tiene una eslora de 20 m o superior y está autorizado a capturar atún blanco del sur, indicar con una X. En caso contrario, deje la casilla en blanco</t>
  </si>
  <si>
    <t>Si le navire est autorisé à capturer du thon obèse, de l'albacore et/ou du listao, ou à opérer comme navire d’appui dans ces pêcheries, veuillez indiquer la date de début de cette autorisation. La date du début ne peut pas être antérieure à plus de 45 jours à la date de présentation du formulaire</t>
  </si>
  <si>
    <t>Si el buque está autorizado a capturar patudo, rabil y/o listado, o a operar como buque de apoyo en dichas pesquerías,  introduzca la fecha de inicio de dicha autorización. La fecha de inicio no puede preceder en más de 45 días a la fecha de presentación del formulario</t>
  </si>
  <si>
    <t>Insertar la fecha de finalización de la autorización (para patudo, rabil, listado)</t>
  </si>
  <si>
    <t>Si l’autorisation du navire n’expire pas chaque année, saisissez AUTO. Cela renouvellera automatiquement l'autorisation de votre navire sur cette liste le 1er janvier de chaque année. Si l’autorisation du navire ne peut pas être renouvelée automatiquement, saisissez EXPL. L'autorisation expirera à la date de fin, et si elle n'est pas renouvelée par la CPC, le navire sera radié de la liste après 45 jours</t>
  </si>
  <si>
    <t>Si la autorización del buque no expira cada año, inserte AUTO. De este modo la autorización de su buque se renovará de forma automática el 1 de enero de cada año. Si la autorización del buque no puede renovarse automáticamente, inserte EXPL. La autorización expirará en la fecha final, y si la CPC no la renueva, el buque será desactivado en el registro ICCAT en un plazo de 45 días</t>
  </si>
  <si>
    <t>Pour tous les navires, indépendamment de leur taille, autorisés à capturer de l'espadon de la Méditerranée. Veuillez saisir la date du début de l’autorisation. La liste doit être fournie chaque année avant le 15 janvier. Les navires récréatifs peuvent être déclarés séparément 15 jours avant le début de leur autorisation (champs obligatoires du CP01A : nom du navire, numéro de registre national, numéro de registre ICCAT (le cas échéant), nom antérieur (le cas échéant), longueur hors-tout et nom/adresse du ou des opérateurs)</t>
  </si>
  <si>
    <t>Cualquier buque autorizado a capturar pez espada del Mediterráneo al margen de su eslora. Introducir la fecha de inicio de la autorización. La lista debe presentarse anualmente antes del 15 de enero. Los barcos de recreo autorizados a capturar pez espada del Mediterráneo pueden comunicarse de forma independiente 15 días antes del inicio de su periodo de autorización. Los campos marcados con un * en el formulario CP01-A son opcionales para dichos buques</t>
  </si>
  <si>
    <t>Inserte la fecha de finalización del periodo de autorización en la lista de pez espada del Mediterráneo</t>
  </si>
  <si>
    <t>Pour tous les navires, indépendamment de leur taille, autorisés à capturer du germon de la Méditerranée. Veuillez saisir la date du début de l’autorisation. La liste doit être fournie chaque année avant le 15 mars</t>
  </si>
  <si>
    <t>Veuillez saisir la date de fin d'autorisation sur la liste ALB-MED</t>
  </si>
  <si>
    <t>Insertar la fecha de finalización del periodo de autorización en la lista de atún blanco del Mediterráneo</t>
  </si>
  <si>
    <t>Veuillez saisir la date de début de l'autorisation pour les navires de charge autorisés à recevoir des transbordements d'espèces de l'ICCAT en mer ou au port. Les listes doivent être envoyées chaque année civile, mais aucune date limite n'est spécifiée. Les navires de charge ne peuvent pas recevoir de transbordement d'espèces relevant de l’ICCAT avant de figurer sur la liste des navires de charge du Registre ICCAT</t>
  </si>
  <si>
    <t>Insertar la fecha de inicio del periodo de autorización para los buques de transporte autorizados a recibir transbordos de especies de ICCAT ya sea en el mar o en puerto. La lista debe enviarse cada año civil, pero no se ha especificado una fecha límite. Los buques de transporte no pueden recibir transbordos de especies de ICCAT hasta que no estén inscritos en la lista de buques de transporte del registro ICCAT</t>
  </si>
  <si>
    <t>Saisissez la date de la fin de l’autorisation en tant que navire de charge de l'ICCAT</t>
  </si>
  <si>
    <t>Insertar la fecha de finalización de la autorización como buque de transporte de ICCAT</t>
  </si>
  <si>
    <t>Para todos los buques de captura de atún rojo del Atlántico este y Mediterráneo, al margen de su eslora. Inserte la fecha de inicio del periodo autorización del buque. Las listas deberían presentarse anualmente y al menos 15 días antes del inicio de la autorización. Los periodos de autorización deben ser acordes con el temporadas abiertas estipuladas en la recomendación actual de ICCAT sobre BFT-E</t>
  </si>
  <si>
    <t>Indiquez si la pêcherie est artisanale, commerciale ou récréative.  Veuillez consulter les codes disponibles</t>
  </si>
  <si>
    <t>Indicar si la pesquería es artesanal, comercial o de recreo.  Por favor consulte la hoja de códigos para ver las opciones disponibles</t>
  </si>
  <si>
    <t>Veuillez indiquer la zone dans laquelle le navire est autorisé à pêcher en employant l’une des options de la liste des codes</t>
  </si>
  <si>
    <t>Indiquez le quota (en kg) assigné au navire pour l’année actuelle de pêche. Les quantités devraient être limitées à la première décimale</t>
  </si>
  <si>
    <t>Mostrar la cuota (en kilogramos) asignada al buque para el año pesquero actual. Para las cantidades solo se incluirá el primer decimal</t>
  </si>
  <si>
    <t>Saisissez la date du début de l’autorisation des navires de remorquage, d’appui et auxiliaires, indépendamment de leur taille. Les listes doivent être soumises chaque année au moins 15 jours avant le début des autorisations</t>
  </si>
  <si>
    <t>Insertar la fecha de inicio del periodo autorización de los remolcadores, barcos de apoyo y barcos auxiliares, al margen de su eslora. Las listas deberían presentarse anualmente y al menos 15 días antes de la fecha de inicio del periodo d autorización</t>
  </si>
  <si>
    <t>Insertar la fecha de finalización del periodo de autorización como otros buques de BFT-E ICCAT</t>
  </si>
  <si>
    <t>Saisissez un numéro consécutif. Ce numéro devrait être transposé dans le formulaire CP01A (champs d’identification du propriétaire/de l’opérateur) pour chacun des navires appartenant à cette personne/société ou opéré par celle-ci</t>
  </si>
  <si>
    <t>Insertar un número consecutivo. Este número debe consignarse en el formulario CP01A,  (campos ID del armador/operador) para cada buque propiedad de u operado por dicha persona/empresa</t>
  </si>
  <si>
    <t>Name of person or company who owns or operates the vessel. If a given vessel has more than one owner/operator these should be separated by  the character "|" (vertical bar). This field cannot fit more than 150 characters.</t>
  </si>
  <si>
    <t>Nom de la personne ou de la société qui est propriétaire du navire ou qui l’opère Si un navire donné a plus d’un propriétaire/opérateur, ceux-ci doivent être séparés par le caractère "|" (barre verticale). Ce champ ne peut pas dépasser 150 caractères.</t>
  </si>
  <si>
    <t>Nombre de la persona o empresa propietaria del buque o que opera el buque. Si un buque determinado tiene más de un armador/operador, estos deben separarse mediante el carácter "|" (barra vertical). Este campo no puede tener más de 150 caracteres.</t>
  </si>
  <si>
    <t>Adresse postale de la personne ou de la société qui est propriétaire du navire ou qui l’opère</t>
  </si>
  <si>
    <t>Ville dans laquelle le propriétaire/l’opérateur est domicilié</t>
  </si>
  <si>
    <t>Code postal de l’adresse. Veuillez ne pas utiliser « . », « - », « / », ou d’autres caractères entre les chiffres</t>
  </si>
  <si>
    <t>Pays dans lequel le propriétaire/l’opérateur est domicilié</t>
  </si>
  <si>
    <t>Numéro de téléphone (code international compris)</t>
  </si>
  <si>
    <t>Email du propriétaire/opérateur</t>
  </si>
  <si>
    <t>Veuillez compléter dans la plus grande mesure du possible les rubriques « En-tête » et « Informations détaillées ». Ne laissez pas de cellules vides si l’information est connue</t>
  </si>
  <si>
    <t>Cumplimentar con la mayor información posible las secciones "cabecera" y "detalles" (no dejar campos vacíos cuando se conoce la información)</t>
  </si>
  <si>
    <t>Dans la rubrique « En-tête », seules les cellules blanches sont à remplir (manuellement ou en sélectionnant le code correspondant dans le menu déroulant)</t>
  </si>
  <si>
    <t>En la sección de cabecera, sólo pueden cumplimentarse las celdas en blanco (manualmente o seleccionando en la pestaña desplegable el código correspondiente)</t>
  </si>
  <si>
    <t>Utilisez toujours les codes standard de l’ICCAT (si l’élément « Autres » des menus déroulants de plusieurs champs est requis, une explication détaillée doit être apportée au point « Notes »)</t>
  </si>
  <si>
    <t>Utilice siempre los códigos estándar ICCAT (cuando se requiere el elemento "OTROS" de varios campos, éste debe describirse explícitamente en las "Notas")</t>
  </si>
  <si>
    <t>Recommendation for users with databases: To paste an entire dataset into the Detail section (must have the same structure and format) use "Paste special (values)"</t>
  </si>
  <si>
    <t>Recommandation pour les utilisateurs de bases de données: pour copier un jeu de données complet dans la rubrique « Informations détaillées ». (qui doivent avoir la même structure et le même format), utilisez « Collage spécial &gt; Coller valeurs »</t>
  </si>
  <si>
    <t>Recomendación para los usuarios con bases de datos: para pegar un conjunto de datos completo en la sección de información detallada (debe tener la misma estructura y formato) se debe utilizar "Pegado especial (valores)"</t>
  </si>
  <si>
    <t>Laisser en blanc les champs pour lesquels vous ne recueillez pas d'informations</t>
  </si>
  <si>
    <t>Deje en blanco los campos para los que no se ha recopilado información</t>
  </si>
  <si>
    <r>
      <t>La capacidad de transporte puede expresarse en pies cúbicos (f</t>
    </r>
    <r>
      <rPr>
        <vertAlign val="superscript"/>
        <sz val="8"/>
        <color rgb="FF000000"/>
        <rFont val="Calibri"/>
        <family val="2"/>
        <scheme val="minor"/>
      </rPr>
      <t>3</t>
    </r>
    <r>
      <rPr>
        <sz val="8"/>
        <color rgb="FF000000"/>
        <rFont val="Calibri"/>
        <family val="2"/>
        <scheme val="minor"/>
      </rPr>
      <t>) de volumen de peso muerto (código cf) o en metros cúbicos (m</t>
    </r>
    <r>
      <rPr>
        <vertAlign val="superscript"/>
        <sz val="8"/>
        <color rgb="FF000000"/>
        <rFont val="Calibri"/>
        <family val="2"/>
        <scheme val="minor"/>
      </rPr>
      <t>3</t>
    </r>
    <r>
      <rPr>
        <sz val="8"/>
        <color rgb="FF000000"/>
        <rFont val="Calibri"/>
        <family val="2"/>
        <scheme val="minor"/>
      </rPr>
      <t>) volumen de peso muerto (código m</t>
    </r>
    <r>
      <rPr>
        <vertAlign val="superscript"/>
        <sz val="8"/>
        <color rgb="FF000000"/>
        <rFont val="Calibri"/>
        <family val="2"/>
        <scheme val="minor"/>
      </rPr>
      <t>3</t>
    </r>
    <r>
      <rPr>
        <sz val="8"/>
        <color rgb="FF000000"/>
        <rFont val="Calibri"/>
        <family val="2"/>
        <scheme val="minor"/>
      </rPr>
      <t>)</t>
    </r>
  </si>
  <si>
    <t>sub-forms:</t>
  </si>
  <si>
    <t>Vessel registration details (characteristics)</t>
  </si>
  <si>
    <t>Détails de l'immatriculation des navires (caractéristiques)</t>
  </si>
  <si>
    <t>Detalles de registro de buques (características)</t>
  </si>
  <si>
    <t>&lt;&lt;</t>
  </si>
  <si>
    <t>CP01-VessLsts</t>
  </si>
  <si>
    <t>Internat. RCS</t>
  </si>
  <si>
    <t>RCS internat.</t>
  </si>
  <si>
    <t>RCS internac.</t>
  </si>
  <si>
    <t>Length should be length overall, defined as the distance measured in a straight line between the foremost point of the bow and the aftermost point of the stern. Length should be limited to 1 decimal place (e.g. 23.9)</t>
  </si>
  <si>
    <t>AT</t>
  </si>
  <si>
    <t>Djibouti</t>
  </si>
  <si>
    <t>DJI</t>
  </si>
  <si>
    <t>DJ</t>
  </si>
  <si>
    <t>Table. International registry number types</t>
  </si>
  <si>
    <t>CZ</t>
  </si>
  <si>
    <t>FI</t>
  </si>
  <si>
    <t>LU</t>
  </si>
  <si>
    <t>SK</t>
  </si>
  <si>
    <t>Bosnia and Herzegovina</t>
  </si>
  <si>
    <t>BIH</t>
  </si>
  <si>
    <t>BA</t>
  </si>
  <si>
    <t>Isle of Man</t>
  </si>
  <si>
    <t>IMN</t>
  </si>
  <si>
    <t>IM</t>
  </si>
  <si>
    <t>Mongolia</t>
  </si>
  <si>
    <t>MNG</t>
  </si>
  <si>
    <t>MN</t>
  </si>
  <si>
    <t>MKD</t>
  </si>
  <si>
    <t>MK</t>
  </si>
  <si>
    <t>Qatar</t>
  </si>
  <si>
    <t>QAT</t>
  </si>
  <si>
    <t>QA</t>
  </si>
  <si>
    <t>EU-Austria</t>
  </si>
  <si>
    <t>EU-AUT</t>
  </si>
  <si>
    <t>EU-Belgium</t>
  </si>
  <si>
    <t>EU-BEL</t>
  </si>
  <si>
    <t>EU-Bulgaria</t>
  </si>
  <si>
    <t>EU-BGR</t>
  </si>
  <si>
    <t>EU-Croatia</t>
  </si>
  <si>
    <t>EU-HRV</t>
  </si>
  <si>
    <t>EU-Cyprus</t>
  </si>
  <si>
    <t>EU-CYP</t>
  </si>
  <si>
    <t>EU-Czechia</t>
  </si>
  <si>
    <t>EU-CZE</t>
  </si>
  <si>
    <t>EU-Denmark</t>
  </si>
  <si>
    <t>EU-DNK</t>
  </si>
  <si>
    <t>EU-España</t>
  </si>
  <si>
    <t>EU-ESP</t>
  </si>
  <si>
    <t>EU-Estonia</t>
  </si>
  <si>
    <t>EU-EST</t>
  </si>
  <si>
    <t>EU-Finland</t>
  </si>
  <si>
    <t>EU-FIN</t>
  </si>
  <si>
    <t>EU-France</t>
  </si>
  <si>
    <t>EU-FRA</t>
  </si>
  <si>
    <t>EU-Germany</t>
  </si>
  <si>
    <t>EU-DEU</t>
  </si>
  <si>
    <t>EU-Greece</t>
  </si>
  <si>
    <t>EU-GRC</t>
  </si>
  <si>
    <t>EU-Hungary</t>
  </si>
  <si>
    <t>EU-HUN</t>
  </si>
  <si>
    <t>EU-Ireland</t>
  </si>
  <si>
    <t>EU-IRL</t>
  </si>
  <si>
    <t>EU-Italy</t>
  </si>
  <si>
    <t>EU-ITA</t>
  </si>
  <si>
    <t>EU-Latvia</t>
  </si>
  <si>
    <t>EU-LVA</t>
  </si>
  <si>
    <t>EU-Lithuania</t>
  </si>
  <si>
    <t>EU-LTU</t>
  </si>
  <si>
    <t>EU-Luxemburg</t>
  </si>
  <si>
    <t>EU-LUX</t>
  </si>
  <si>
    <t>EU-Malta</t>
  </si>
  <si>
    <t>EU-MLT</t>
  </si>
  <si>
    <t>EU-Netherlands</t>
  </si>
  <si>
    <t>EU-NLD</t>
  </si>
  <si>
    <t>EU-Poland</t>
  </si>
  <si>
    <t>EU-POL</t>
  </si>
  <si>
    <t>EU-Portugal</t>
  </si>
  <si>
    <t>EU-PRT</t>
  </si>
  <si>
    <t>EU-Rumania</t>
  </si>
  <si>
    <t>EU-ROU</t>
  </si>
  <si>
    <t>EU-Slovakia</t>
  </si>
  <si>
    <t>EU-SVK</t>
  </si>
  <si>
    <t>EU-Slovenia</t>
  </si>
  <si>
    <t>EU-SVN</t>
  </si>
  <si>
    <t>EU-Sweden</t>
  </si>
  <si>
    <t>EU-SWE</t>
  </si>
  <si>
    <t>England</t>
  </si>
  <si>
    <t>GB-ENG</t>
  </si>
  <si>
    <t>FR-St Pierre et Miquelon</t>
  </si>
  <si>
    <t>FR-SPM</t>
  </si>
  <si>
    <t>Great Britain</t>
  </si>
  <si>
    <t>GBR</t>
  </si>
  <si>
    <t>Guinée Rep</t>
  </si>
  <si>
    <t>Korea Rep</t>
  </si>
  <si>
    <t>Northern Ireland</t>
  </si>
  <si>
    <t>GB-NIR</t>
  </si>
  <si>
    <t>S Tomé e Príncipe</t>
  </si>
  <si>
    <t>Scotland</t>
  </si>
  <si>
    <t>GB-SCT</t>
  </si>
  <si>
    <t>St Vincent and Grenadines</t>
  </si>
  <si>
    <t>UK-Bermuda</t>
  </si>
  <si>
    <t>UK-BMU</t>
  </si>
  <si>
    <t>UK-British Virgin Islands</t>
  </si>
  <si>
    <t>UK-VGB</t>
  </si>
  <si>
    <t>UK-Sta Helena</t>
  </si>
  <si>
    <t>UK-SHN</t>
  </si>
  <si>
    <t>UK-Turks and Caicos</t>
  </si>
  <si>
    <t>UK-TCA</t>
  </si>
  <si>
    <t>Wales</t>
  </si>
  <si>
    <t>GB-WLS</t>
  </si>
  <si>
    <t>Gibraltar</t>
  </si>
  <si>
    <t>GIB</t>
  </si>
  <si>
    <t>GI</t>
  </si>
  <si>
    <t>North Macedonia Rep</t>
  </si>
  <si>
    <t>San Marino</t>
  </si>
  <si>
    <t>SMR</t>
  </si>
  <si>
    <t>SM</t>
  </si>
  <si>
    <t>Sta Lucia</t>
  </si>
  <si>
    <t>VOP</t>
  </si>
  <si>
    <t>PROCESSING VESSEL</t>
  </si>
  <si>
    <t>ENG</t>
  </si>
  <si>
    <t>Türkiye</t>
  </si>
  <si>
    <t>Miscellaneouss gear</t>
  </si>
  <si>
    <t>2024a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</si>
</sst>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44" x14ac:knownFonts="1">
    <font>
      <sz val="11"/>
      <color theme="1"/>
      <name val="Calibri"/>
      <family val="2"/>
      <scheme val="minor"/>
    </font>
    <font>
      <u/>
      <sz val="11"/>
      <color theme="10"/>
      <name val="Calibri"/>
      <family val="2"/>
      <scheme val="minor"/>
    </font>
    <font>
      <sz val="9"/>
      <color theme="1"/>
      <name val="Calibri"/>
      <family val="2"/>
      <scheme val="minor"/>
    </font>
    <font>
      <sz val="9"/>
      <name val="Calibri"/>
      <family val="2"/>
      <scheme val="minor"/>
    </font>
    <font>
      <sz val="10"/>
      <color indexed="8"/>
      <name val="Arial"/>
      <family val="2"/>
    </font>
    <font>
      <sz val="10"/>
      <color indexed="8"/>
      <name val="Arial"/>
      <family val="2"/>
    </font>
    <font>
      <sz val="10"/>
      <name val="Arial"/>
      <family val="2"/>
    </font>
    <font>
      <b/>
      <sz val="9"/>
      <color theme="1"/>
      <name val="Calibri"/>
      <family val="2"/>
      <scheme val="minor"/>
    </font>
    <font>
      <b/>
      <sz val="9"/>
      <color rgb="FFFF0000"/>
      <name val="Calibri"/>
      <family val="2"/>
      <scheme val="minor"/>
    </font>
    <font>
      <sz val="8"/>
      <color theme="1"/>
      <name val="Calibri"/>
      <family val="2"/>
      <scheme val="minor"/>
    </font>
    <font>
      <sz val="8"/>
      <name val="Calibri"/>
      <family val="2"/>
      <scheme val="minor"/>
    </font>
    <font>
      <u/>
      <sz val="8"/>
      <color theme="10"/>
      <name val="Calibri"/>
      <family val="2"/>
      <scheme val="minor"/>
    </font>
    <font>
      <b/>
      <sz val="8"/>
      <name val="Calibri"/>
      <family val="2"/>
      <scheme val="minor"/>
    </font>
    <font>
      <b/>
      <sz val="8"/>
      <color theme="1"/>
      <name val="Calibri"/>
      <family val="2"/>
      <scheme val="minor"/>
    </font>
    <font>
      <b/>
      <sz val="10"/>
      <name val="Calibri"/>
      <family val="2"/>
      <scheme val="minor"/>
    </font>
    <font>
      <sz val="10"/>
      <color indexed="8"/>
      <name val="Arial"/>
      <family val="2"/>
    </font>
    <font>
      <sz val="9"/>
      <color indexed="8"/>
      <name val="Calibri"/>
      <family val="2"/>
      <scheme val="minor"/>
    </font>
    <font>
      <b/>
      <sz val="8"/>
      <color theme="0"/>
      <name val="Calibri"/>
      <family val="2"/>
      <scheme val="minor"/>
    </font>
    <font>
      <sz val="8"/>
      <color rgb="FF000000"/>
      <name val="Calibri"/>
      <family val="2"/>
      <scheme val="minor"/>
    </font>
    <font>
      <b/>
      <sz val="14"/>
      <color theme="0"/>
      <name val="Calibri"/>
      <family val="2"/>
      <scheme val="minor"/>
    </font>
    <font>
      <sz val="8"/>
      <color theme="0" tint="-4.9989318521683403E-2"/>
      <name val="Calibri"/>
      <family val="2"/>
      <scheme val="minor"/>
    </font>
    <font>
      <b/>
      <sz val="9"/>
      <color rgb="FF00B050"/>
      <name val="Calibri"/>
      <family val="2"/>
      <scheme val="minor"/>
    </font>
    <font>
      <sz val="8"/>
      <color theme="1"/>
      <name val="Courier New"/>
      <family val="3"/>
    </font>
    <font>
      <b/>
      <u/>
      <sz val="8"/>
      <color theme="1"/>
      <name val="Calibri"/>
      <family val="2"/>
      <scheme val="minor"/>
    </font>
    <font>
      <b/>
      <sz val="16"/>
      <color rgb="FF0070C0"/>
      <name val="Calibri"/>
      <family val="2"/>
      <scheme val="minor"/>
    </font>
    <font>
      <u/>
      <sz val="8"/>
      <color rgb="FF0000FF"/>
      <name val="Calibri"/>
      <family val="2"/>
      <scheme val="minor"/>
    </font>
    <font>
      <b/>
      <sz val="8"/>
      <color theme="3"/>
      <name val="Calibri"/>
      <family val="2"/>
      <scheme val="minor"/>
    </font>
    <font>
      <sz val="9"/>
      <color indexed="8"/>
      <name val="Calibri"/>
      <family val="2"/>
    </font>
    <font>
      <sz val="9"/>
      <color rgb="FF0070C0"/>
      <name val="Calibri"/>
      <family val="2"/>
      <scheme val="minor"/>
    </font>
    <font>
      <b/>
      <sz val="9"/>
      <color rgb="FF0000FF"/>
      <name val="Calibri"/>
      <family val="2"/>
      <scheme val="minor"/>
    </font>
    <font>
      <b/>
      <sz val="8"/>
      <color rgb="FF0070C0"/>
      <name val="Calibri"/>
      <family val="2"/>
      <scheme val="minor"/>
    </font>
    <font>
      <b/>
      <u/>
      <sz val="8"/>
      <name val="Calibri"/>
      <family val="2"/>
      <scheme val="minor"/>
    </font>
    <font>
      <u/>
      <sz val="8"/>
      <color theme="1"/>
      <name val="Calibri"/>
      <family val="2"/>
      <scheme val="minor"/>
    </font>
    <font>
      <i/>
      <u/>
      <sz val="8"/>
      <name val="Calibri"/>
      <family val="2"/>
      <scheme val="minor"/>
    </font>
    <font>
      <b/>
      <sz val="8"/>
      <color rgb="FF0000FF"/>
      <name val="Calibri"/>
      <family val="2"/>
      <scheme val="minor"/>
    </font>
    <font>
      <b/>
      <sz val="11"/>
      <name val="Calibri"/>
      <family val="2"/>
      <scheme val="minor"/>
    </font>
    <font>
      <sz val="9"/>
      <name val="Times New Roman"/>
      <family val="1"/>
    </font>
    <font>
      <sz val="9"/>
      <color rgb="FFFF0000"/>
      <name val="Times New Roman"/>
      <family val="1"/>
    </font>
    <font>
      <b/>
      <sz val="9"/>
      <color theme="0"/>
      <name val="Calibri"/>
      <family val="2"/>
      <scheme val="minor"/>
    </font>
    <font>
      <vertAlign val="superscript"/>
      <sz val="8"/>
      <color rgb="FF000000"/>
      <name val="Calibri"/>
      <family val="2"/>
      <scheme val="minor"/>
    </font>
    <font>
      <sz val="8"/>
      <color indexed="8"/>
      <name val="Calibri"/>
      <family val="2"/>
      <scheme val="minor"/>
    </font>
    <font>
      <u/>
      <sz val="8"/>
      <color theme="1"/>
      <name val="Courier New"/>
      <family val="3"/>
    </font>
    <font>
      <b/>
      <sz val="10"/>
      <color theme="0"/>
      <name val="Calibri"/>
      <family val="2"/>
      <scheme val="minor"/>
    </font>
    <font>
      <b/>
      <sz val="9"/>
      <color rgb="FF0070C0"/>
      <name val="Calibri"/>
      <family val="2"/>
      <scheme val="minor"/>
    </font>
  </fonts>
  <fills count="21">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6" tint="0.79998168889431442"/>
        <bgColor theme="1"/>
      </patternFill>
    </fill>
    <fill>
      <patternFill patternType="solid">
        <fgColor theme="9" tint="0.39997558519241921"/>
        <bgColor theme="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6" tint="0.59999389629810485"/>
        <bgColor indexed="0"/>
      </patternFill>
    </fill>
    <fill>
      <patternFill patternType="solid">
        <fgColor rgb="FF00B0F0"/>
        <bgColor indexed="64"/>
      </patternFill>
    </fill>
  </fills>
  <borders count="4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7" tint="0.39997558519241921"/>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style="medium">
        <color theme="0"/>
      </left>
      <right style="thin">
        <color theme="6" tint="0.79998168889431442"/>
      </right>
      <top style="medium">
        <color theme="0"/>
      </top>
      <bottom style="thin">
        <color theme="0"/>
      </bottom>
      <diagonal/>
    </border>
    <border>
      <left style="thin">
        <color theme="6" tint="0.79998168889431442"/>
      </left>
      <right style="medium">
        <color theme="6" tint="0.39994506668294322"/>
      </right>
      <top style="medium">
        <color theme="0"/>
      </top>
      <bottom style="thin">
        <color theme="0"/>
      </bottom>
      <diagonal/>
    </border>
    <border>
      <left style="medium">
        <color theme="0"/>
      </left>
      <right style="thin">
        <color theme="0"/>
      </right>
      <top/>
      <bottom style="thin">
        <color theme="0"/>
      </bottom>
      <diagonal/>
    </border>
    <border>
      <left style="thin">
        <color theme="0"/>
      </left>
      <right style="medium">
        <color theme="6" tint="0.39994506668294322"/>
      </right>
      <top/>
      <bottom style="thin">
        <color theme="0"/>
      </bottom>
      <diagonal/>
    </border>
    <border>
      <left style="medium">
        <color theme="0"/>
      </left>
      <right style="thin">
        <color theme="0"/>
      </right>
      <top style="thin">
        <color theme="0"/>
      </top>
      <bottom style="thin">
        <color theme="0"/>
      </bottom>
      <diagonal/>
    </border>
    <border>
      <left style="thin">
        <color theme="0"/>
      </left>
      <right style="medium">
        <color theme="6" tint="0.39994506668294322"/>
      </right>
      <top style="thin">
        <color theme="0"/>
      </top>
      <bottom style="thin">
        <color theme="0"/>
      </bottom>
      <diagonal/>
    </border>
    <border>
      <left style="medium">
        <color theme="0"/>
      </left>
      <right style="thin">
        <color theme="0"/>
      </right>
      <top style="thin">
        <color theme="0"/>
      </top>
      <bottom style="medium">
        <color theme="6" tint="0.39994506668294322"/>
      </bottom>
      <diagonal/>
    </border>
    <border>
      <left style="thin">
        <color theme="0"/>
      </left>
      <right style="medium">
        <color theme="6" tint="0.39994506668294322"/>
      </right>
      <top style="thin">
        <color theme="0"/>
      </top>
      <bottom style="medium">
        <color theme="6" tint="0.39994506668294322"/>
      </bottom>
      <diagonal/>
    </border>
    <border>
      <left/>
      <right style="medium">
        <color theme="6" tint="-0.24994659260841701"/>
      </right>
      <top/>
      <bottom/>
      <diagonal/>
    </border>
    <border>
      <left/>
      <right/>
      <top/>
      <bottom style="medium">
        <color theme="6" tint="-0.24994659260841701"/>
      </bottom>
      <diagonal/>
    </border>
    <border>
      <left/>
      <right style="medium">
        <color theme="6" tint="-0.24994659260841701"/>
      </right>
      <top/>
      <bottom style="medium">
        <color theme="6" tint="-0.24994659260841701"/>
      </bottom>
      <diagonal/>
    </border>
    <border>
      <left style="medium">
        <color theme="6" tint="-0.24994659260841701"/>
      </left>
      <right/>
      <top style="medium">
        <color theme="6" tint="-0.24994659260841701"/>
      </top>
      <bottom/>
      <diagonal/>
    </border>
    <border>
      <left/>
      <right/>
      <top style="medium">
        <color theme="6" tint="-0.24994659260841701"/>
      </top>
      <bottom/>
      <diagonal/>
    </border>
    <border>
      <left/>
      <right style="medium">
        <color theme="6" tint="0.79998168889431442"/>
      </right>
      <top style="medium">
        <color theme="6" tint="-0.24994659260841701"/>
      </top>
      <bottom/>
      <diagonal/>
    </border>
    <border>
      <left style="medium">
        <color theme="6" tint="-0.24994659260841701"/>
      </left>
      <right/>
      <top/>
      <bottom/>
      <diagonal/>
    </border>
    <border>
      <left/>
      <right style="medium">
        <color theme="6" tint="0.79998168889431442"/>
      </right>
      <top/>
      <bottom/>
      <diagonal/>
    </border>
    <border>
      <left style="medium">
        <color theme="6" tint="-0.24994659260841701"/>
      </left>
      <right/>
      <top/>
      <bottom style="medium">
        <color theme="6" tint="0.79998168889431442"/>
      </bottom>
      <diagonal/>
    </border>
    <border>
      <left/>
      <right/>
      <top/>
      <bottom style="medium">
        <color theme="6" tint="0.79998168889431442"/>
      </bottom>
      <diagonal/>
    </border>
    <border>
      <left/>
      <right style="medium">
        <color theme="6" tint="0.79998168889431442"/>
      </right>
      <top/>
      <bottom style="medium">
        <color theme="6" tint="0.79998168889431442"/>
      </bottom>
      <diagonal/>
    </border>
    <border>
      <left style="thin">
        <color indexed="64"/>
      </left>
      <right/>
      <top style="medium">
        <color theme="6" tint="-0.24994659260841701"/>
      </top>
      <bottom/>
      <diagonal/>
    </border>
    <border>
      <left style="thin">
        <color indexed="64"/>
      </left>
      <right/>
      <top/>
      <bottom style="medium">
        <color theme="6" tint="0.79998168889431442"/>
      </bottom>
      <diagonal/>
    </border>
    <border>
      <left style="medium">
        <color theme="0" tint="-4.9989318521683403E-2"/>
      </left>
      <right/>
      <top style="medium">
        <color theme="0" tint="-4.9989318521683403E-2"/>
      </top>
      <bottom/>
      <diagonal/>
    </border>
    <border>
      <left/>
      <right/>
      <top style="medium">
        <color theme="0" tint="-4.9989318521683403E-2"/>
      </top>
      <bottom/>
      <diagonal/>
    </border>
    <border>
      <left/>
      <right style="medium">
        <color theme="6" tint="-0.24994659260841701"/>
      </right>
      <top style="medium">
        <color theme="0" tint="-4.9989318521683403E-2"/>
      </top>
      <bottom/>
      <diagonal/>
    </border>
    <border>
      <left style="medium">
        <color theme="0" tint="-4.9989318521683403E-2"/>
      </left>
      <right/>
      <top/>
      <bottom/>
      <diagonal/>
    </border>
    <border>
      <left style="medium">
        <color theme="0" tint="-4.9989318521683403E-2"/>
      </left>
      <right/>
      <top/>
      <bottom style="medium">
        <color theme="6" tint="-0.24994659260841701"/>
      </bottom>
      <diagonal/>
    </border>
    <border>
      <left/>
      <right/>
      <top style="thin">
        <color theme="7"/>
      </top>
      <bottom/>
      <diagonal/>
    </border>
    <border>
      <left/>
      <right style="thin">
        <color theme="7"/>
      </right>
      <top style="thin">
        <color theme="7"/>
      </top>
      <bottom/>
      <diagonal/>
    </border>
  </borders>
  <cellStyleXfs count="8">
    <xf numFmtId="0" fontId="0" fillId="0" borderId="0"/>
    <xf numFmtId="0" fontId="1" fillId="0" borderId="0" applyNumberFormat="0" applyFill="0" applyBorder="0" applyAlignment="0" applyProtection="0"/>
    <xf numFmtId="0" fontId="4" fillId="0" borderId="0"/>
    <xf numFmtId="0" fontId="5" fillId="0" borderId="0"/>
    <xf numFmtId="0" fontId="4" fillId="0" borderId="0"/>
    <xf numFmtId="0" fontId="6" fillId="0" borderId="0"/>
    <xf numFmtId="0" fontId="15" fillId="0" borderId="0"/>
    <xf numFmtId="0" fontId="4" fillId="0" borderId="0"/>
  </cellStyleXfs>
  <cellXfs count="430">
    <xf numFmtId="0" fontId="0" fillId="0" borderId="0" xfId="0"/>
    <xf numFmtId="0" fontId="8" fillId="0" borderId="8" xfId="0" applyFont="1" applyBorder="1" applyAlignment="1" applyProtection="1">
      <alignment horizontal="center" vertical="top"/>
      <protection locked="0"/>
    </xf>
    <xf numFmtId="0" fontId="3" fillId="0" borderId="0" xfId="0" applyFont="1" applyAlignment="1" applyProtection="1">
      <alignment vertical="top"/>
      <protection locked="0"/>
    </xf>
    <xf numFmtId="0" fontId="2" fillId="0" borderId="0" xfId="0" applyFont="1" applyAlignment="1" applyProtection="1">
      <alignment vertical="top"/>
      <protection locked="0"/>
    </xf>
    <xf numFmtId="0" fontId="0" fillId="0" borderId="0" xfId="0" applyAlignment="1" applyProtection="1">
      <alignment vertical="top"/>
      <protection locked="0"/>
    </xf>
    <xf numFmtId="0" fontId="2" fillId="0" borderId="0" xfId="0" applyFont="1" applyProtection="1">
      <protection locked="0"/>
    </xf>
    <xf numFmtId="0" fontId="2" fillId="0" borderId="0" xfId="0" applyFont="1" applyAlignment="1" applyProtection="1">
      <alignment vertical="top"/>
      <protection hidden="1"/>
    </xf>
    <xf numFmtId="0" fontId="9" fillId="0" borderId="0" xfId="0" applyFont="1" applyProtection="1">
      <protection locked="0"/>
    </xf>
    <xf numFmtId="0" fontId="0" fillId="0" borderId="0" xfId="0" applyAlignment="1" applyProtection="1">
      <alignment vertical="top"/>
      <protection hidden="1"/>
    </xf>
    <xf numFmtId="0" fontId="9" fillId="4" borderId="10" xfId="0" applyFont="1" applyFill="1" applyBorder="1" applyAlignment="1" applyProtection="1">
      <alignment vertical="top" wrapText="1" shrinkToFit="1"/>
      <protection hidden="1"/>
    </xf>
    <xf numFmtId="0" fontId="10" fillId="0" borderId="0" xfId="0" applyFont="1" applyAlignment="1" applyProtection="1">
      <alignment vertical="top" wrapText="1"/>
      <protection hidden="1"/>
    </xf>
    <xf numFmtId="0" fontId="9" fillId="0" borderId="0" xfId="0" applyFont="1" applyAlignment="1" applyProtection="1">
      <alignment vertical="top"/>
      <protection hidden="1"/>
    </xf>
    <xf numFmtId="0" fontId="2" fillId="0" borderId="0" xfId="0" applyFont="1" applyProtection="1">
      <protection hidden="1"/>
    </xf>
    <xf numFmtId="0" fontId="13" fillId="6" borderId="10" xfId="0" applyFont="1" applyFill="1" applyBorder="1" applyAlignment="1" applyProtection="1">
      <alignment vertical="top" wrapText="1"/>
      <protection hidden="1"/>
    </xf>
    <xf numFmtId="0" fontId="11" fillId="6" borderId="10" xfId="1" applyFont="1" applyFill="1" applyBorder="1" applyAlignment="1" applyProtection="1">
      <alignment vertical="top" wrapText="1"/>
      <protection hidden="1"/>
    </xf>
    <xf numFmtId="0" fontId="9" fillId="3" borderId="9" xfId="0" applyFont="1" applyFill="1" applyBorder="1" applyAlignment="1" applyProtection="1">
      <alignment vertical="top" wrapText="1"/>
      <protection hidden="1"/>
    </xf>
    <xf numFmtId="0" fontId="9" fillId="3" borderId="10" xfId="0" applyFont="1" applyFill="1" applyBorder="1" applyAlignment="1" applyProtection="1">
      <alignment vertical="top" wrapText="1"/>
      <protection hidden="1"/>
    </xf>
    <xf numFmtId="0" fontId="9" fillId="0" borderId="0" xfId="0" applyFont="1" applyProtection="1">
      <protection hidden="1"/>
    </xf>
    <xf numFmtId="0" fontId="10" fillId="0" borderId="0" xfId="0" applyFont="1" applyAlignment="1" applyProtection="1">
      <alignment vertical="top"/>
      <protection hidden="1"/>
    </xf>
    <xf numFmtId="0" fontId="10" fillId="7" borderId="4" xfId="0" applyFont="1" applyFill="1" applyBorder="1" applyProtection="1">
      <protection hidden="1"/>
    </xf>
    <xf numFmtId="0" fontId="10" fillId="7" borderId="0" xfId="0" applyFont="1" applyFill="1" applyProtection="1">
      <protection hidden="1"/>
    </xf>
    <xf numFmtId="0" fontId="10" fillId="7" borderId="5" xfId="0" applyFont="1" applyFill="1" applyBorder="1" applyProtection="1">
      <protection hidden="1"/>
    </xf>
    <xf numFmtId="0" fontId="10" fillId="3" borderId="0" xfId="0" applyFont="1" applyFill="1" applyProtection="1">
      <protection hidden="1"/>
    </xf>
    <xf numFmtId="0" fontId="9" fillId="9" borderId="10" xfId="0" applyFont="1" applyFill="1" applyBorder="1" applyAlignment="1" applyProtection="1">
      <alignment vertical="top" wrapText="1" shrinkToFit="1"/>
      <protection hidden="1"/>
    </xf>
    <xf numFmtId="0" fontId="9" fillId="7" borderId="10" xfId="0" applyFont="1" applyFill="1" applyBorder="1" applyAlignment="1" applyProtection="1">
      <alignment vertical="top" wrapText="1" shrinkToFit="1"/>
      <protection hidden="1"/>
    </xf>
    <xf numFmtId="0" fontId="12" fillId="4" borderId="0" xfId="0" applyFont="1" applyFill="1" applyAlignment="1" applyProtection="1">
      <alignment vertical="top"/>
      <protection hidden="1"/>
    </xf>
    <xf numFmtId="0" fontId="13" fillId="4" borderId="0" xfId="0" applyFont="1" applyFill="1" applyAlignment="1" applyProtection="1">
      <alignment vertical="top"/>
      <protection hidden="1"/>
    </xf>
    <xf numFmtId="0" fontId="9" fillId="13" borderId="10" xfId="0" applyFont="1" applyFill="1" applyBorder="1" applyAlignment="1" applyProtection="1">
      <alignment vertical="top" wrapText="1" shrinkToFit="1"/>
      <protection hidden="1"/>
    </xf>
    <xf numFmtId="0" fontId="9" fillId="14" borderId="10" xfId="0" applyFont="1" applyFill="1" applyBorder="1" applyAlignment="1" applyProtection="1">
      <alignment vertical="top" wrapText="1" shrinkToFit="1"/>
      <protection hidden="1"/>
    </xf>
    <xf numFmtId="0" fontId="11" fillId="14" borderId="10" xfId="1" applyFont="1" applyFill="1" applyBorder="1" applyAlignment="1" applyProtection="1">
      <alignment vertical="top" wrapText="1" shrinkToFit="1"/>
      <protection hidden="1"/>
    </xf>
    <xf numFmtId="0" fontId="9" fillId="15" borderId="10" xfId="0" applyFont="1" applyFill="1" applyBorder="1" applyAlignment="1" applyProtection="1">
      <alignment vertical="top" wrapText="1" shrinkToFit="1"/>
      <protection hidden="1"/>
    </xf>
    <xf numFmtId="0" fontId="11" fillId="13" borderId="10" xfId="1" applyFont="1" applyFill="1" applyBorder="1" applyAlignment="1" applyProtection="1">
      <alignment vertical="top" wrapText="1" shrinkToFit="1"/>
      <protection hidden="1"/>
    </xf>
    <xf numFmtId="0" fontId="9" fillId="16" borderId="10" xfId="0" applyFont="1" applyFill="1" applyBorder="1" applyAlignment="1" applyProtection="1">
      <alignment vertical="top" wrapText="1" shrinkToFit="1"/>
      <protection hidden="1"/>
    </xf>
    <xf numFmtId="0" fontId="9" fillId="10" borderId="10" xfId="0" applyFont="1" applyFill="1" applyBorder="1" applyAlignment="1" applyProtection="1">
      <alignment vertical="top" wrapText="1" shrinkToFit="1"/>
      <protection hidden="1"/>
    </xf>
    <xf numFmtId="0" fontId="11" fillId="10" borderId="9" xfId="1" applyFont="1" applyFill="1" applyBorder="1" applyAlignment="1" applyProtection="1">
      <alignment vertical="top" wrapText="1" shrinkToFit="1"/>
      <protection hidden="1"/>
    </xf>
    <xf numFmtId="0" fontId="9" fillId="12" borderId="13" xfId="0" applyFont="1" applyFill="1" applyBorder="1" applyAlignment="1" applyProtection="1">
      <alignment horizontal="center" vertical="top" wrapText="1"/>
      <protection hidden="1"/>
    </xf>
    <xf numFmtId="0" fontId="9" fillId="10" borderId="9" xfId="0" applyFont="1" applyFill="1" applyBorder="1" applyAlignment="1" applyProtection="1">
      <alignment vertical="top" wrapText="1" shrinkToFit="1"/>
      <protection hidden="1"/>
    </xf>
    <xf numFmtId="0" fontId="13"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9" fillId="11" borderId="2" xfId="0" applyFont="1" applyFill="1" applyBorder="1" applyAlignment="1" applyProtection="1">
      <alignment vertical="top"/>
      <protection hidden="1"/>
    </xf>
    <xf numFmtId="0" fontId="9" fillId="11" borderId="6" xfId="0" applyFont="1" applyFill="1" applyBorder="1" applyAlignment="1" applyProtection="1">
      <alignment vertical="top"/>
      <protection hidden="1"/>
    </xf>
    <xf numFmtId="0" fontId="20" fillId="0" borderId="0" xfId="0" applyFont="1" applyAlignment="1" applyProtection="1">
      <alignment vertical="top"/>
      <protection hidden="1"/>
    </xf>
    <xf numFmtId="0" fontId="7" fillId="11" borderId="2" xfId="0" applyFont="1" applyFill="1" applyBorder="1" applyAlignment="1" applyProtection="1">
      <alignment horizontal="center" vertical="top"/>
      <protection hidden="1"/>
    </xf>
    <xf numFmtId="0" fontId="7" fillId="11" borderId="3" xfId="0" applyFont="1" applyFill="1" applyBorder="1" applyAlignment="1" applyProtection="1">
      <alignment horizontal="center" vertical="top"/>
      <protection hidden="1"/>
    </xf>
    <xf numFmtId="0" fontId="21" fillId="11" borderId="7" xfId="0" applyFont="1" applyFill="1" applyBorder="1" applyAlignment="1" applyProtection="1">
      <alignment horizontal="center" vertical="top"/>
      <protection hidden="1"/>
    </xf>
    <xf numFmtId="0" fontId="9" fillId="11" borderId="8" xfId="0" applyFont="1" applyFill="1" applyBorder="1" applyAlignment="1" applyProtection="1">
      <alignment vertical="top"/>
      <protection hidden="1"/>
    </xf>
    <xf numFmtId="0" fontId="9" fillId="11" borderId="7" xfId="0" applyFont="1" applyFill="1" applyBorder="1" applyAlignment="1" applyProtection="1">
      <alignment vertical="top"/>
      <protection hidden="1"/>
    </xf>
    <xf numFmtId="0" fontId="17" fillId="11" borderId="0" xfId="0" applyFont="1" applyFill="1" applyAlignment="1" applyProtection="1">
      <alignment vertical="top"/>
      <protection hidden="1"/>
    </xf>
    <xf numFmtId="0" fontId="9" fillId="0" borderId="18" xfId="0" applyFont="1" applyBorder="1" applyAlignment="1" applyProtection="1">
      <alignment vertical="top" wrapText="1"/>
      <protection hidden="1"/>
    </xf>
    <xf numFmtId="0" fontId="16" fillId="0" borderId="0" xfId="3" applyFont="1" applyProtection="1">
      <protection hidden="1"/>
    </xf>
    <xf numFmtId="0" fontId="3" fillId="0" borderId="0" xfId="0" applyFont="1" applyProtection="1">
      <protection hidden="1"/>
    </xf>
    <xf numFmtId="0" fontId="27" fillId="0" borderId="0" xfId="6" applyFont="1" applyProtection="1">
      <protection hidden="1"/>
    </xf>
    <xf numFmtId="0" fontId="27" fillId="0" borderId="0" xfId="7" applyFont="1"/>
    <xf numFmtId="0" fontId="16" fillId="0" borderId="0" xfId="4" applyFont="1" applyProtection="1">
      <protection hidden="1"/>
    </xf>
    <xf numFmtId="0" fontId="30" fillId="11" borderId="2" xfId="0" applyFont="1" applyFill="1" applyBorder="1" applyAlignment="1" applyProtection="1">
      <alignment horizontal="center" vertical="top"/>
      <protection hidden="1"/>
    </xf>
    <xf numFmtId="0" fontId="9" fillId="11" borderId="0" xfId="0" applyFont="1" applyFill="1" applyAlignment="1" applyProtection="1">
      <alignment vertical="top" wrapText="1"/>
      <protection hidden="1"/>
    </xf>
    <xf numFmtId="0" fontId="9" fillId="11" borderId="5" xfId="0" applyFont="1" applyFill="1" applyBorder="1" applyAlignment="1" applyProtection="1">
      <alignment vertical="top"/>
      <protection hidden="1"/>
    </xf>
    <xf numFmtId="0" fontId="30" fillId="11" borderId="0" xfId="0" applyFont="1" applyFill="1" applyAlignment="1" applyProtection="1">
      <alignment horizontal="center" vertical="top"/>
      <protection hidden="1"/>
    </xf>
    <xf numFmtId="0" fontId="7" fillId="2" borderId="3" xfId="0" applyFont="1" applyFill="1" applyBorder="1" applyAlignment="1" applyProtection="1">
      <alignment horizontal="center" vertical="top"/>
      <protection hidden="1"/>
    </xf>
    <xf numFmtId="0" fontId="9" fillId="11" borderId="0" xfId="0" applyFont="1" applyFill="1" applyAlignment="1" applyProtection="1">
      <alignment horizontal="center" vertical="top"/>
      <protection hidden="1"/>
    </xf>
    <xf numFmtId="0" fontId="13" fillId="0" borderId="0" xfId="0" applyFont="1" applyAlignment="1" applyProtection="1">
      <alignment vertical="top"/>
      <protection hidden="1"/>
    </xf>
    <xf numFmtId="0" fontId="9" fillId="11" borderId="10" xfId="0" applyFont="1" applyFill="1" applyBorder="1" applyAlignment="1" applyProtection="1">
      <alignment vertical="top" wrapText="1" shrinkToFit="1"/>
      <protection hidden="1"/>
    </xf>
    <xf numFmtId="0" fontId="11" fillId="11" borderId="10" xfId="1" applyFont="1" applyFill="1" applyBorder="1" applyAlignment="1" applyProtection="1">
      <alignment vertical="top" wrapText="1" shrinkToFit="1"/>
      <protection hidden="1"/>
    </xf>
    <xf numFmtId="0" fontId="21" fillId="2" borderId="8" xfId="0" applyFont="1" applyFill="1" applyBorder="1" applyAlignment="1" applyProtection="1">
      <alignment horizontal="center" vertical="top"/>
      <protection hidden="1"/>
    </xf>
    <xf numFmtId="0" fontId="29" fillId="2" borderId="7" xfId="0" applyFont="1" applyFill="1" applyBorder="1" applyAlignment="1" applyProtection="1">
      <alignment vertical="top" wrapText="1"/>
      <protection hidden="1"/>
    </xf>
    <xf numFmtId="49" fontId="9" fillId="11" borderId="0" xfId="0" applyNumberFormat="1" applyFont="1" applyFill="1" applyAlignment="1" applyProtection="1">
      <alignment vertical="top"/>
      <protection hidden="1"/>
    </xf>
    <xf numFmtId="0" fontId="9" fillId="11" borderId="7" xfId="0" applyFont="1" applyFill="1" applyBorder="1" applyAlignment="1" applyProtection="1">
      <alignment horizontal="center" vertical="top"/>
      <protection hidden="1"/>
    </xf>
    <xf numFmtId="0" fontId="12" fillId="11" borderId="0" xfId="0" applyFont="1" applyFill="1" applyAlignment="1" applyProtection="1">
      <alignment vertical="top"/>
      <protection hidden="1"/>
    </xf>
    <xf numFmtId="0" fontId="13" fillId="11" borderId="0" xfId="0" applyFont="1" applyFill="1" applyAlignment="1" applyProtection="1">
      <alignment vertical="top"/>
      <protection hidden="1"/>
    </xf>
    <xf numFmtId="0" fontId="33" fillId="11" borderId="6" xfId="0" applyFont="1" applyFill="1" applyBorder="1" applyAlignment="1" applyProtection="1">
      <alignment vertical="top"/>
      <protection hidden="1"/>
    </xf>
    <xf numFmtId="49" fontId="10" fillId="0" borderId="0" xfId="0" applyNumberFormat="1" applyFont="1" applyAlignment="1" applyProtection="1">
      <alignment vertical="top" shrinkToFit="1"/>
      <protection locked="0"/>
    </xf>
    <xf numFmtId="1" fontId="10" fillId="3" borderId="0" xfId="0" applyNumberFormat="1" applyFont="1" applyFill="1" applyAlignment="1" applyProtection="1">
      <alignment vertical="top"/>
      <protection locked="0"/>
    </xf>
    <xf numFmtId="165" fontId="10" fillId="0" borderId="0" xfId="0" applyNumberFormat="1" applyFont="1" applyAlignment="1" applyProtection="1">
      <alignment vertical="top" shrinkToFit="1"/>
      <protection locked="0"/>
    </xf>
    <xf numFmtId="1" fontId="10" fillId="0" borderId="0" xfId="0" applyNumberFormat="1" applyFont="1" applyAlignment="1" applyProtection="1">
      <alignment vertical="top" shrinkToFit="1"/>
      <protection locked="0"/>
    </xf>
    <xf numFmtId="49" fontId="9" fillId="0" borderId="0" xfId="0" applyNumberFormat="1" applyFont="1" applyAlignment="1" applyProtection="1">
      <alignment shrinkToFit="1"/>
      <protection locked="0"/>
    </xf>
    <xf numFmtId="1" fontId="9" fillId="3" borderId="0" xfId="0" applyNumberFormat="1" applyFont="1" applyFill="1" applyProtection="1">
      <protection locked="0"/>
    </xf>
    <xf numFmtId="49" fontId="9" fillId="0" borderId="0" xfId="0" applyNumberFormat="1" applyFont="1" applyProtection="1">
      <protection locked="0"/>
    </xf>
    <xf numFmtId="165" fontId="9" fillId="0" borderId="0" xfId="0" applyNumberFormat="1" applyFont="1" applyProtection="1">
      <protection locked="0"/>
    </xf>
    <xf numFmtId="1" fontId="9" fillId="0" borderId="0" xfId="0" applyNumberFormat="1" applyFont="1" applyProtection="1">
      <protection locked="0"/>
    </xf>
    <xf numFmtId="0" fontId="10" fillId="0" borderId="0" xfId="0" applyFont="1" applyAlignment="1" applyProtection="1">
      <alignment vertical="top"/>
      <protection locked="0"/>
    </xf>
    <xf numFmtId="0" fontId="9" fillId="0" borderId="0" xfId="0" applyFont="1" applyAlignment="1" applyProtection="1">
      <alignment vertical="top"/>
      <protection locked="0"/>
    </xf>
    <xf numFmtId="0" fontId="22" fillId="4" borderId="22" xfId="0" applyFont="1" applyFill="1" applyBorder="1" applyAlignment="1" applyProtection="1">
      <alignment horizontal="center" vertical="top"/>
      <protection hidden="1"/>
    </xf>
    <xf numFmtId="0" fontId="22" fillId="4" borderId="23" xfId="0" applyFont="1" applyFill="1" applyBorder="1" applyAlignment="1" applyProtection="1">
      <alignment horizontal="center" vertical="top"/>
      <protection hidden="1"/>
    </xf>
    <xf numFmtId="0" fontId="22" fillId="4" borderId="24" xfId="0" applyFont="1" applyFill="1" applyBorder="1" applyAlignment="1" applyProtection="1">
      <alignment horizontal="center" vertical="top"/>
      <protection hidden="1"/>
    </xf>
    <xf numFmtId="0" fontId="22" fillId="4" borderId="25" xfId="0" applyFont="1" applyFill="1" applyBorder="1" applyAlignment="1" applyProtection="1">
      <alignment horizontal="center" vertical="top"/>
      <protection hidden="1"/>
    </xf>
    <xf numFmtId="0" fontId="22" fillId="4" borderId="26" xfId="0" applyFont="1" applyFill="1" applyBorder="1" applyAlignment="1" applyProtection="1">
      <alignment horizontal="center" vertical="top"/>
      <protection hidden="1"/>
    </xf>
    <xf numFmtId="0" fontId="7" fillId="2" borderId="2" xfId="0" applyFont="1" applyFill="1" applyBorder="1" applyAlignment="1" applyProtection="1">
      <alignment horizontal="center" vertical="top"/>
      <protection hidden="1"/>
    </xf>
    <xf numFmtId="0" fontId="21" fillId="2" borderId="7" xfId="0" applyFont="1" applyFill="1" applyBorder="1" applyAlignment="1" applyProtection="1">
      <alignment horizontal="center" vertical="top"/>
      <protection hidden="1"/>
    </xf>
    <xf numFmtId="0" fontId="11" fillId="11" borderId="34" xfId="1" applyFont="1" applyFill="1" applyBorder="1" applyAlignment="1" applyProtection="1">
      <alignment horizontal="center" vertical="center"/>
      <protection hidden="1"/>
    </xf>
    <xf numFmtId="0" fontId="11" fillId="11" borderId="36" xfId="1" applyFont="1" applyFill="1" applyBorder="1" applyAlignment="1" applyProtection="1">
      <alignment horizontal="center" vertical="center"/>
      <protection hidden="1"/>
    </xf>
    <xf numFmtId="0" fontId="10" fillId="0" borderId="0" xfId="0" applyFont="1" applyAlignment="1" applyProtection="1">
      <alignment vertical="center" wrapText="1"/>
      <protection hidden="1"/>
    </xf>
    <xf numFmtId="0" fontId="10" fillId="0" borderId="12" xfId="0" applyFont="1" applyBorder="1" applyAlignment="1" applyProtection="1">
      <alignment vertical="top"/>
      <protection hidden="1"/>
    </xf>
    <xf numFmtId="0" fontId="9" fillId="0" borderId="0" xfId="0" applyFont="1"/>
    <xf numFmtId="0" fontId="10" fillId="0" borderId="0" xfId="0" applyFont="1" applyAlignment="1" applyProtection="1">
      <alignment vertical="top" wrapText="1" shrinkToFit="1"/>
      <protection hidden="1"/>
    </xf>
    <xf numFmtId="0" fontId="9" fillId="11" borderId="2" xfId="0" applyFont="1" applyFill="1" applyBorder="1" applyAlignment="1" applyProtection="1">
      <alignment vertical="top" wrapText="1"/>
      <protection hidden="1"/>
    </xf>
    <xf numFmtId="0" fontId="9" fillId="11" borderId="3" xfId="0" applyFont="1" applyFill="1" applyBorder="1" applyAlignment="1" applyProtection="1">
      <alignment vertical="top"/>
      <protection hidden="1"/>
    </xf>
    <xf numFmtId="14" fontId="30" fillId="2" borderId="30" xfId="0" applyNumberFormat="1" applyFont="1" applyFill="1" applyBorder="1" applyAlignment="1" applyProtection="1">
      <alignment horizontal="center" vertical="top"/>
      <protection hidden="1"/>
    </xf>
    <xf numFmtId="0" fontId="9" fillId="11" borderId="0" xfId="0" applyFont="1" applyFill="1" applyAlignment="1" applyProtection="1">
      <alignment vertical="center"/>
      <protection hidden="1"/>
    </xf>
    <xf numFmtId="0" fontId="9" fillId="11" borderId="5" xfId="0" applyFont="1" applyFill="1" applyBorder="1" applyAlignment="1" applyProtection="1">
      <alignment vertical="center"/>
      <protection hidden="1"/>
    </xf>
    <xf numFmtId="0" fontId="10" fillId="11" borderId="0" xfId="0" applyFont="1" applyFill="1" applyAlignment="1" applyProtection="1">
      <alignment vertical="top"/>
      <protection hidden="1"/>
    </xf>
    <xf numFmtId="0" fontId="10" fillId="14" borderId="4" xfId="0" applyFont="1" applyFill="1" applyBorder="1" applyAlignment="1" applyProtection="1">
      <alignment vertical="top"/>
      <protection hidden="1"/>
    </xf>
    <xf numFmtId="0" fontId="10" fillId="14" borderId="0" xfId="0" applyFont="1" applyFill="1" applyAlignment="1" applyProtection="1">
      <alignment vertical="top"/>
      <protection hidden="1"/>
    </xf>
    <xf numFmtId="0" fontId="10" fillId="14" borderId="5" xfId="0" applyFont="1" applyFill="1" applyBorder="1" applyAlignment="1" applyProtection="1">
      <alignment vertical="top"/>
      <protection hidden="1"/>
    </xf>
    <xf numFmtId="0" fontId="10" fillId="12" borderId="0" xfId="0" applyFont="1" applyFill="1" applyAlignment="1" applyProtection="1">
      <alignment vertical="top"/>
      <protection hidden="1"/>
    </xf>
    <xf numFmtId="0" fontId="10" fillId="12" borderId="5" xfId="0" applyFont="1" applyFill="1" applyBorder="1" applyAlignment="1" applyProtection="1">
      <alignment vertical="top"/>
      <protection hidden="1"/>
    </xf>
    <xf numFmtId="0" fontId="10" fillId="8" borderId="0" xfId="0" applyFont="1" applyFill="1" applyAlignment="1" applyProtection="1">
      <alignment vertical="top"/>
      <protection hidden="1"/>
    </xf>
    <xf numFmtId="0" fontId="10" fillId="8" borderId="5" xfId="0" applyFont="1" applyFill="1" applyBorder="1" applyAlignment="1" applyProtection="1">
      <alignment vertical="top"/>
      <protection hidden="1"/>
    </xf>
    <xf numFmtId="0" fontId="10" fillId="3" borderId="4" xfId="0" applyFont="1" applyFill="1" applyBorder="1" applyAlignment="1" applyProtection="1">
      <alignment vertical="top"/>
      <protection hidden="1"/>
    </xf>
    <xf numFmtId="0" fontId="10" fillId="3" borderId="0" xfId="0" applyFont="1" applyFill="1" applyAlignment="1" applyProtection="1">
      <alignment vertical="top"/>
      <protection hidden="1"/>
    </xf>
    <xf numFmtId="0" fontId="10" fillId="16" borderId="4" xfId="0" applyFont="1" applyFill="1" applyBorder="1" applyAlignment="1" applyProtection="1">
      <alignment vertical="top"/>
      <protection hidden="1"/>
    </xf>
    <xf numFmtId="0" fontId="10" fillId="9" borderId="4" xfId="0" applyFont="1" applyFill="1" applyBorder="1" applyAlignment="1" applyProtection="1">
      <alignment vertical="top"/>
      <protection hidden="1"/>
    </xf>
    <xf numFmtId="0" fontId="10" fillId="9" borderId="5" xfId="0" applyFont="1" applyFill="1" applyBorder="1" applyAlignment="1" applyProtection="1">
      <alignment vertical="top"/>
      <protection hidden="1"/>
    </xf>
    <xf numFmtId="0" fontId="10" fillId="13" borderId="4" xfId="0" applyFont="1" applyFill="1" applyBorder="1" applyAlignment="1" applyProtection="1">
      <alignment vertical="top"/>
      <protection hidden="1"/>
    </xf>
    <xf numFmtId="0" fontId="10" fillId="13" borderId="0" xfId="0" applyFont="1" applyFill="1" applyAlignment="1" applyProtection="1">
      <alignment vertical="top"/>
      <protection hidden="1"/>
    </xf>
    <xf numFmtId="0" fontId="10" fillId="13" borderId="5" xfId="0" applyFont="1" applyFill="1" applyBorder="1" applyAlignment="1" applyProtection="1">
      <alignment vertical="top"/>
      <protection hidden="1"/>
    </xf>
    <xf numFmtId="0" fontId="10" fillId="15" borderId="4" xfId="0" applyFont="1" applyFill="1" applyBorder="1" applyAlignment="1" applyProtection="1">
      <alignment vertical="top"/>
      <protection hidden="1"/>
    </xf>
    <xf numFmtId="0" fontId="10" fillId="15" borderId="5" xfId="0" applyFont="1" applyFill="1" applyBorder="1" applyAlignment="1" applyProtection="1">
      <alignment vertical="top"/>
      <protection hidden="1"/>
    </xf>
    <xf numFmtId="0" fontId="11" fillId="11" borderId="4" xfId="1" applyFont="1" applyFill="1" applyBorder="1" applyAlignment="1" applyProtection="1">
      <alignment horizontal="center" vertical="center"/>
      <protection hidden="1"/>
    </xf>
    <xf numFmtId="0" fontId="11" fillId="11" borderId="40" xfId="1" applyFont="1" applyFill="1" applyBorder="1" applyAlignment="1" applyProtection="1">
      <alignment horizontal="center" vertical="center"/>
      <protection hidden="1"/>
    </xf>
    <xf numFmtId="0" fontId="0" fillId="11" borderId="2" xfId="0" applyFill="1" applyBorder="1" applyAlignment="1" applyProtection="1">
      <alignment vertical="top"/>
      <protection hidden="1"/>
    </xf>
    <xf numFmtId="0" fontId="12" fillId="11" borderId="7" xfId="0" applyFont="1" applyFill="1" applyBorder="1" applyAlignment="1" applyProtection="1">
      <alignment horizontal="center" vertical="top"/>
      <protection hidden="1"/>
    </xf>
    <xf numFmtId="0" fontId="12" fillId="11" borderId="8" xfId="0" applyFont="1" applyFill="1" applyBorder="1" applyAlignment="1" applyProtection="1">
      <alignment horizontal="center" vertical="top"/>
      <protection hidden="1"/>
    </xf>
    <xf numFmtId="0" fontId="17" fillId="0" borderId="16" xfId="0" applyFont="1" applyBorder="1" applyAlignment="1">
      <alignment vertical="top" wrapText="1"/>
    </xf>
    <xf numFmtId="0" fontId="9" fillId="0" borderId="0" xfId="0" applyFont="1" applyAlignment="1">
      <alignment wrapText="1"/>
    </xf>
    <xf numFmtId="0" fontId="9" fillId="0" borderId="17" xfId="0" applyFont="1" applyBorder="1" applyAlignment="1">
      <alignment vertical="top" wrapText="1" shrinkToFit="1"/>
    </xf>
    <xf numFmtId="0" fontId="9" fillId="0" borderId="18" xfId="0" applyFont="1" applyBorder="1" applyAlignment="1">
      <alignment vertical="top" wrapText="1"/>
    </xf>
    <xf numFmtId="0" fontId="9" fillId="0" borderId="19" xfId="0" applyFont="1" applyBorder="1" applyAlignment="1">
      <alignment vertical="top" wrapText="1"/>
    </xf>
    <xf numFmtId="0" fontId="18" fillId="0" borderId="0" xfId="0" applyFont="1" applyAlignment="1">
      <alignment vertical="top" wrapText="1"/>
    </xf>
    <xf numFmtId="0" fontId="31" fillId="0" borderId="0" xfId="0" applyFont="1" applyAlignment="1" applyProtection="1">
      <alignment horizontal="center" vertical="top"/>
      <protection hidden="1"/>
    </xf>
    <xf numFmtId="0" fontId="10" fillId="0" borderId="0" xfId="5" applyFont="1" applyAlignment="1" applyProtection="1">
      <alignment vertical="top"/>
      <protection hidden="1"/>
    </xf>
    <xf numFmtId="0" fontId="10" fillId="0" borderId="0" xfId="5" applyFont="1" applyAlignment="1" applyProtection="1">
      <alignment vertical="top" wrapText="1"/>
      <protection hidden="1"/>
    </xf>
    <xf numFmtId="0" fontId="10" fillId="0" borderId="0" xfId="0" applyFont="1" applyAlignment="1" applyProtection="1">
      <alignment horizontal="center" vertical="top" wrapText="1"/>
      <protection hidden="1"/>
    </xf>
    <xf numFmtId="0" fontId="12" fillId="17" borderId="13" xfId="0" applyFont="1" applyFill="1" applyBorder="1" applyAlignment="1" applyProtection="1">
      <alignment vertical="top" wrapText="1"/>
      <protection hidden="1"/>
    </xf>
    <xf numFmtId="0" fontId="12" fillId="17" borderId="13" xfId="0" applyFont="1" applyFill="1" applyBorder="1" applyAlignment="1" applyProtection="1">
      <alignment horizontal="center" vertical="top" wrapText="1"/>
      <protection hidden="1"/>
    </xf>
    <xf numFmtId="0" fontId="9" fillId="20" borderId="0" xfId="0" applyFont="1" applyFill="1" applyAlignment="1">
      <alignment horizontal="center" vertical="top" wrapText="1"/>
    </xf>
    <xf numFmtId="0" fontId="31" fillId="0" borderId="0" xfId="0" applyFont="1" applyAlignment="1" applyProtection="1">
      <alignment horizontal="left" vertical="top"/>
      <protection hidden="1"/>
    </xf>
    <xf numFmtId="0" fontId="10" fillId="0" borderId="0" xfId="0" applyFont="1" applyAlignment="1" applyProtection="1">
      <alignment horizontal="left" vertical="top" wrapText="1"/>
      <protection hidden="1"/>
    </xf>
    <xf numFmtId="0" fontId="12" fillId="17" borderId="13" xfId="0" applyFont="1" applyFill="1" applyBorder="1" applyAlignment="1" applyProtection="1">
      <alignment horizontal="left" vertical="top" wrapText="1"/>
      <protection hidden="1"/>
    </xf>
    <xf numFmtId="0" fontId="10" fillId="0" borderId="11" xfId="0" applyFont="1" applyBorder="1" applyAlignment="1" applyProtection="1">
      <alignment horizontal="left" vertical="top" wrapText="1"/>
      <protection hidden="1"/>
    </xf>
    <xf numFmtId="0" fontId="9" fillId="0" borderId="11" xfId="0" applyFont="1" applyBorder="1" applyAlignment="1" applyProtection="1">
      <alignment horizontal="left" vertical="top" wrapText="1"/>
      <protection hidden="1"/>
    </xf>
    <xf numFmtId="0" fontId="9" fillId="11" borderId="11" xfId="0" applyFont="1" applyFill="1" applyBorder="1" applyAlignment="1" applyProtection="1">
      <alignment horizontal="left" vertical="top" wrapText="1" shrinkToFit="1"/>
      <protection hidden="1"/>
    </xf>
    <xf numFmtId="0" fontId="9" fillId="16" borderId="11" xfId="0" applyFont="1" applyFill="1" applyBorder="1" applyAlignment="1" applyProtection="1">
      <alignment horizontal="left" vertical="top" wrapText="1" shrinkToFit="1"/>
      <protection hidden="1"/>
    </xf>
    <xf numFmtId="0" fontId="9" fillId="6" borderId="11" xfId="0" applyFont="1" applyFill="1" applyBorder="1" applyAlignment="1" applyProtection="1">
      <alignment horizontal="left" vertical="top" wrapText="1"/>
      <protection hidden="1"/>
    </xf>
    <xf numFmtId="0" fontId="9" fillId="0" borderId="0" xfId="0" applyFont="1" applyAlignment="1">
      <alignment horizontal="left"/>
    </xf>
    <xf numFmtId="0" fontId="9" fillId="0" borderId="17" xfId="0" applyFont="1" applyBorder="1" applyAlignment="1" applyProtection="1">
      <alignment vertical="top" wrapText="1" shrinkToFit="1"/>
      <protection hidden="1"/>
    </xf>
    <xf numFmtId="0" fontId="9" fillId="0" borderId="17" xfId="0" applyFont="1" applyBorder="1" applyAlignment="1">
      <alignment vertical="top" wrapText="1"/>
    </xf>
    <xf numFmtId="0" fontId="9" fillId="11" borderId="0" xfId="0" applyFont="1" applyFill="1" applyAlignment="1" applyProtection="1">
      <alignment vertical="top"/>
      <protection hidden="1"/>
    </xf>
    <xf numFmtId="49" fontId="9" fillId="0" borderId="0" xfId="0" applyNumberFormat="1" applyFont="1" applyAlignment="1" applyProtection="1">
      <alignment vertical="top"/>
      <protection locked="0"/>
    </xf>
    <xf numFmtId="0" fontId="9" fillId="11" borderId="4" xfId="0" applyFont="1" applyFill="1" applyBorder="1" applyAlignment="1" applyProtection="1">
      <alignment horizontal="right" vertical="top"/>
      <protection hidden="1"/>
    </xf>
    <xf numFmtId="0" fontId="9" fillId="11" borderId="0" xfId="0" applyFont="1" applyFill="1" applyAlignment="1" applyProtection="1">
      <alignment horizontal="right" vertical="top"/>
      <protection hidden="1"/>
    </xf>
    <xf numFmtId="0" fontId="9" fillId="0" borderId="0" xfId="0" applyFont="1" applyAlignment="1" applyProtection="1">
      <alignment horizontal="center" vertical="top"/>
      <protection hidden="1"/>
    </xf>
    <xf numFmtId="14" fontId="30" fillId="2" borderId="29" xfId="0" applyNumberFormat="1" applyFont="1" applyFill="1" applyBorder="1" applyAlignment="1" applyProtection="1">
      <alignment horizontal="center" vertical="top"/>
      <protection hidden="1"/>
    </xf>
    <xf numFmtId="164" fontId="10" fillId="11" borderId="0" xfId="0" applyNumberFormat="1" applyFont="1" applyFill="1" applyAlignment="1" applyProtection="1">
      <alignment vertical="center"/>
      <protection hidden="1"/>
    </xf>
    <xf numFmtId="164" fontId="10" fillId="11" borderId="8" xfId="0" applyNumberFormat="1" applyFont="1" applyFill="1" applyBorder="1" applyAlignment="1" applyProtection="1">
      <alignment vertical="center"/>
      <protection hidden="1"/>
    </xf>
    <xf numFmtId="0" fontId="9" fillId="11" borderId="10" xfId="0" applyFont="1" applyFill="1" applyBorder="1" applyAlignment="1" applyProtection="1">
      <alignment vertical="top" wrapText="1"/>
      <protection hidden="1"/>
    </xf>
    <xf numFmtId="0" fontId="9" fillId="11" borderId="5" xfId="0" applyFont="1" applyFill="1" applyBorder="1" applyAlignment="1" applyProtection="1">
      <alignment vertical="top" wrapText="1"/>
      <protection hidden="1"/>
    </xf>
    <xf numFmtId="0" fontId="11" fillId="11" borderId="0" xfId="1" applyFont="1" applyFill="1" applyBorder="1" applyAlignment="1" applyProtection="1">
      <alignment horizontal="center" vertical="top" wrapText="1"/>
      <protection hidden="1"/>
    </xf>
    <xf numFmtId="0" fontId="9" fillId="11" borderId="4" xfId="0" applyFont="1" applyFill="1" applyBorder="1" applyAlignment="1" applyProtection="1">
      <alignment vertical="top"/>
      <protection hidden="1"/>
    </xf>
    <xf numFmtId="0" fontId="2" fillId="0" borderId="0" xfId="0" applyFont="1" applyAlignment="1">
      <alignment vertical="top" wrapText="1"/>
    </xf>
    <xf numFmtId="0" fontId="3" fillId="0" borderId="0" xfId="0" applyFont="1" applyAlignment="1" applyProtection="1">
      <alignment vertical="top"/>
      <protection hidden="1"/>
    </xf>
    <xf numFmtId="0" fontId="36" fillId="0" borderId="0" xfId="5" applyFont="1" applyAlignment="1" applyProtection="1">
      <alignment vertical="top"/>
      <protection hidden="1"/>
    </xf>
    <xf numFmtId="0" fontId="37" fillId="0" borderId="0" xfId="5" applyFont="1" applyAlignment="1" applyProtection="1">
      <alignment vertical="top"/>
      <protection hidden="1"/>
    </xf>
    <xf numFmtId="0" fontId="38" fillId="0" borderId="0" xfId="0" applyFont="1" applyAlignment="1" applyProtection="1">
      <alignment vertical="top" wrapText="1"/>
      <protection hidden="1"/>
    </xf>
    <xf numFmtId="49" fontId="10" fillId="0" borderId="0" xfId="0" applyNumberFormat="1" applyFont="1" applyAlignment="1" applyProtection="1">
      <alignment vertical="top"/>
      <protection locked="0"/>
    </xf>
    <xf numFmtId="164" fontId="10" fillId="0" borderId="4" xfId="0" applyNumberFormat="1" applyFont="1" applyBorder="1" applyAlignment="1" applyProtection="1">
      <alignment vertical="top"/>
      <protection locked="0"/>
    </xf>
    <xf numFmtId="164" fontId="10" fillId="0" borderId="0" xfId="0" applyNumberFormat="1" applyFont="1" applyAlignment="1" applyProtection="1">
      <alignment vertical="top"/>
      <protection locked="0"/>
    </xf>
    <xf numFmtId="49" fontId="10" fillId="0" borderId="4" xfId="0" applyNumberFormat="1" applyFont="1" applyBorder="1" applyAlignment="1" applyProtection="1">
      <alignment horizontal="center" vertical="top"/>
      <protection locked="0"/>
    </xf>
    <xf numFmtId="49" fontId="10" fillId="0" borderId="0" xfId="0" applyNumberFormat="1" applyFont="1" applyAlignment="1" applyProtection="1">
      <alignment horizontal="center" vertical="top"/>
      <protection locked="0"/>
    </xf>
    <xf numFmtId="164" fontId="10" fillId="0" borderId="5" xfId="0" applyNumberFormat="1" applyFont="1" applyBorder="1" applyAlignment="1" applyProtection="1">
      <alignment vertical="top"/>
      <protection locked="0"/>
    </xf>
    <xf numFmtId="0" fontId="40" fillId="0" borderId="0" xfId="0" applyFont="1" applyProtection="1">
      <protection locked="0"/>
    </xf>
    <xf numFmtId="49" fontId="40" fillId="0" borderId="0" xfId="0" applyNumberFormat="1" applyFont="1" applyProtection="1">
      <protection locked="0"/>
    </xf>
    <xf numFmtId="49" fontId="9" fillId="0" borderId="0" xfId="0" applyNumberFormat="1" applyFont="1" applyAlignment="1" applyProtection="1">
      <alignment vertical="center" wrapText="1"/>
      <protection locked="0"/>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9" fillId="11" borderId="2" xfId="0" applyFont="1" applyFill="1" applyBorder="1" applyProtection="1">
      <protection hidden="1"/>
    </xf>
    <xf numFmtId="0" fontId="9" fillId="11" borderId="3" xfId="0" applyFont="1" applyFill="1" applyBorder="1" applyProtection="1">
      <protection hidden="1"/>
    </xf>
    <xf numFmtId="0" fontId="9" fillId="11" borderId="0" xfId="0" applyFont="1" applyFill="1" applyProtection="1">
      <protection hidden="1"/>
    </xf>
    <xf numFmtId="0" fontId="9" fillId="11" borderId="5" xfId="0" applyFont="1" applyFill="1" applyBorder="1" applyProtection="1">
      <protection hidden="1"/>
    </xf>
    <xf numFmtId="0" fontId="9" fillId="11" borderId="4" xfId="0" applyFont="1" applyFill="1" applyBorder="1" applyProtection="1">
      <protection hidden="1"/>
    </xf>
    <xf numFmtId="0" fontId="9" fillId="11" borderId="6" xfId="0" applyFont="1" applyFill="1" applyBorder="1" applyProtection="1">
      <protection hidden="1"/>
    </xf>
    <xf numFmtId="0" fontId="9" fillId="11" borderId="7" xfId="0" applyFont="1" applyFill="1" applyBorder="1" applyProtection="1">
      <protection hidden="1"/>
    </xf>
    <xf numFmtId="0" fontId="9" fillId="11" borderId="8" xfId="0" applyFont="1" applyFill="1" applyBorder="1" applyProtection="1">
      <protection hidden="1"/>
    </xf>
    <xf numFmtId="0" fontId="20" fillId="0" borderId="0" xfId="0" applyFont="1" applyProtection="1">
      <protection hidden="1"/>
    </xf>
    <xf numFmtId="0" fontId="20" fillId="0" borderId="5" xfId="0" applyFont="1" applyBorder="1" applyProtection="1">
      <protection hidden="1"/>
    </xf>
    <xf numFmtId="0" fontId="11" fillId="4" borderId="10" xfId="1" applyFont="1" applyFill="1" applyBorder="1" applyAlignment="1" applyProtection="1">
      <alignment vertical="top" wrapText="1" shrinkToFit="1"/>
      <protection hidden="1"/>
    </xf>
    <xf numFmtId="0" fontId="22" fillId="4" borderId="27" xfId="0" applyFont="1" applyFill="1" applyBorder="1" applyAlignment="1" applyProtection="1">
      <alignment vertical="top"/>
      <protection hidden="1"/>
    </xf>
    <xf numFmtId="0" fontId="9" fillId="7" borderId="6" xfId="0" applyFont="1" applyFill="1" applyBorder="1" applyAlignment="1" applyProtection="1">
      <alignment horizontal="left" vertical="top" wrapText="1" shrinkToFit="1"/>
      <protection hidden="1"/>
    </xf>
    <xf numFmtId="0" fontId="9" fillId="20" borderId="5" xfId="0" applyFont="1" applyFill="1" applyBorder="1" applyAlignment="1">
      <alignment vertical="top" wrapText="1"/>
    </xf>
    <xf numFmtId="0" fontId="9" fillId="20" borderId="3" xfId="0" applyFont="1" applyFill="1" applyBorder="1" applyAlignment="1">
      <alignment vertical="top" wrapText="1"/>
    </xf>
    <xf numFmtId="0" fontId="32" fillId="11" borderId="13" xfId="0" applyFont="1" applyFill="1" applyBorder="1" applyAlignment="1" applyProtection="1">
      <alignment horizontal="center" vertical="top"/>
      <protection hidden="1"/>
    </xf>
    <xf numFmtId="0" fontId="11" fillId="11" borderId="4" xfId="1" applyFont="1" applyFill="1" applyBorder="1" applyAlignment="1" applyProtection="1">
      <alignment horizontal="right" vertical="top"/>
      <protection hidden="1"/>
    </xf>
    <xf numFmtId="0" fontId="9" fillId="0" borderId="46" xfId="0" applyFont="1" applyBorder="1" applyAlignment="1">
      <alignment vertical="top" wrapText="1"/>
    </xf>
    <xf numFmtId="0" fontId="18" fillId="0" borderId="46" xfId="0" applyFont="1" applyBorder="1" applyAlignment="1">
      <alignment vertical="top" wrapText="1"/>
    </xf>
    <xf numFmtId="0" fontId="18" fillId="0" borderId="47" xfId="0" applyFont="1" applyBorder="1" applyAlignment="1">
      <alignment vertical="top" wrapText="1"/>
    </xf>
    <xf numFmtId="0" fontId="9" fillId="20" borderId="12" xfId="0" applyFont="1" applyFill="1" applyBorder="1" applyAlignment="1">
      <alignment horizontal="center" vertical="top" wrapText="1"/>
    </xf>
    <xf numFmtId="0" fontId="2" fillId="0" borderId="0" xfId="0" applyFont="1"/>
    <xf numFmtId="0" fontId="2" fillId="0" borderId="7" xfId="0" applyFont="1" applyBorder="1"/>
    <xf numFmtId="0" fontId="2" fillId="0" borderId="2" xfId="0" applyFont="1" applyBorder="1"/>
    <xf numFmtId="0" fontId="28" fillId="0" borderId="2" xfId="0" applyFont="1" applyBorder="1"/>
    <xf numFmtId="0" fontId="28" fillId="0" borderId="0" xfId="0" applyFont="1"/>
    <xf numFmtId="0" fontId="28" fillId="0" borderId="7" xfId="0" applyFont="1" applyBorder="1"/>
    <xf numFmtId="0" fontId="11" fillId="11" borderId="6" xfId="1" applyFont="1" applyFill="1" applyBorder="1" applyAlignment="1" applyProtection="1">
      <alignment horizontal="left" vertical="top" wrapText="1" shrinkToFit="1"/>
      <protection hidden="1"/>
    </xf>
    <xf numFmtId="0" fontId="9" fillId="11" borderId="6" xfId="0" applyFont="1" applyFill="1" applyBorder="1" applyAlignment="1" applyProtection="1">
      <alignment horizontal="left" vertical="top" wrapText="1" shrinkToFit="1"/>
      <protection hidden="1"/>
    </xf>
    <xf numFmtId="0" fontId="9" fillId="4" borderId="6" xfId="0" applyFont="1" applyFill="1" applyBorder="1" applyAlignment="1" applyProtection="1">
      <alignment horizontal="left" vertical="top" wrapText="1" shrinkToFit="1"/>
      <protection hidden="1"/>
    </xf>
    <xf numFmtId="0" fontId="9" fillId="14" borderId="6" xfId="0" applyFont="1" applyFill="1" applyBorder="1" applyAlignment="1" applyProtection="1">
      <alignment horizontal="left" vertical="top" wrapText="1" shrinkToFit="1"/>
      <protection hidden="1"/>
    </xf>
    <xf numFmtId="0" fontId="11" fillId="14" borderId="6" xfId="1" applyFont="1" applyFill="1" applyBorder="1" applyAlignment="1" applyProtection="1">
      <alignment horizontal="left" vertical="top" wrapText="1" shrinkToFit="1"/>
      <protection hidden="1"/>
    </xf>
    <xf numFmtId="0" fontId="9" fillId="12" borderId="6" xfId="0" applyFont="1" applyFill="1" applyBorder="1" applyAlignment="1" applyProtection="1">
      <alignment horizontal="left" vertical="top" wrapText="1"/>
      <protection hidden="1"/>
    </xf>
    <xf numFmtId="0" fontId="9" fillId="10" borderId="6" xfId="0" applyFont="1" applyFill="1" applyBorder="1" applyAlignment="1" applyProtection="1">
      <alignment horizontal="left" vertical="top" wrapText="1" shrinkToFit="1"/>
      <protection hidden="1"/>
    </xf>
    <xf numFmtId="0" fontId="11" fillId="10" borderId="6" xfId="1" applyFont="1" applyFill="1" applyBorder="1" applyAlignment="1" applyProtection="1">
      <alignment horizontal="left" vertical="top" wrapText="1" shrinkToFit="1"/>
      <protection hidden="1"/>
    </xf>
    <xf numFmtId="0" fontId="9" fillId="16" borderId="6" xfId="0" applyFont="1" applyFill="1" applyBorder="1" applyAlignment="1" applyProtection="1">
      <alignment horizontal="left" vertical="top" wrapText="1" shrinkToFit="1"/>
      <protection hidden="1"/>
    </xf>
    <xf numFmtId="0" fontId="9" fillId="9" borderId="6" xfId="0" applyFont="1" applyFill="1" applyBorder="1" applyAlignment="1" applyProtection="1">
      <alignment horizontal="left" vertical="top" wrapText="1" shrinkToFit="1"/>
      <protection hidden="1"/>
    </xf>
    <xf numFmtId="0" fontId="9" fillId="13" borderId="6" xfId="0" applyFont="1" applyFill="1" applyBorder="1" applyAlignment="1" applyProtection="1">
      <alignment horizontal="left" vertical="top" wrapText="1" shrinkToFit="1"/>
      <protection hidden="1"/>
    </xf>
    <xf numFmtId="0" fontId="11" fillId="13" borderId="6" xfId="1" applyFont="1" applyFill="1" applyBorder="1" applyAlignment="1" applyProtection="1">
      <alignment horizontal="left" vertical="top" wrapText="1" shrinkToFit="1"/>
      <protection hidden="1"/>
    </xf>
    <xf numFmtId="0" fontId="9" fillId="15" borderId="6" xfId="0" applyFont="1" applyFill="1" applyBorder="1" applyAlignment="1" applyProtection="1">
      <alignment horizontal="left" vertical="top" wrapText="1" shrinkToFit="1"/>
      <protection hidden="1"/>
    </xf>
    <xf numFmtId="0" fontId="9" fillId="6" borderId="6" xfId="0" applyFont="1" applyFill="1" applyBorder="1" applyAlignment="1" applyProtection="1">
      <alignment horizontal="left" vertical="top" wrapText="1"/>
      <protection hidden="1"/>
    </xf>
    <xf numFmtId="0" fontId="11" fillId="6" borderId="6" xfId="1" applyFont="1" applyFill="1" applyBorder="1" applyAlignment="1" applyProtection="1">
      <alignment horizontal="left" vertical="top" wrapText="1"/>
      <protection hidden="1"/>
    </xf>
    <xf numFmtId="0" fontId="9" fillId="3" borderId="11" xfId="0" applyFont="1" applyFill="1" applyBorder="1" applyAlignment="1" applyProtection="1">
      <alignment horizontal="left" vertical="top" wrapText="1"/>
      <protection hidden="1"/>
    </xf>
    <xf numFmtId="0" fontId="9" fillId="3" borderId="6" xfId="0" applyFont="1" applyFill="1" applyBorder="1" applyAlignment="1" applyProtection="1">
      <alignment horizontal="left" vertical="top" wrapText="1"/>
      <protection hidden="1"/>
    </xf>
    <xf numFmtId="0" fontId="10" fillId="0" borderId="6" xfId="0" applyFont="1" applyBorder="1" applyAlignment="1" applyProtection="1">
      <alignment horizontal="center" vertical="top" wrapText="1"/>
      <protection hidden="1"/>
    </xf>
    <xf numFmtId="0" fontId="9" fillId="0" borderId="6" xfId="0" applyFont="1" applyBorder="1" applyAlignment="1" applyProtection="1">
      <alignment horizontal="center" vertical="top" wrapText="1"/>
      <protection hidden="1"/>
    </xf>
    <xf numFmtId="0" fontId="9" fillId="0" borderId="6" xfId="0" applyFont="1" applyBorder="1" applyAlignment="1">
      <alignment horizontal="center" vertical="top" wrapText="1"/>
    </xf>
    <xf numFmtId="0" fontId="10" fillId="0" borderId="15" xfId="0" applyFont="1" applyBorder="1" applyAlignment="1" applyProtection="1">
      <alignment vertical="top" wrapText="1"/>
      <protection hidden="1"/>
    </xf>
    <xf numFmtId="0" fontId="9" fillId="0" borderId="15" xfId="0" applyFont="1" applyBorder="1" applyAlignment="1" applyProtection="1">
      <alignment vertical="top" wrapText="1"/>
      <protection hidden="1"/>
    </xf>
    <xf numFmtId="0" fontId="9" fillId="0" borderId="15" xfId="0" applyFont="1" applyBorder="1" applyAlignment="1">
      <alignment vertical="top" wrapText="1"/>
    </xf>
    <xf numFmtId="0" fontId="10" fillId="0" borderId="6" xfId="0" applyFont="1" applyBorder="1" applyAlignment="1" applyProtection="1">
      <alignment horizontal="left" vertical="top" wrapText="1"/>
      <protection hidden="1"/>
    </xf>
    <xf numFmtId="0" fontId="10" fillId="0" borderId="11" xfId="0" applyFont="1" applyBorder="1" applyAlignment="1" applyProtection="1">
      <alignment horizontal="center" vertical="top" wrapText="1"/>
      <protection hidden="1"/>
    </xf>
    <xf numFmtId="0" fontId="10" fillId="0" borderId="10" xfId="0" applyFont="1" applyBorder="1" applyAlignment="1" applyProtection="1">
      <alignment vertical="top" wrapText="1"/>
      <protection hidden="1"/>
    </xf>
    <xf numFmtId="0" fontId="9" fillId="0" borderId="6" xfId="0" applyFont="1" applyBorder="1" applyAlignment="1" applyProtection="1">
      <alignment horizontal="left" vertical="top" wrapText="1"/>
      <protection hidden="1"/>
    </xf>
    <xf numFmtId="0" fontId="9" fillId="0" borderId="11" xfId="0" applyFont="1" applyBorder="1" applyAlignment="1" applyProtection="1">
      <alignment horizontal="center" vertical="top" wrapText="1"/>
      <protection hidden="1"/>
    </xf>
    <xf numFmtId="0" fontId="9" fillId="0" borderId="10" xfId="0" applyFont="1" applyBorder="1" applyAlignment="1" applyProtection="1">
      <alignment vertical="top" wrapText="1"/>
      <protection hidden="1"/>
    </xf>
    <xf numFmtId="0" fontId="9" fillId="0" borderId="11" xfId="0" applyFont="1" applyBorder="1" applyAlignment="1">
      <alignment horizontal="center" vertical="top" wrapText="1"/>
    </xf>
    <xf numFmtId="0" fontId="9" fillId="0" borderId="10" xfId="0" applyFont="1" applyBorder="1" applyAlignment="1">
      <alignment vertical="top" wrapText="1"/>
    </xf>
    <xf numFmtId="0" fontId="9" fillId="0" borderId="11" xfId="0" applyFont="1" applyBorder="1" applyAlignment="1" applyProtection="1">
      <alignment horizontal="center" vertical="top" wrapText="1" shrinkToFit="1"/>
      <protection hidden="1"/>
    </xf>
    <xf numFmtId="0" fontId="9" fillId="0" borderId="6" xfId="0" applyFont="1" applyBorder="1" applyAlignment="1" applyProtection="1">
      <alignment horizontal="center" vertical="top" wrapText="1" shrinkToFit="1"/>
      <protection hidden="1"/>
    </xf>
    <xf numFmtId="0" fontId="16" fillId="19" borderId="1" xfId="3" applyFont="1" applyFill="1" applyBorder="1" applyProtection="1">
      <protection hidden="1"/>
    </xf>
    <xf numFmtId="0" fontId="16" fillId="19" borderId="2" xfId="3" applyFont="1" applyFill="1" applyBorder="1" applyProtection="1">
      <protection hidden="1"/>
    </xf>
    <xf numFmtId="0" fontId="16" fillId="19" borderId="3" xfId="3" applyFont="1" applyFill="1" applyBorder="1" applyProtection="1">
      <protection hidden="1"/>
    </xf>
    <xf numFmtId="0" fontId="2" fillId="0" borderId="4" xfId="0" applyFont="1" applyBorder="1"/>
    <xf numFmtId="0" fontId="43" fillId="0" borderId="0" xfId="0" applyFont="1"/>
    <xf numFmtId="0" fontId="2" fillId="0" borderId="5" xfId="0" applyFont="1" applyBorder="1"/>
    <xf numFmtId="0" fontId="2" fillId="0" borderId="1" xfId="0" applyFont="1" applyBorder="1"/>
    <xf numFmtId="0" fontId="2" fillId="0" borderId="3" xfId="0" applyFont="1" applyBorder="1"/>
    <xf numFmtId="0" fontId="2" fillId="0" borderId="6" xfId="0" applyFont="1" applyBorder="1"/>
    <xf numFmtId="0" fontId="2" fillId="0" borderId="8" xfId="0" applyFont="1" applyBorder="1"/>
    <xf numFmtId="0" fontId="27" fillId="19" borderId="1" xfId="6" applyFont="1" applyFill="1" applyBorder="1" applyProtection="1">
      <protection hidden="1"/>
    </xf>
    <xf numFmtId="0" fontId="27" fillId="19" borderId="2" xfId="6" applyFont="1" applyFill="1" applyBorder="1" applyProtection="1">
      <protection hidden="1"/>
    </xf>
    <xf numFmtId="0" fontId="27" fillId="19" borderId="3" xfId="6" applyFont="1" applyFill="1" applyBorder="1" applyProtection="1">
      <protection hidden="1"/>
    </xf>
    <xf numFmtId="0" fontId="27" fillId="0" borderId="4" xfId="6" applyFont="1" applyBorder="1" applyProtection="1">
      <protection hidden="1"/>
    </xf>
    <xf numFmtId="0" fontId="27" fillId="0" borderId="5" xfId="6" applyFont="1" applyBorder="1" applyProtection="1">
      <protection hidden="1"/>
    </xf>
    <xf numFmtId="0" fontId="27" fillId="0" borderId="6" xfId="6" applyFont="1" applyBorder="1" applyProtection="1">
      <protection hidden="1"/>
    </xf>
    <xf numFmtId="0" fontId="27" fillId="0" borderId="7" xfId="6" applyFont="1" applyBorder="1" applyProtection="1">
      <protection hidden="1"/>
    </xf>
    <xf numFmtId="0" fontId="27" fillId="0" borderId="8" xfId="6" applyFont="1" applyBorder="1" applyProtection="1">
      <protection hidden="1"/>
    </xf>
    <xf numFmtId="0" fontId="2" fillId="11" borderId="1" xfId="0" applyFont="1" applyFill="1" applyBorder="1" applyProtection="1">
      <protection hidden="1"/>
    </xf>
    <xf numFmtId="0" fontId="2" fillId="11" borderId="2" xfId="0" applyFont="1" applyFill="1" applyBorder="1" applyProtection="1">
      <protection hidden="1"/>
    </xf>
    <xf numFmtId="0" fontId="2" fillId="11" borderId="3" xfId="0" applyFont="1" applyFill="1" applyBorder="1" applyProtection="1">
      <protection hidden="1"/>
    </xf>
    <xf numFmtId="0" fontId="2" fillId="0" borderId="4" xfId="0" applyFont="1" applyBorder="1" applyProtection="1">
      <protection hidden="1"/>
    </xf>
    <xf numFmtId="0" fontId="2" fillId="9" borderId="5" xfId="0" applyFont="1" applyFill="1" applyBorder="1" applyProtection="1">
      <protection hidden="1"/>
    </xf>
    <xf numFmtId="0" fontId="2" fillId="0" borderId="6" xfId="0" applyFont="1" applyBorder="1" applyProtection="1">
      <protection hidden="1"/>
    </xf>
    <xf numFmtId="0" fontId="2" fillId="0" borderId="7" xfId="0" applyFont="1" applyBorder="1" applyProtection="1">
      <protection hidden="1"/>
    </xf>
    <xf numFmtId="0" fontId="2" fillId="9" borderId="8" xfId="0" applyFont="1" applyFill="1" applyBorder="1" applyProtection="1">
      <protection hidden="1"/>
    </xf>
    <xf numFmtId="0" fontId="16" fillId="0" borderId="4" xfId="3" applyFont="1" applyBorder="1" applyProtection="1">
      <protection hidden="1"/>
    </xf>
    <xf numFmtId="0" fontId="16" fillId="0" borderId="5" xfId="3" applyFont="1" applyBorder="1" applyProtection="1">
      <protection hidden="1"/>
    </xf>
    <xf numFmtId="0" fontId="2" fillId="0" borderId="5" xfId="0" applyFont="1" applyBorder="1" applyProtection="1">
      <protection hidden="1"/>
    </xf>
    <xf numFmtId="0" fontId="16" fillId="0" borderId="6" xfId="3" applyFont="1" applyBorder="1" applyProtection="1">
      <protection hidden="1"/>
    </xf>
    <xf numFmtId="0" fontId="16" fillId="0" borderId="7" xfId="3" applyFont="1" applyBorder="1" applyProtection="1">
      <protection hidden="1"/>
    </xf>
    <xf numFmtId="0" fontId="16" fillId="0" borderId="8" xfId="3" applyFont="1" applyBorder="1" applyProtection="1">
      <protection hidden="1"/>
    </xf>
    <xf numFmtId="0" fontId="27" fillId="19" borderId="1" xfId="7" applyFont="1" applyFill="1" applyBorder="1"/>
    <xf numFmtId="0" fontId="27" fillId="19" borderId="2" xfId="7" applyFont="1" applyFill="1" applyBorder="1"/>
    <xf numFmtId="0" fontId="27" fillId="19" borderId="3" xfId="7" applyFont="1" applyFill="1" applyBorder="1"/>
    <xf numFmtId="0" fontId="27" fillId="0" borderId="4" xfId="7" applyFont="1" applyBorder="1"/>
    <xf numFmtId="0" fontId="27" fillId="0" borderId="5" xfId="7" applyFont="1" applyBorder="1"/>
    <xf numFmtId="0" fontId="27" fillId="0" borderId="6" xfId="7" applyFont="1" applyBorder="1"/>
    <xf numFmtId="0" fontId="27" fillId="0" borderId="7" xfId="7" applyFont="1" applyBorder="1"/>
    <xf numFmtId="0" fontId="27" fillId="0" borderId="8" xfId="7" applyFont="1" applyBorder="1"/>
    <xf numFmtId="0" fontId="16" fillId="19" borderId="1" xfId="4" applyFont="1" applyFill="1" applyBorder="1" applyProtection="1">
      <protection hidden="1"/>
    </xf>
    <xf numFmtId="0" fontId="16" fillId="19" borderId="3" xfId="4" applyFont="1" applyFill="1" applyBorder="1" applyProtection="1">
      <protection hidden="1"/>
    </xf>
    <xf numFmtId="0" fontId="16" fillId="0" borderId="4" xfId="4" applyFont="1" applyBorder="1" applyProtection="1">
      <protection hidden="1"/>
    </xf>
    <xf numFmtId="0" fontId="16" fillId="0" borderId="5" xfId="4" applyFont="1" applyBorder="1" applyProtection="1">
      <protection hidden="1"/>
    </xf>
    <xf numFmtId="0" fontId="16" fillId="0" borderId="6" xfId="4" applyFont="1" applyBorder="1" applyProtection="1">
      <protection hidden="1"/>
    </xf>
    <xf numFmtId="0" fontId="16" fillId="0" borderId="8" xfId="4" applyFont="1" applyBorder="1" applyProtection="1">
      <protection hidden="1"/>
    </xf>
    <xf numFmtId="0" fontId="2" fillId="0" borderId="8" xfId="0" applyFont="1" applyBorder="1" applyProtection="1">
      <protection hidden="1"/>
    </xf>
    <xf numFmtId="0" fontId="16" fillId="19" borderId="1" xfId="2" applyFont="1" applyFill="1" applyBorder="1" applyProtection="1">
      <protection hidden="1"/>
    </xf>
    <xf numFmtId="0" fontId="16" fillId="19" borderId="3" xfId="2" applyFont="1" applyFill="1" applyBorder="1" applyProtection="1">
      <protection hidden="1"/>
    </xf>
    <xf numFmtId="0" fontId="16" fillId="0" borderId="4" xfId="2" applyFont="1" applyBorder="1" applyProtection="1">
      <protection hidden="1"/>
    </xf>
    <xf numFmtId="0" fontId="16" fillId="0" borderId="5" xfId="2" applyFont="1" applyBorder="1" applyProtection="1">
      <protection hidden="1"/>
    </xf>
    <xf numFmtId="0" fontId="16" fillId="0" borderId="6" xfId="2" applyFont="1" applyBorder="1" applyProtection="1">
      <protection hidden="1"/>
    </xf>
    <xf numFmtId="0" fontId="16" fillId="0" borderId="8" xfId="2" applyFont="1" applyBorder="1" applyProtection="1">
      <protection hidden="1"/>
    </xf>
    <xf numFmtId="0" fontId="16" fillId="19" borderId="2" xfId="4" applyFont="1" applyFill="1" applyBorder="1" applyProtection="1">
      <protection hidden="1"/>
    </xf>
    <xf numFmtId="0" fontId="27" fillId="19" borderId="3" xfId="4" applyFont="1" applyFill="1" applyBorder="1" applyProtection="1">
      <protection hidden="1"/>
    </xf>
    <xf numFmtId="0" fontId="27" fillId="0" borderId="5" xfId="4" applyFont="1" applyBorder="1" applyProtection="1">
      <protection hidden="1"/>
    </xf>
    <xf numFmtId="0" fontId="16" fillId="0" borderId="7" xfId="4" applyFont="1" applyBorder="1" applyProtection="1">
      <protection hidden="1"/>
    </xf>
    <xf numFmtId="0" fontId="27" fillId="0" borderId="8" xfId="4" applyFont="1" applyBorder="1" applyProtection="1">
      <protection hidden="1"/>
    </xf>
    <xf numFmtId="0" fontId="23" fillId="11" borderId="1" xfId="0" applyFont="1" applyFill="1" applyBorder="1" applyAlignment="1" applyProtection="1">
      <alignment vertical="top"/>
      <protection hidden="1"/>
    </xf>
    <xf numFmtId="0" fontId="23" fillId="11" borderId="2" xfId="0" applyFont="1" applyFill="1" applyBorder="1" applyAlignment="1" applyProtection="1">
      <alignment vertical="top"/>
      <protection hidden="1"/>
    </xf>
    <xf numFmtId="0" fontId="42" fillId="18" borderId="12" xfId="0" applyFont="1" applyFill="1" applyBorder="1" applyAlignment="1" applyProtection="1">
      <alignment vertical="top"/>
      <protection hidden="1"/>
    </xf>
    <xf numFmtId="164" fontId="10" fillId="11" borderId="14" xfId="0" applyNumberFormat="1" applyFont="1" applyFill="1" applyBorder="1" applyAlignment="1" applyProtection="1">
      <alignment horizontal="center" vertical="center"/>
      <protection hidden="1"/>
    </xf>
    <xf numFmtId="164" fontId="10" fillId="11" borderId="15" xfId="0" applyNumberFormat="1" applyFont="1" applyFill="1" applyBorder="1" applyAlignment="1" applyProtection="1">
      <alignment horizontal="center" vertical="center"/>
      <protection hidden="1"/>
    </xf>
    <xf numFmtId="0" fontId="9" fillId="11" borderId="4" xfId="0" applyFont="1" applyFill="1" applyBorder="1" applyAlignment="1" applyProtection="1">
      <alignment vertical="top"/>
      <protection hidden="1"/>
    </xf>
    <xf numFmtId="0" fontId="9" fillId="11" borderId="0" xfId="0" applyFont="1" applyFill="1" applyAlignment="1" applyProtection="1">
      <alignment vertical="top"/>
      <protection hidden="1"/>
    </xf>
    <xf numFmtId="0" fontId="12" fillId="5" borderId="10" xfId="0" applyFont="1" applyFill="1" applyBorder="1" applyAlignment="1" applyProtection="1">
      <alignment vertical="top"/>
      <protection hidden="1"/>
    </xf>
    <xf numFmtId="0" fontId="12" fillId="11" borderId="10" xfId="0" applyFont="1" applyFill="1" applyBorder="1" applyAlignment="1" applyProtection="1">
      <alignment vertical="top"/>
      <protection hidden="1"/>
    </xf>
    <xf numFmtId="49" fontId="9" fillId="0" borderId="0" xfId="0" applyNumberFormat="1" applyFont="1" applyAlignment="1" applyProtection="1">
      <alignment vertical="top"/>
      <protection locked="0"/>
    </xf>
    <xf numFmtId="0" fontId="41" fillId="4" borderId="20" xfId="0" applyFont="1" applyFill="1" applyBorder="1" applyAlignment="1" applyProtection="1">
      <alignment horizontal="center" vertical="top"/>
      <protection hidden="1"/>
    </xf>
    <xf numFmtId="0" fontId="41" fillId="4" borderId="21" xfId="0" applyFont="1" applyFill="1" applyBorder="1" applyAlignment="1" applyProtection="1">
      <alignment horizontal="center" vertical="top"/>
      <protection hidden="1"/>
    </xf>
    <xf numFmtId="0" fontId="9" fillId="0" borderId="0" xfId="0" applyFont="1" applyAlignment="1" applyProtection="1">
      <alignment vertical="top" wrapText="1"/>
      <protection locked="0"/>
    </xf>
    <xf numFmtId="0" fontId="9" fillId="0" borderId="5" xfId="0" applyFont="1" applyBorder="1" applyAlignment="1" applyProtection="1">
      <alignment vertical="top" wrapText="1"/>
      <protection locked="0"/>
    </xf>
    <xf numFmtId="0" fontId="10" fillId="11" borderId="31" xfId="0" applyFont="1" applyFill="1" applyBorder="1" applyAlignment="1" applyProtection="1">
      <alignment horizontal="left" vertical="top"/>
      <protection hidden="1"/>
    </xf>
    <xf numFmtId="0" fontId="10" fillId="11" borderId="32" xfId="0" applyFont="1" applyFill="1" applyBorder="1" applyAlignment="1" applyProtection="1">
      <alignment horizontal="left" vertical="top"/>
      <protection hidden="1"/>
    </xf>
    <xf numFmtId="0" fontId="10" fillId="11" borderId="33" xfId="0" applyFont="1" applyFill="1" applyBorder="1" applyAlignment="1" applyProtection="1">
      <alignment horizontal="left" vertical="top"/>
      <protection hidden="1"/>
    </xf>
    <xf numFmtId="0" fontId="9" fillId="11" borderId="35" xfId="0" applyFont="1" applyFill="1" applyBorder="1" applyAlignment="1" applyProtection="1">
      <alignment vertical="top"/>
      <protection hidden="1"/>
    </xf>
    <xf numFmtId="0" fontId="9" fillId="11" borderId="37" xfId="0" applyFont="1" applyFill="1" applyBorder="1" applyAlignment="1" applyProtection="1">
      <alignment vertical="top"/>
      <protection hidden="1"/>
    </xf>
    <xf numFmtId="0" fontId="9" fillId="11" borderId="38" xfId="0" applyFont="1" applyFill="1" applyBorder="1" applyAlignment="1" applyProtection="1">
      <alignment vertical="top"/>
      <protection hidden="1"/>
    </xf>
    <xf numFmtId="0" fontId="9" fillId="11" borderId="4" xfId="0" applyFont="1" applyFill="1" applyBorder="1" applyAlignment="1" applyProtection="1">
      <alignment horizontal="right" vertical="top"/>
      <protection hidden="1"/>
    </xf>
    <xf numFmtId="0" fontId="9" fillId="11" borderId="0" xfId="0" applyFont="1" applyFill="1" applyAlignment="1" applyProtection="1">
      <alignment horizontal="right" vertical="top"/>
      <protection hidden="1"/>
    </xf>
    <xf numFmtId="0" fontId="9" fillId="11" borderId="10" xfId="0" applyFont="1" applyFill="1" applyBorder="1" applyAlignment="1" applyProtection="1">
      <alignment vertical="top"/>
      <protection hidden="1"/>
    </xf>
    <xf numFmtId="0" fontId="9" fillId="4" borderId="10" xfId="0" applyFont="1" applyFill="1" applyBorder="1" applyAlignment="1" applyProtection="1">
      <alignment vertical="top"/>
      <protection hidden="1"/>
    </xf>
    <xf numFmtId="0" fontId="26" fillId="2" borderId="6" xfId="0" applyFont="1" applyFill="1" applyBorder="1" applyAlignment="1" applyProtection="1">
      <alignment horizontal="center" vertical="top"/>
      <protection hidden="1"/>
    </xf>
    <xf numFmtId="0" fontId="26" fillId="2" borderId="7" xfId="0" applyFont="1" applyFill="1" applyBorder="1" applyAlignment="1" applyProtection="1">
      <alignment horizontal="center" vertical="top"/>
      <protection hidden="1"/>
    </xf>
    <xf numFmtId="0" fontId="19" fillId="18" borderId="1" xfId="0" applyFont="1" applyFill="1" applyBorder="1" applyAlignment="1" applyProtection="1">
      <alignment horizontal="center" vertical="center"/>
      <protection hidden="1"/>
    </xf>
    <xf numFmtId="0" fontId="19" fillId="18" borderId="6" xfId="0" applyFont="1" applyFill="1" applyBorder="1" applyAlignment="1" applyProtection="1">
      <alignment horizontal="center" vertical="center"/>
      <protection hidden="1"/>
    </xf>
    <xf numFmtId="0" fontId="9" fillId="4" borderId="0" xfId="0" applyFont="1" applyFill="1" applyAlignment="1" applyProtection="1">
      <alignment horizontal="center" vertical="top"/>
      <protection locked="0"/>
    </xf>
    <xf numFmtId="0" fontId="31" fillId="11" borderId="1" xfId="0" applyFont="1" applyFill="1" applyBorder="1" applyAlignment="1" applyProtection="1">
      <alignment vertical="top"/>
      <protection hidden="1"/>
    </xf>
    <xf numFmtId="0" fontId="31" fillId="11" borderId="2" xfId="0" applyFont="1" applyFill="1" applyBorder="1" applyAlignment="1" applyProtection="1">
      <alignment vertical="top"/>
      <protection hidden="1"/>
    </xf>
    <xf numFmtId="0" fontId="24" fillId="11" borderId="2" xfId="0" applyFont="1" applyFill="1" applyBorder="1" applyAlignment="1" applyProtection="1">
      <alignment horizontal="center" vertical="top"/>
      <protection hidden="1"/>
    </xf>
    <xf numFmtId="0" fontId="29" fillId="11" borderId="7" xfId="0" applyFont="1" applyFill="1" applyBorder="1" applyAlignment="1" applyProtection="1">
      <alignment horizontal="center" vertical="top"/>
      <protection hidden="1"/>
    </xf>
    <xf numFmtId="49" fontId="25" fillId="0" borderId="0" xfId="0" applyNumberFormat="1" applyFont="1" applyAlignment="1" applyProtection="1">
      <alignment vertical="top"/>
      <protection locked="0"/>
    </xf>
    <xf numFmtId="14" fontId="9" fillId="4" borderId="0" xfId="0" applyNumberFormat="1" applyFont="1" applyFill="1" applyAlignment="1" applyProtection="1">
      <alignment horizontal="center" vertical="top"/>
      <protection locked="0"/>
    </xf>
    <xf numFmtId="0" fontId="11" fillId="11" borderId="10" xfId="1" applyFont="1" applyFill="1" applyBorder="1" applyAlignment="1" applyProtection="1">
      <alignment vertical="top"/>
      <protection hidden="1"/>
    </xf>
    <xf numFmtId="0" fontId="10" fillId="11" borderId="10" xfId="0" applyFont="1" applyFill="1" applyBorder="1" applyAlignment="1" applyProtection="1">
      <alignment vertical="top"/>
      <protection hidden="1"/>
    </xf>
    <xf numFmtId="0" fontId="9" fillId="2" borderId="45" xfId="0" applyFont="1" applyFill="1" applyBorder="1" applyAlignment="1" applyProtection="1">
      <alignment horizontal="right" vertical="top"/>
      <protection hidden="1"/>
    </xf>
    <xf numFmtId="0" fontId="9" fillId="2" borderId="29" xfId="0" applyFont="1" applyFill="1" applyBorder="1" applyAlignment="1" applyProtection="1">
      <alignment horizontal="right" vertical="top"/>
      <protection hidden="1"/>
    </xf>
    <xf numFmtId="0" fontId="9" fillId="2" borderId="44" xfId="0" applyFont="1" applyFill="1" applyBorder="1" applyAlignment="1" applyProtection="1">
      <alignment horizontal="right" vertical="top"/>
      <protection hidden="1"/>
    </xf>
    <xf numFmtId="0" fontId="9" fillId="2" borderId="0" xfId="0" applyFont="1" applyFill="1" applyAlignment="1" applyProtection="1">
      <alignment horizontal="right" vertical="top"/>
      <protection hidden="1"/>
    </xf>
    <xf numFmtId="0" fontId="9" fillId="2" borderId="44" xfId="0" applyFont="1" applyFill="1" applyBorder="1" applyAlignment="1" applyProtection="1">
      <alignment horizontal="right" vertical="top" wrapText="1"/>
      <protection hidden="1"/>
    </xf>
    <xf numFmtId="0" fontId="9" fillId="2" borderId="0" xfId="0" applyFont="1" applyFill="1" applyAlignment="1" applyProtection="1">
      <alignment horizontal="right" vertical="top" wrapText="1"/>
      <protection hidden="1"/>
    </xf>
    <xf numFmtId="0" fontId="34" fillId="11" borderId="7" xfId="0" applyFont="1" applyFill="1" applyBorder="1" applyAlignment="1" applyProtection="1">
      <alignment horizontal="center" vertical="top"/>
      <protection hidden="1"/>
    </xf>
    <xf numFmtId="0" fontId="12" fillId="11" borderId="0" xfId="0" applyFont="1" applyFill="1" applyAlignment="1" applyProtection="1">
      <alignment vertical="top"/>
      <protection hidden="1"/>
    </xf>
    <xf numFmtId="0" fontId="13" fillId="11" borderId="0" xfId="0" applyFont="1" applyFill="1" applyAlignment="1" applyProtection="1">
      <alignment vertical="top"/>
      <protection hidden="1"/>
    </xf>
    <xf numFmtId="0" fontId="22" fillId="4" borderId="0" xfId="0" applyFont="1" applyFill="1" applyAlignment="1" applyProtection="1">
      <alignment horizontal="center" vertical="top"/>
      <protection hidden="1"/>
    </xf>
    <xf numFmtId="0" fontId="22" fillId="4" borderId="35" xfId="0" applyFont="1" applyFill="1" applyBorder="1" applyAlignment="1" applyProtection="1">
      <alignment horizontal="center" vertical="top"/>
      <protection hidden="1"/>
    </xf>
    <xf numFmtId="0" fontId="22" fillId="4" borderId="37" xfId="0" applyFont="1" applyFill="1" applyBorder="1" applyAlignment="1" applyProtection="1">
      <alignment horizontal="center" vertical="top"/>
      <protection hidden="1"/>
    </xf>
    <xf numFmtId="0" fontId="22" fillId="4" borderId="38" xfId="0" applyFont="1" applyFill="1" applyBorder="1" applyAlignment="1" applyProtection="1">
      <alignment horizontal="center" vertical="top"/>
      <protection hidden="1"/>
    </xf>
    <xf numFmtId="0" fontId="22" fillId="4" borderId="34" xfId="0" applyFont="1" applyFill="1" applyBorder="1" applyAlignment="1" applyProtection="1">
      <alignment horizontal="center" vertical="top"/>
      <protection hidden="1"/>
    </xf>
    <xf numFmtId="0" fontId="22" fillId="4" borderId="36" xfId="0" applyFont="1" applyFill="1" applyBorder="1" applyAlignment="1" applyProtection="1">
      <alignment horizontal="center" vertical="top"/>
      <protection hidden="1"/>
    </xf>
    <xf numFmtId="0" fontId="23" fillId="2" borderId="41" xfId="0" applyFont="1" applyFill="1" applyBorder="1" applyAlignment="1" applyProtection="1">
      <alignment vertical="top"/>
      <protection hidden="1"/>
    </xf>
    <xf numFmtId="0" fontId="23" fillId="2" borderId="42" xfId="0" applyFont="1" applyFill="1" applyBorder="1" applyAlignment="1" applyProtection="1">
      <alignment vertical="top"/>
      <protection hidden="1"/>
    </xf>
    <xf numFmtId="0" fontId="23" fillId="2" borderId="43" xfId="0" applyFont="1" applyFill="1" applyBorder="1" applyAlignment="1" applyProtection="1">
      <alignment vertical="top"/>
      <protection hidden="1"/>
    </xf>
    <xf numFmtId="0" fontId="30" fillId="2" borderId="0" xfId="0" applyFont="1" applyFill="1" applyAlignment="1" applyProtection="1">
      <alignment horizontal="center" vertical="top"/>
      <protection hidden="1"/>
    </xf>
    <xf numFmtId="0" fontId="30" fillId="2" borderId="28" xfId="0" applyFont="1" applyFill="1" applyBorder="1" applyAlignment="1" applyProtection="1">
      <alignment horizontal="center" vertical="top"/>
      <protection hidden="1"/>
    </xf>
    <xf numFmtId="164" fontId="30" fillId="2" borderId="0" xfId="0" applyNumberFormat="1" applyFont="1" applyFill="1" applyAlignment="1" applyProtection="1">
      <alignment horizontal="center" vertical="top"/>
      <protection hidden="1"/>
    </xf>
    <xf numFmtId="164" fontId="30" fillId="2" borderId="28" xfId="0" applyNumberFormat="1" applyFont="1" applyFill="1" applyBorder="1" applyAlignment="1" applyProtection="1">
      <alignment horizontal="center" vertical="top"/>
      <protection hidden="1"/>
    </xf>
    <xf numFmtId="0" fontId="9" fillId="7" borderId="11" xfId="0" applyFont="1" applyFill="1" applyBorder="1" applyAlignment="1" applyProtection="1">
      <alignment vertical="top"/>
      <protection hidden="1"/>
    </xf>
    <xf numFmtId="0" fontId="9" fillId="7" borderId="12" xfId="0" applyFont="1" applyFill="1" applyBorder="1" applyAlignment="1" applyProtection="1">
      <alignment vertical="top"/>
      <protection hidden="1"/>
    </xf>
    <xf numFmtId="0" fontId="9" fillId="14" borderId="11" xfId="0" applyFont="1" applyFill="1" applyBorder="1" applyAlignment="1" applyProtection="1">
      <alignment vertical="top"/>
      <protection hidden="1"/>
    </xf>
    <xf numFmtId="0" fontId="9" fillId="14" borderId="12" xfId="0" applyFont="1" applyFill="1" applyBorder="1" applyAlignment="1" applyProtection="1">
      <alignment vertical="top"/>
      <protection hidden="1"/>
    </xf>
    <xf numFmtId="0" fontId="9" fillId="14" borderId="9" xfId="0" applyFont="1" applyFill="1" applyBorder="1" applyAlignment="1" applyProtection="1">
      <alignment vertical="top"/>
      <protection hidden="1"/>
    </xf>
    <xf numFmtId="0" fontId="10" fillId="15" borderId="10" xfId="0" applyFont="1" applyFill="1" applyBorder="1" applyAlignment="1" applyProtection="1">
      <alignment vertical="top"/>
      <protection hidden="1"/>
    </xf>
    <xf numFmtId="0" fontId="13" fillId="11" borderId="11" xfId="0" applyFont="1" applyFill="1" applyBorder="1" applyAlignment="1" applyProtection="1">
      <alignment vertical="top"/>
      <protection hidden="1"/>
    </xf>
    <xf numFmtId="0" fontId="13" fillId="11" borderId="9" xfId="0" applyFont="1" applyFill="1" applyBorder="1" applyAlignment="1" applyProtection="1">
      <alignment vertical="top"/>
      <protection hidden="1"/>
    </xf>
    <xf numFmtId="0" fontId="9" fillId="9" borderId="11" xfId="0" applyFont="1" applyFill="1" applyBorder="1" applyAlignment="1" applyProtection="1">
      <alignment vertical="top"/>
      <protection hidden="1"/>
    </xf>
    <xf numFmtId="0" fontId="9" fillId="9" borderId="9" xfId="0" applyFont="1" applyFill="1" applyBorder="1" applyAlignment="1" applyProtection="1">
      <alignment vertical="top"/>
      <protection hidden="1"/>
    </xf>
    <xf numFmtId="0" fontId="9" fillId="16" borderId="11" xfId="0" applyFont="1" applyFill="1" applyBorder="1" applyAlignment="1" applyProtection="1">
      <alignment vertical="top"/>
      <protection hidden="1"/>
    </xf>
    <xf numFmtId="0" fontId="9" fillId="16" borderId="12" xfId="0" applyFont="1" applyFill="1" applyBorder="1" applyAlignment="1" applyProtection="1">
      <alignment vertical="top"/>
      <protection hidden="1"/>
    </xf>
    <xf numFmtId="0" fontId="10" fillId="13" borderId="11" xfId="0" applyFont="1" applyFill="1" applyBorder="1" applyAlignment="1" applyProtection="1">
      <alignment vertical="top"/>
      <protection hidden="1"/>
    </xf>
    <xf numFmtId="0" fontId="10" fillId="13" borderId="12" xfId="0" applyFont="1" applyFill="1" applyBorder="1" applyAlignment="1" applyProtection="1">
      <alignment vertical="top"/>
      <protection hidden="1"/>
    </xf>
    <xf numFmtId="0" fontId="10" fillId="13" borderId="9" xfId="0" applyFont="1" applyFill="1" applyBorder="1" applyAlignment="1" applyProtection="1">
      <alignment vertical="top"/>
      <protection hidden="1"/>
    </xf>
    <xf numFmtId="0" fontId="9" fillId="10" borderId="12" xfId="0" applyFont="1" applyFill="1" applyBorder="1" applyAlignment="1" applyProtection="1">
      <alignment vertical="top" wrapText="1"/>
      <protection hidden="1"/>
    </xf>
    <xf numFmtId="14" fontId="21" fillId="2" borderId="0" xfId="0" applyNumberFormat="1" applyFont="1" applyFill="1" applyAlignment="1" applyProtection="1">
      <alignment horizontal="center" vertical="top"/>
      <protection hidden="1"/>
    </xf>
    <xf numFmtId="14" fontId="21" fillId="2" borderId="28" xfId="0" applyNumberFormat="1" applyFont="1" applyFill="1" applyBorder="1" applyAlignment="1" applyProtection="1">
      <alignment horizontal="center" vertical="top"/>
      <protection hidden="1"/>
    </xf>
    <xf numFmtId="0" fontId="13" fillId="0" borderId="10" xfId="0" applyFont="1" applyBorder="1" applyAlignment="1" applyProtection="1">
      <alignment vertical="top"/>
      <protection hidden="1"/>
    </xf>
    <xf numFmtId="0" fontId="10" fillId="11" borderId="39" xfId="0" applyFont="1" applyFill="1" applyBorder="1" applyAlignment="1" applyProtection="1">
      <alignment vertical="top"/>
      <protection hidden="1"/>
    </xf>
    <xf numFmtId="0" fontId="10" fillId="11" borderId="32" xfId="0" applyFont="1" applyFill="1" applyBorder="1" applyAlignment="1" applyProtection="1">
      <alignment vertical="top"/>
      <protection hidden="1"/>
    </xf>
    <xf numFmtId="0" fontId="10" fillId="11" borderId="33" xfId="0" applyFont="1" applyFill="1" applyBorder="1" applyAlignment="1" applyProtection="1">
      <alignment vertical="top"/>
      <protection hidden="1"/>
    </xf>
    <xf numFmtId="0" fontId="41" fillId="4" borderId="31" xfId="0" applyFont="1" applyFill="1" applyBorder="1" applyAlignment="1" applyProtection="1">
      <alignment horizontal="center" vertical="top"/>
      <protection hidden="1"/>
    </xf>
    <xf numFmtId="0" fontId="41" fillId="4" borderId="32" xfId="0" applyFont="1" applyFill="1" applyBorder="1" applyAlignment="1" applyProtection="1">
      <alignment horizontal="center" vertical="top"/>
      <protection hidden="1"/>
    </xf>
    <xf numFmtId="0" fontId="41" fillId="4" borderId="33" xfId="0" applyFont="1" applyFill="1" applyBorder="1" applyAlignment="1" applyProtection="1">
      <alignment horizontal="center" vertical="top"/>
      <protection hidden="1"/>
    </xf>
    <xf numFmtId="0" fontId="42" fillId="18" borderId="0" xfId="0" applyFont="1" applyFill="1" applyAlignment="1" applyProtection="1">
      <alignment vertical="top"/>
      <protection hidden="1"/>
    </xf>
    <xf numFmtId="0" fontId="12" fillId="11" borderId="31" xfId="0" applyFont="1" applyFill="1" applyBorder="1" applyAlignment="1" applyProtection="1">
      <alignment horizontal="center" vertical="top"/>
      <protection hidden="1"/>
    </xf>
    <xf numFmtId="0" fontId="12" fillId="11" borderId="32" xfId="0" applyFont="1" applyFill="1" applyBorder="1" applyAlignment="1" applyProtection="1">
      <alignment horizontal="center" vertical="top"/>
      <protection hidden="1"/>
    </xf>
    <xf numFmtId="0" fontId="12" fillId="11" borderId="33" xfId="0" applyFont="1" applyFill="1" applyBorder="1" applyAlignment="1" applyProtection="1">
      <alignment horizontal="center" vertical="top"/>
      <protection hidden="1"/>
    </xf>
    <xf numFmtId="0" fontId="42" fillId="18" borderId="7" xfId="0" applyFont="1" applyFill="1" applyBorder="1" applyProtection="1">
      <protection hidden="1"/>
    </xf>
    <xf numFmtId="0" fontId="12" fillId="6" borderId="10" xfId="0" applyFont="1" applyFill="1" applyBorder="1" applyAlignment="1" applyProtection="1">
      <alignment horizontal="center"/>
      <protection hidden="1"/>
    </xf>
    <xf numFmtId="0" fontId="12" fillId="3" borderId="9" xfId="0" applyFont="1" applyFill="1" applyBorder="1" applyAlignment="1" applyProtection="1">
      <alignment horizontal="center"/>
      <protection hidden="1"/>
    </xf>
    <xf numFmtId="0" fontId="12" fillId="3" borderId="10" xfId="0" applyFont="1" applyFill="1" applyBorder="1" applyAlignment="1" applyProtection="1">
      <alignment horizontal="center"/>
      <protection hidden="1"/>
    </xf>
    <xf numFmtId="0" fontId="24" fillId="2" borderId="2" xfId="0" applyFont="1" applyFill="1" applyBorder="1" applyAlignment="1" applyProtection="1">
      <alignment horizontal="center" vertical="top" wrapText="1"/>
      <protection hidden="1"/>
    </xf>
    <xf numFmtId="0" fontId="29" fillId="2" borderId="7" xfId="0" applyFont="1" applyFill="1" applyBorder="1" applyAlignment="1" applyProtection="1">
      <alignment horizontal="center" vertical="top" wrapText="1"/>
      <protection hidden="1"/>
    </xf>
    <xf numFmtId="0" fontId="7" fillId="0" borderId="0" xfId="0" applyFont="1" applyProtection="1">
      <protection hidden="1"/>
    </xf>
    <xf numFmtId="0" fontId="13" fillId="20" borderId="11" xfId="0" applyFont="1" applyFill="1" applyBorder="1" applyAlignment="1">
      <alignment horizontal="center" vertical="center" wrapText="1"/>
    </xf>
    <xf numFmtId="0" fontId="13" fillId="20" borderId="12" xfId="0" applyFont="1" applyFill="1" applyBorder="1" applyAlignment="1">
      <alignment horizontal="center" vertical="center" wrapText="1"/>
    </xf>
    <xf numFmtId="0" fontId="13" fillId="20" borderId="4" xfId="0" applyFont="1" applyFill="1" applyBorder="1" applyAlignment="1">
      <alignment horizontal="center" vertical="center" wrapText="1"/>
    </xf>
    <xf numFmtId="0" fontId="13" fillId="20" borderId="0" xfId="0" applyFont="1" applyFill="1" applyAlignment="1">
      <alignment horizontal="center" vertical="center" wrapText="1"/>
    </xf>
    <xf numFmtId="0" fontId="13" fillId="0" borderId="10" xfId="0" applyFont="1" applyBorder="1" applyAlignment="1">
      <alignment horizontal="center" vertical="center" textRotation="90" wrapText="1"/>
    </xf>
    <xf numFmtId="0" fontId="9" fillId="0" borderId="10" xfId="0" applyFont="1" applyBorder="1" applyAlignment="1">
      <alignment horizontal="center" vertical="center" textRotation="90" wrapText="1"/>
    </xf>
    <xf numFmtId="0" fontId="10" fillId="6" borderId="10" xfId="0" applyFont="1" applyFill="1" applyBorder="1" applyAlignment="1" applyProtection="1">
      <alignment horizontal="center" vertical="center" wrapText="1"/>
      <protection hidden="1"/>
    </xf>
    <xf numFmtId="0" fontId="10" fillId="6" borderId="11" xfId="0" applyFont="1" applyFill="1" applyBorder="1" applyAlignment="1" applyProtection="1">
      <alignment horizontal="center" vertical="center" wrapText="1"/>
      <protection hidden="1"/>
    </xf>
    <xf numFmtId="0" fontId="10" fillId="6" borderId="13" xfId="0" applyFont="1" applyFill="1" applyBorder="1" applyAlignment="1" applyProtection="1">
      <alignment horizontal="center" vertical="center" wrapText="1"/>
      <protection hidden="1"/>
    </xf>
    <xf numFmtId="0" fontId="10" fillId="6" borderId="1" xfId="0" applyFont="1" applyFill="1" applyBorder="1" applyAlignment="1" applyProtection="1">
      <alignment horizontal="center" vertical="center" wrapText="1"/>
      <protection hidden="1"/>
    </xf>
    <xf numFmtId="0" fontId="10" fillId="3" borderId="10" xfId="0" applyFont="1" applyFill="1" applyBorder="1" applyAlignment="1" applyProtection="1">
      <alignment horizontal="center" vertical="center" wrapText="1"/>
      <protection hidden="1"/>
    </xf>
    <xf numFmtId="0" fontId="10" fillId="3" borderId="11" xfId="0" applyFont="1" applyFill="1" applyBorder="1" applyAlignment="1" applyProtection="1">
      <alignment horizontal="center" vertical="center" wrapText="1"/>
      <protection hidden="1"/>
    </xf>
    <xf numFmtId="0" fontId="10" fillId="3" borderId="15" xfId="0" applyFont="1" applyFill="1" applyBorder="1" applyAlignment="1" applyProtection="1">
      <alignment horizontal="center" vertical="center" wrapText="1"/>
      <protection hidden="1"/>
    </xf>
    <xf numFmtId="0" fontId="10" fillId="3" borderId="6" xfId="0" applyFont="1" applyFill="1" applyBorder="1" applyAlignment="1" applyProtection="1">
      <alignment horizontal="center" vertical="center" wrapText="1"/>
      <protection hidden="1"/>
    </xf>
    <xf numFmtId="0" fontId="13" fillId="0" borderId="14" xfId="0" applyFont="1" applyBorder="1" applyAlignment="1">
      <alignment horizontal="center" vertical="center" textRotation="90" wrapText="1"/>
    </xf>
    <xf numFmtId="0" fontId="13" fillId="0" borderId="15" xfId="0" applyFont="1" applyBorder="1" applyAlignment="1">
      <alignment horizontal="center" vertical="center" textRotation="90" wrapText="1"/>
    </xf>
    <xf numFmtId="0" fontId="9" fillId="10" borderId="10" xfId="0" applyFont="1" applyFill="1" applyBorder="1" applyAlignment="1" applyProtection="1">
      <alignment horizontal="center" vertical="center" wrapText="1"/>
      <protection hidden="1"/>
    </xf>
    <xf numFmtId="0" fontId="9" fillId="9" borderId="10" xfId="0" applyFont="1" applyFill="1" applyBorder="1" applyAlignment="1" applyProtection="1">
      <alignment horizontal="center" vertical="center" wrapText="1"/>
      <protection hidden="1"/>
    </xf>
    <xf numFmtId="0" fontId="10" fillId="13" borderId="10" xfId="0" applyFont="1" applyFill="1" applyBorder="1" applyAlignment="1" applyProtection="1">
      <alignment horizontal="center" vertical="center" wrapText="1"/>
      <protection hidden="1"/>
    </xf>
    <xf numFmtId="0" fontId="10" fillId="15" borderId="10" xfId="0" applyFont="1" applyFill="1" applyBorder="1" applyAlignment="1" applyProtection="1">
      <alignment horizontal="center" vertical="center" wrapText="1"/>
      <protection hidden="1"/>
    </xf>
    <xf numFmtId="0" fontId="9" fillId="0" borderId="10" xfId="0" applyFont="1" applyBorder="1" applyAlignment="1" applyProtection="1">
      <alignment horizontal="center" vertical="center" wrapText="1"/>
      <protection hidden="1"/>
    </xf>
    <xf numFmtId="0" fontId="9" fillId="7" borderId="15" xfId="0" applyFont="1" applyFill="1" applyBorder="1" applyAlignment="1" applyProtection="1">
      <alignment horizontal="center" vertical="center" wrapText="1"/>
      <protection hidden="1"/>
    </xf>
    <xf numFmtId="0" fontId="9" fillId="7" borderId="13" xfId="0" applyFont="1" applyFill="1" applyBorder="1" applyAlignment="1" applyProtection="1">
      <alignment horizontal="center" vertical="center" wrapText="1"/>
      <protection hidden="1"/>
    </xf>
    <xf numFmtId="0" fontId="9" fillId="16" borderId="10" xfId="0" applyFont="1" applyFill="1" applyBorder="1" applyAlignment="1" applyProtection="1">
      <alignment horizontal="center" vertical="center" wrapText="1"/>
      <protection hidden="1"/>
    </xf>
    <xf numFmtId="0" fontId="9" fillId="11" borderId="10" xfId="0" applyFont="1" applyFill="1" applyBorder="1" applyAlignment="1" applyProtection="1">
      <alignment horizontal="center" vertical="center" wrapText="1"/>
      <protection hidden="1"/>
    </xf>
    <xf numFmtId="0" fontId="9" fillId="14" borderId="10" xfId="0" applyFont="1" applyFill="1" applyBorder="1" applyAlignment="1" applyProtection="1">
      <alignment horizontal="center" vertical="center" wrapText="1"/>
      <protection hidden="1"/>
    </xf>
    <xf numFmtId="0" fontId="10" fillId="0" borderId="0" xfId="0" applyFont="1" applyAlignment="1" applyProtection="1">
      <alignment vertical="top"/>
      <protection hidden="1"/>
    </xf>
    <xf numFmtId="0" fontId="9" fillId="0" borderId="10" xfId="0" applyFont="1" applyBorder="1" applyAlignment="1">
      <alignment horizontal="center" vertical="center" wrapText="1"/>
    </xf>
    <xf numFmtId="0" fontId="9" fillId="0" borderId="13" xfId="0" applyFont="1" applyBorder="1" applyAlignment="1">
      <alignment horizontal="center" vertical="center" wrapText="1"/>
    </xf>
    <xf numFmtId="0" fontId="10" fillId="5" borderId="10" xfId="0" applyFont="1" applyFill="1" applyBorder="1" applyAlignment="1" applyProtection="1">
      <alignment horizontal="center" vertical="center" wrapText="1"/>
      <protection hidden="1"/>
    </xf>
    <xf numFmtId="0" fontId="9" fillId="4" borderId="10" xfId="0" applyFont="1" applyFill="1" applyBorder="1" applyAlignment="1" applyProtection="1">
      <alignment horizontal="center" vertical="center" wrapText="1"/>
      <protection hidden="1"/>
    </xf>
    <xf numFmtId="0" fontId="10" fillId="11" borderId="10" xfId="0" applyFont="1" applyFill="1" applyBorder="1" applyAlignment="1" applyProtection="1">
      <alignment horizontal="center" vertical="center" wrapText="1"/>
      <protection hidden="1"/>
    </xf>
    <xf numFmtId="0" fontId="14" fillId="0" borderId="7" xfId="0" applyFont="1" applyBorder="1" applyAlignment="1" applyProtection="1">
      <alignment vertical="top" wrapText="1"/>
      <protection hidden="1"/>
    </xf>
    <xf numFmtId="0" fontId="12" fillId="0" borderId="1" xfId="0" applyFont="1" applyBorder="1" applyAlignment="1" applyProtection="1">
      <alignment horizontal="center" vertical="center" wrapText="1"/>
      <protection hidden="1"/>
    </xf>
    <xf numFmtId="0" fontId="12" fillId="0" borderId="2" xfId="0" applyFont="1" applyBorder="1" applyAlignment="1" applyProtection="1">
      <alignment horizontal="center" vertical="center" wrapText="1"/>
      <protection hidden="1"/>
    </xf>
    <xf numFmtId="0" fontId="12" fillId="0" borderId="3" xfId="0" applyFont="1" applyBorder="1" applyAlignment="1" applyProtection="1">
      <alignment horizontal="center" vertical="center" wrapText="1"/>
      <protection hidden="1"/>
    </xf>
    <xf numFmtId="0" fontId="12" fillId="0" borderId="6" xfId="0" applyFont="1" applyBorder="1" applyAlignment="1" applyProtection="1">
      <alignment horizontal="center" vertical="center" wrapText="1"/>
      <protection hidden="1"/>
    </xf>
    <xf numFmtId="0" fontId="12" fillId="0" borderId="7" xfId="0" applyFont="1" applyBorder="1" applyAlignment="1" applyProtection="1">
      <alignment horizontal="center" vertical="center" wrapText="1"/>
      <protection hidden="1"/>
    </xf>
    <xf numFmtId="0" fontId="12" fillId="0" borderId="8" xfId="0" applyFont="1" applyBorder="1" applyAlignment="1" applyProtection="1">
      <alignment horizontal="center" vertical="center" wrapText="1"/>
      <protection hidden="1"/>
    </xf>
    <xf numFmtId="0" fontId="35" fillId="17" borderId="0" xfId="0" applyFont="1" applyFill="1" applyAlignment="1" applyProtection="1">
      <alignment vertical="top"/>
      <protection hidden="1"/>
    </xf>
    <xf numFmtId="0" fontId="14" fillId="0" borderId="0" xfId="0" applyFont="1" applyAlignment="1" applyProtection="1">
      <alignment vertical="top"/>
      <protection hidden="1"/>
    </xf>
    <xf numFmtId="0" fontId="14" fillId="16" borderId="0" xfId="0" applyFont="1" applyFill="1" applyAlignment="1" applyProtection="1">
      <alignment vertical="top"/>
      <protection hidden="1"/>
    </xf>
  </cellXfs>
  <cellStyles count="8">
    <cellStyle name="Hyperlink" xfId="1" builtinId="8"/>
    <cellStyle name="Normal" xfId="0" builtinId="0"/>
    <cellStyle name="Normal 2" xfId="5" xr:uid="{00000000-0005-0000-0000-000002000000}"/>
    <cellStyle name="Normal_codes" xfId="3" xr:uid="{00000000-0005-0000-0000-000003000000}"/>
    <cellStyle name="Normal_codes_1" xfId="4" xr:uid="{00000000-0005-0000-0000-000004000000}"/>
    <cellStyle name="Normal_codes_2" xfId="6" xr:uid="{00000000-0005-0000-0000-000005000000}"/>
    <cellStyle name="Normal_Sheet1" xfId="2" xr:uid="{00000000-0005-0000-0000-000006000000}"/>
    <cellStyle name="Normal_Sheet1_1" xfId="7" xr:uid="{00000000-0005-0000-0000-000007000000}"/>
  </cellStyles>
  <dxfs count="82">
    <dxf>
      <font>
        <color rgb="FFFF0000"/>
      </font>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bgColor auto="1"/>
        </patternFill>
      </fill>
      <alignment horizontal="general" vertical="top" textRotation="0" wrapText="1" indent="0" justifyLastLine="0" shrinkToFit="0" readingOrder="0"/>
    </dxf>
    <dxf>
      <font>
        <b/>
        <i val="0"/>
        <strike val="0"/>
        <condense val="0"/>
        <extend val="0"/>
        <outline val="0"/>
        <shadow val="0"/>
        <u val="none"/>
        <vertAlign val="baseline"/>
        <sz val="8"/>
        <color theme="1"/>
        <name val="Calibri"/>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8"/>
        <color theme="1"/>
        <name val="Calibri"/>
        <scheme val="minor"/>
      </font>
      <numFmt numFmtId="30" formatCode="@"/>
      <fill>
        <patternFill patternType="none">
          <fgColor indexed="64"/>
          <bgColor auto="1"/>
        </patternFill>
      </fill>
      <protection locked="0" hidden="0"/>
    </dxf>
    <dxf>
      <font>
        <strike val="0"/>
        <outline val="0"/>
        <shadow val="0"/>
        <u val="none"/>
        <vertAlign val="baseline"/>
        <sz val="8"/>
        <color theme="1"/>
        <name val="Calibri"/>
        <scheme val="minor"/>
      </font>
      <numFmt numFmtId="30" formatCode="@"/>
      <fill>
        <patternFill patternType="none">
          <fgColor indexed="64"/>
          <bgColor indexed="65"/>
        </patternFill>
      </fill>
      <protection locked="0" hidden="0"/>
    </dxf>
    <dxf>
      <font>
        <strike val="0"/>
        <outline val="0"/>
        <shadow val="0"/>
        <u val="none"/>
        <vertAlign val="baseline"/>
        <sz val="8"/>
        <color theme="1"/>
        <name val="Calibri"/>
        <scheme val="minor"/>
      </font>
      <numFmt numFmtId="0" formatCode="General"/>
      <fill>
        <patternFill patternType="none">
          <fgColor indexed="64"/>
          <bgColor auto="1"/>
        </patternFill>
      </fill>
      <protection locked="0" hidden="0"/>
    </dxf>
    <dxf>
      <font>
        <strike val="0"/>
        <outline val="0"/>
        <shadow val="0"/>
        <u val="none"/>
        <vertAlign val="baseline"/>
        <sz val="8"/>
        <color theme="1"/>
        <name val="Calibri"/>
        <scheme val="minor"/>
      </font>
      <numFmt numFmtId="0" formatCode="General"/>
      <fill>
        <patternFill patternType="none">
          <fgColor indexed="64"/>
          <bgColor auto="1"/>
        </patternFill>
      </fill>
      <protection locked="0" hidden="0"/>
    </dxf>
    <dxf>
      <font>
        <strike val="0"/>
        <outline val="0"/>
        <shadow val="0"/>
        <u val="none"/>
        <vertAlign val="baseline"/>
        <sz val="8"/>
        <color theme="1"/>
        <name val="Calibri"/>
        <scheme val="minor"/>
      </font>
      <numFmt numFmtId="0" formatCode="General"/>
      <fill>
        <patternFill patternType="none">
          <fgColor indexed="64"/>
          <bgColor auto="1"/>
        </patternFill>
      </fill>
      <protection locked="0" hidden="0"/>
    </dxf>
    <dxf>
      <font>
        <strike val="0"/>
        <outline val="0"/>
        <shadow val="0"/>
        <u val="none"/>
        <vertAlign val="baseline"/>
        <sz val="8"/>
        <color theme="1"/>
        <name val="Calibri"/>
        <scheme val="minor"/>
      </font>
      <numFmt numFmtId="30" formatCode="@"/>
      <fill>
        <patternFill patternType="none">
          <fgColor indexed="64"/>
          <bgColor auto="1"/>
        </patternFill>
      </fill>
      <protection locked="0" hidden="0"/>
    </dxf>
    <dxf>
      <font>
        <strike val="0"/>
        <outline val="0"/>
        <shadow val="0"/>
        <u val="none"/>
        <vertAlign val="baseline"/>
        <sz val="8"/>
        <color theme="1"/>
        <name val="Calibri"/>
        <scheme val="minor"/>
      </font>
      <numFmt numFmtId="30" formatCode="@"/>
      <fill>
        <patternFill patternType="none">
          <fgColor indexed="64"/>
          <bgColor auto="1"/>
        </patternFill>
      </fill>
      <protection locked="0" hidden="0"/>
    </dxf>
    <dxf>
      <font>
        <strike val="0"/>
        <outline val="0"/>
        <shadow val="0"/>
        <u val="none"/>
        <vertAlign val="baseline"/>
        <sz val="8"/>
        <color theme="1"/>
        <name val="Calibri"/>
        <scheme val="minor"/>
      </font>
      <numFmt numFmtId="1" formatCode="0"/>
      <fill>
        <patternFill patternType="none">
          <fgColor indexed="64"/>
          <bgColor auto="1"/>
        </patternFill>
      </fill>
      <protection locked="0" hidden="0"/>
    </dxf>
    <dxf>
      <border outline="0">
        <top style="thin">
          <color indexed="64"/>
        </top>
      </border>
    </dxf>
    <dxf>
      <font>
        <strike val="0"/>
        <outline val="0"/>
        <shadow val="0"/>
        <u val="none"/>
        <vertAlign val="baseline"/>
        <sz val="8"/>
        <color theme="1"/>
        <name val="Calibri"/>
        <scheme val="minor"/>
      </font>
      <fill>
        <patternFill patternType="none">
          <fgColor indexed="64"/>
          <bgColor auto="1"/>
        </patternFill>
      </fill>
      <protection locked="0" hidden="0"/>
    </dxf>
    <dxf>
      <border>
        <bottom style="hair">
          <color indexed="64"/>
        </bottom>
      </border>
    </dxf>
    <dxf>
      <font>
        <b val="0"/>
        <strike val="0"/>
        <outline val="0"/>
        <shadow val="0"/>
        <u val="none"/>
        <vertAlign val="baseline"/>
        <sz val="8"/>
        <color auto="1"/>
        <name val="Calibri"/>
        <scheme val="minor"/>
      </font>
      <fill>
        <patternFill patternType="solid">
          <fgColor indexed="64"/>
          <bgColor theme="9" tint="0.39997558519241921"/>
        </patternFill>
      </fill>
      <border diagonalUp="0" diagonalDown="0" outline="0">
        <left style="hair">
          <color indexed="64"/>
        </left>
        <right style="hair">
          <color indexed="64"/>
        </right>
        <top/>
        <bottom/>
      </border>
      <protection locked="1" hidden="1"/>
    </dxf>
    <dxf>
      <font>
        <b val="0"/>
        <i val="0"/>
        <strike val="0"/>
        <condense val="0"/>
        <extend val="0"/>
        <outline val="0"/>
        <shadow val="0"/>
        <u val="none"/>
        <vertAlign val="baseline"/>
        <sz val="8"/>
        <color auto="1"/>
        <name val="Calibri"/>
        <scheme val="minor"/>
      </font>
      <numFmt numFmtId="164" formatCode="dd\/mm\/yyyy"/>
      <fill>
        <patternFill patternType="none">
          <fgColor indexed="64"/>
          <bgColor auto="1"/>
        </patternFill>
      </fill>
      <alignment horizontal="general" vertical="top"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scheme val="minor"/>
      </font>
      <numFmt numFmtId="0" formatCode="General"/>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0" formatCode="General"/>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0" formatCode="General"/>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auto="1"/>
        </patternFill>
      </fill>
      <alignment horizontal="center"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auto="1"/>
        </patternFill>
      </fill>
      <alignment horizontal="center"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indexed="65"/>
        </patternFill>
      </fill>
      <alignment horizontal="center"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164" formatCode="dd\/mm\/yyyy"/>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numFmt numFmtId="0" formatCode="General"/>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general" vertical="top" textRotation="0" wrapText="0" indent="0" justifyLastLine="0" shrinkToFit="0" readingOrder="0"/>
      <protection locked="1" hidden="1"/>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1" formatCode="0"/>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165" formatCode="0.0"/>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scheme val="minor"/>
      </font>
      <numFmt numFmtId="1" formatCode="0"/>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indexed="65"/>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1" formatCode="0"/>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1" formatCode="0"/>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165" formatCode="0.0"/>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indexed="65"/>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indexed="65"/>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1" formatCode="0"/>
      <fill>
        <patternFill patternType="solid">
          <fgColor indexed="64"/>
          <bgColor theme="9" tint="0.59999389629810485"/>
        </patternFill>
      </fill>
      <alignment horizontal="general" vertical="top" textRotation="0" wrapText="0" indent="0" justifyLastLine="0" shrinkToFit="0" readingOrder="0"/>
      <protection locked="0" hidden="0"/>
    </dxf>
    <dxf>
      <font>
        <strike val="0"/>
        <outline val="0"/>
        <shadow val="0"/>
        <u val="none"/>
        <vertAlign val="baseline"/>
        <sz val="8"/>
        <color auto="1"/>
        <name val="Calibri"/>
        <scheme val="minor"/>
      </font>
      <numFmt numFmtId="1" formatCode="0"/>
      <fill>
        <patternFill patternType="solid">
          <fgColor indexed="64"/>
          <bgColor theme="9" tint="0.59999389629810485"/>
        </patternFill>
      </fill>
      <alignment horizontal="general" vertical="top" textRotation="0" wrapText="0" indent="0" justifyLastLine="0" shrinkToFit="0"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b val="0"/>
        <i val="0"/>
        <strike val="0"/>
        <condense val="0"/>
        <extend val="0"/>
        <outline val="0"/>
        <shadow val="0"/>
        <u val="none"/>
        <vertAlign val="baseline"/>
        <sz val="8"/>
        <color auto="1"/>
        <name val="Calibri"/>
        <scheme val="minor"/>
      </font>
      <numFmt numFmtId="30" formatCode="@"/>
      <fill>
        <patternFill patternType="none">
          <fgColor indexed="64"/>
          <bgColor indexed="65"/>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indexed="65"/>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numFmt numFmtId="30" formatCode="@"/>
      <fill>
        <patternFill patternType="none">
          <fgColor indexed="64"/>
          <bgColor auto="1"/>
        </patternFill>
      </fill>
      <alignment horizontal="general" vertical="top" textRotation="0" wrapText="0" indent="0" justifyLastLine="0" shrinkToFit="1" readingOrder="0"/>
      <protection locked="0" hidden="0"/>
    </dxf>
    <dxf>
      <font>
        <strike val="0"/>
        <outline val="0"/>
        <shadow val="0"/>
        <u val="none"/>
        <vertAlign val="baseline"/>
        <sz val="8"/>
        <color auto="1"/>
        <name val="Calibri"/>
        <scheme val="minor"/>
      </font>
      <fill>
        <patternFill patternType="none">
          <fgColor indexed="64"/>
          <bgColor auto="1"/>
        </patternFill>
      </fill>
      <alignment horizontal="general" vertical="top" textRotation="0" wrapText="0" indent="0" justifyLastLine="0" shrinkToFit="1" readingOrder="0"/>
      <protection locked="0" hidden="0"/>
    </dxf>
    <dxf>
      <font>
        <b/>
        <strike val="0"/>
        <outline val="0"/>
        <shadow val="0"/>
        <u val="none"/>
        <vertAlign val="baseline"/>
        <sz val="8"/>
        <color auto="1"/>
        <name val="Calibri"/>
        <scheme val="minor"/>
      </font>
      <fill>
        <patternFill patternType="none">
          <fgColor indexed="64"/>
          <bgColor theme="6" tint="0.39997558519241921"/>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1"/>
    </dxf>
  </dxfs>
  <tableStyles count="0" defaultTableStyle="TableStyleMedium9" defaultPivotStyle="PivotStyleLight16"/>
  <colors>
    <mruColors>
      <color rgb="FF0000FF"/>
      <color rgb="FF00FFFF"/>
      <color rgb="FF00FFCC"/>
      <color rgb="FFFFFF99"/>
      <color rgb="FFFAB8BE"/>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Vessels" displayName="tblVessels" ref="A23:Z50" totalsRowShown="0" headerRowDxfId="81" dataDxfId="80">
  <autoFilter ref="A23:Z50" xr:uid="{00000000-0009-0000-0100-000002000000}"/>
  <tableColumns count="26">
    <tableColumn id="1" xr3:uid="{00000000-0010-0000-0000-000001000000}" name="ICCATSerialNo" dataDxfId="79"/>
    <tableColumn id="4" xr3:uid="{00000000-0010-0000-0000-000004000000}" name="NatRegNo" dataDxfId="78"/>
    <tableColumn id="2" xr3:uid="{00000000-0010-0000-0000-000002000000}" name="IntRegNo" dataDxfId="77"/>
    <tableColumn id="26" xr3:uid="{00000000-0010-0000-0000-00001A000000}" name="IRNoType" dataDxfId="76"/>
    <tableColumn id="3" xr3:uid="{00000000-0010-0000-0000-000003000000}" name="IRCS" dataDxfId="75"/>
    <tableColumn id="5" xr3:uid="{00000000-0010-0000-0000-000005000000}" name="VesselNameCur" dataDxfId="74"/>
    <tableColumn id="6" xr3:uid="{00000000-0010-0000-0000-000006000000}" name="VesselNamePrv" dataDxfId="73"/>
    <tableColumn id="7" xr3:uid="{00000000-0010-0000-0000-000007000000}" name="FlagCurCd" dataDxfId="72"/>
    <tableColumn id="8" xr3:uid="{00000000-0010-0000-0000-000008000000}" name="FlagPrvCd" dataDxfId="71"/>
    <tableColumn id="9" xr3:uid="{00000000-0010-0000-0000-000009000000}" name="OwnerID" dataDxfId="70"/>
    <tableColumn id="10" xr3:uid="{00000000-0010-0000-0000-00000A000000}" name="OperatorID" dataDxfId="69"/>
    <tableColumn id="23" xr3:uid="{00000000-0010-0000-0000-000017000000}" name="IsscfvID" dataDxfId="68"/>
    <tableColumn id="24" xr3:uid="{00000000-0010-0000-0000-000018000000}" name="IsscfgID" dataDxfId="67"/>
    <tableColumn id="11" xr3:uid="{00000000-0010-0000-0000-00000B000000}" name="LengthM" dataDxfId="66"/>
    <tableColumn id="12" xr3:uid="{00000000-0010-0000-0000-00000C000000}" name="LenType" dataDxfId="65"/>
    <tableColumn id="13" xr3:uid="{00000000-0010-0000-0000-00000D000000}" name="Tonnage" dataDxfId="64"/>
    <tableColumn id="14" xr3:uid="{00000000-0010-0000-0000-00000E000000}" name="TonType" dataDxfId="63"/>
    <tableColumn id="15" xr3:uid="{00000000-0010-0000-0000-00000F000000}" name="CarCapacity" dataDxfId="62"/>
    <tableColumn id="16" xr3:uid="{00000000-0010-0000-0000-000010000000}" name="CCapUnitCd" dataDxfId="61"/>
    <tableColumn id="25" xr3:uid="{00000000-0010-0000-0000-000019000000}" name="ExternalMark" dataDxfId="60"/>
    <tableColumn id="17" xr3:uid="{00000000-0010-0000-0000-000011000000}" name="YrBuilt" dataDxfId="59"/>
    <tableColumn id="18" xr3:uid="{00000000-0010-0000-0000-000012000000}" name="ShipyNat" dataDxfId="58"/>
    <tableColumn id="19" xr3:uid="{00000000-0010-0000-0000-000013000000}" name="HomePort" dataDxfId="57"/>
    <tableColumn id="20" xr3:uid="{00000000-0010-0000-0000-000014000000}" name="DepthM" dataDxfId="56"/>
    <tableColumn id="21" xr3:uid="{00000000-0010-0000-0000-000015000000}" name="EngineHP" dataDxfId="55"/>
    <tableColumn id="22" xr3:uid="{00000000-0010-0000-0000-000016000000}" name="VMSSysCd" dataDxfId="54"/>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blAuthorizations" displayName="tblAuthorizations" ref="A23:Y50" totalsRowShown="0" headerRowDxfId="53" dataDxfId="52">
  <autoFilter ref="A23:Y50" xr:uid="{00000000-0009-0000-0100-000005000000}"/>
  <sortState xmlns:xlrd2="http://schemas.microsoft.com/office/spreadsheetml/2017/richdata2" ref="A21:T36">
    <sortCondition ref="E25"/>
  </sortState>
  <tableColumns count="25">
    <tableColumn id="1" xr3:uid="{00000000-0010-0000-0100-000001000000}" name="ICCATSerialNo" dataDxfId="51"/>
    <tableColumn id="2" xr3:uid="{00000000-0010-0000-0100-000002000000}" name="NatRegNo" dataDxfId="50"/>
    <tableColumn id="3" xr3:uid="{00000000-0010-0000-0100-000003000000}" name="P20mDtFr" dataDxfId="49"/>
    <tableColumn id="4" xr3:uid="{00000000-0010-0000-0100-000004000000}" name="P20mDtTo" dataDxfId="48"/>
    <tableColumn id="7" xr3:uid="{00000000-0010-0000-0100-000007000000}" name="P20mRM" dataDxfId="47"/>
    <tableColumn id="8" xr3:uid="{00000000-0010-0000-0100-000008000000}" name="SWOn" dataDxfId="46"/>
    <tableColumn id="9" xr3:uid="{00000000-0010-0000-0100-000009000000}" name="SWOs" dataDxfId="45"/>
    <tableColumn id="10" xr3:uid="{00000000-0010-0000-0100-00000A000000}" name="ALBn" dataDxfId="44"/>
    <tableColumn id="5" xr3:uid="{00000000-0010-0000-0100-000005000000}" name="ALBs" dataDxfId="43"/>
    <tableColumn id="11" xr3:uid="{00000000-0010-0000-0100-00000B000000}" name="TropDtFr" dataDxfId="42"/>
    <tableColumn id="12" xr3:uid="{00000000-0010-0000-0100-00000C000000}" name="TropDtTo" dataDxfId="41"/>
    <tableColumn id="13" xr3:uid="{00000000-0010-0000-0100-00000D000000}" name="TropRM" dataDxfId="40"/>
    <tableColumn id="16" xr3:uid="{00000000-0010-0000-0100-000010000000}" name="SWOmDtFr" dataDxfId="39"/>
    <tableColumn id="17" xr3:uid="{00000000-0010-0000-0100-000011000000}" name="SWOmDtTo" dataDxfId="38"/>
    <tableColumn id="26" xr3:uid="{00000000-0010-0000-0100-00001A000000}" name="ALBmDtFr" dataDxfId="37"/>
    <tableColumn id="27" xr3:uid="{00000000-0010-0000-0100-00001B000000}" name="ALBmDtTo" dataDxfId="36"/>
    <tableColumn id="14" xr3:uid="{00000000-0010-0000-0100-00000E000000}" name="CarrDtFr" dataDxfId="35"/>
    <tableColumn id="15" xr3:uid="{00000000-0010-0000-0100-00000F000000}" name="CarrDtTo" dataDxfId="34"/>
    <tableColumn id="20" xr3:uid="{00000000-0010-0000-0100-000014000000}" name="BFEcDtFr" dataDxfId="33"/>
    <tableColumn id="21" xr3:uid="{00000000-0010-0000-0100-000015000000}" name="BFEcDtTo" dataDxfId="32"/>
    <tableColumn id="18" xr3:uid="{00000000-0010-0000-0100-000012000000}" name="BFEcFisTyp" dataDxfId="31"/>
    <tableColumn id="22" xr3:uid="{00000000-0010-0000-0100-000016000000}" name="BFEcFisAre" dataDxfId="30"/>
    <tableColumn id="23" xr3:uid="{00000000-0010-0000-0100-000017000000}" name="BFEcAQuoKG" dataDxfId="29"/>
    <tableColumn id="24" xr3:uid="{00000000-0010-0000-0100-000018000000}" name="BFEoDtFr" dataDxfId="28"/>
    <tableColumn id="25" xr3:uid="{00000000-0010-0000-0100-000019000000}" name="BFEoDtTo" dataDxfId="27"/>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blOwOpEntities" displayName="tblOwOpEntities" ref="A19:H30" totalsRowShown="0" headerRowDxfId="26" dataDxfId="24" headerRowBorderDxfId="25" tableBorderDxfId="23">
  <autoFilter ref="A19:H30" xr:uid="{00000000-0009-0000-0100-000004000000}"/>
  <tableColumns count="8">
    <tableColumn id="1" xr3:uid="{00000000-0010-0000-0200-000001000000}" name="OwOpEntityID" dataDxfId="22"/>
    <tableColumn id="2" xr3:uid="{00000000-0010-0000-0200-000002000000}" name="OwOpName" dataDxfId="21"/>
    <tableColumn id="3" xr3:uid="{00000000-0010-0000-0200-000003000000}" name="OwOpAddrs" dataDxfId="20"/>
    <tableColumn id="4" xr3:uid="{00000000-0010-0000-0200-000004000000}" name="OwOpCity" dataDxfId="19"/>
    <tableColumn id="5" xr3:uid="{00000000-0010-0000-0200-000005000000}" name="OwOpZipCd" dataDxfId="18"/>
    <tableColumn id="6" xr3:uid="{00000000-0010-0000-0200-000006000000}" name="OwOpCtry" dataDxfId="17"/>
    <tableColumn id="9" xr3:uid="{00000000-0010-0000-0200-000009000000}" name="OwOpEmail" dataDxfId="16"/>
    <tableColumn id="7" xr3:uid="{00000000-0010-0000-0200-000007000000}" name="OwOpTel" dataDxfId="15"/>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blTranslation" displayName="tblTranslation" ref="A4:L127" totalsRowShown="0" headerRowDxfId="14" dataDxfId="13">
  <autoFilter ref="A4:L127" xr:uid="{00000000-0009-0000-0100-000001000000}"/>
  <tableColumns count="12">
    <tableColumn id="1" xr3:uid="{00000000-0010-0000-0300-000001000000}" name="FieldID" dataDxfId="12"/>
    <tableColumn id="13" xr3:uid="{00000000-0010-0000-0300-00000D000000}" name="Order" dataDxfId="11"/>
    <tableColumn id="7" xr3:uid="{00000000-0010-0000-0300-000007000000}" name="Subform" dataDxfId="10"/>
    <tableColumn id="6" xr3:uid="{00000000-0010-0000-0300-000006000000}" name="Section" dataDxfId="9"/>
    <tableColumn id="5" xr3:uid="{00000000-0010-0000-0300-000005000000}" name="Item" dataDxfId="8"/>
    <tableColumn id="12" xr3:uid="{00000000-0010-0000-0300-00000C000000}" name="FieldType" dataDxfId="7"/>
    <tableColumn id="11" xr3:uid="{00000000-0010-0000-0300-00000B000000}" name="FldNameEN" dataDxfId="6"/>
    <tableColumn id="10" xr3:uid="{00000000-0010-0000-0300-00000A000000}" name="FldNameFR" dataDxfId="5"/>
    <tableColumn id="9" xr3:uid="{00000000-0010-0000-0300-000009000000}" name="FldNameES" dataDxfId="4"/>
    <tableColumn id="2" xr3:uid="{00000000-0010-0000-0300-000002000000}" name="fldDescEN" dataDxfId="3"/>
    <tableColumn id="3" xr3:uid="{00000000-0010-0000-0300-000003000000}" name="fldDescFR" dataDxfId="2"/>
    <tableColumn id="4" xr3:uid="{00000000-0010-0000-0300-000004000000}" name="fldDescES" dataDxfId="1"/>
  </tableColumns>
  <tableStyleInfo name="TableStyleLight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pageSetUpPr fitToPage="1"/>
  </sheetPr>
  <dimension ref="A1:Z51"/>
  <sheetViews>
    <sheetView tabSelected="1" zoomScaleNormal="100" workbookViewId="0">
      <selection activeCell="N2" sqref="N2"/>
    </sheetView>
  </sheetViews>
  <sheetFormatPr defaultColWidth="13.140625" defaultRowHeight="12" x14ac:dyDescent="0.25"/>
  <cols>
    <col min="1" max="1" width="17.85546875" style="3" bestFit="1" customWidth="1"/>
    <col min="2" max="2" width="19.140625" style="3" bestFit="1" customWidth="1"/>
    <col min="3" max="3" width="11.7109375" style="3" customWidth="1"/>
    <col min="4" max="4" width="9.5703125" style="3" bestFit="1" customWidth="1"/>
    <col min="5" max="5" width="8.140625" style="3" bestFit="1" customWidth="1"/>
    <col min="6" max="7" width="19.140625" style="3" bestFit="1" customWidth="1"/>
    <col min="8" max="9" width="8.85546875" style="3" customWidth="1"/>
    <col min="10" max="10" width="9" style="3" customWidth="1"/>
    <col min="11" max="11" width="8.5703125" style="3" customWidth="1"/>
    <col min="12" max="12" width="9" style="3" customWidth="1"/>
    <col min="13" max="13" width="8.140625" style="3" bestFit="1" customWidth="1"/>
    <col min="14" max="14" width="9.28515625" style="3" bestFit="1" customWidth="1"/>
    <col min="15" max="15" width="8" style="3" customWidth="1"/>
    <col min="16" max="16" width="7.42578125" style="3" customWidth="1"/>
    <col min="17" max="17" width="7.28515625" style="3" customWidth="1"/>
    <col min="18" max="18" width="8.85546875" style="3" customWidth="1"/>
    <col min="19" max="19" width="10.28515625" style="2" customWidth="1"/>
    <col min="20" max="20" width="12.140625" style="2" bestFit="1" customWidth="1"/>
    <col min="21" max="21" width="9.85546875" style="2" customWidth="1"/>
    <col min="22" max="22" width="10" style="2" customWidth="1"/>
    <col min="23" max="23" width="12.42578125" style="2" bestFit="1" customWidth="1"/>
    <col min="24" max="24" width="8.85546875" style="2" bestFit="1" customWidth="1"/>
    <col min="25" max="25" width="10.28515625" style="2" customWidth="1"/>
    <col min="26" max="26" width="10.140625" style="3" bestFit="1" customWidth="1"/>
    <col min="27" max="16384" width="13.140625" style="3"/>
  </cols>
  <sheetData>
    <row r="1" spans="1:15" s="6" customFormat="1" ht="21" x14ac:dyDescent="0.25">
      <c r="A1" s="319" t="str">
        <f>VLOOKUP("T00",tblTranslation[],LangFieldID,FALSE)</f>
        <v>CP01-VessLsts</v>
      </c>
      <c r="B1" s="324" t="str">
        <f>VLOOKUP("T00",tblTranslation[],LangNameID,FALSE)</f>
        <v>REGISTRATION/AUTHORISATION OF VESSELS IN THE ICCAT VESSEL RECORD</v>
      </c>
      <c r="C1" s="324"/>
      <c r="D1" s="324"/>
      <c r="E1" s="324"/>
      <c r="F1" s="324"/>
      <c r="G1" s="324"/>
      <c r="H1" s="324"/>
      <c r="I1" s="324"/>
      <c r="J1" s="324"/>
      <c r="K1" s="324"/>
      <c r="L1" s="324"/>
      <c r="M1" s="324"/>
      <c r="N1" s="43" t="str">
        <f>VLOOKUP("tVersion",tblTranslation[],LangFieldID,FALSE)</f>
        <v>Version</v>
      </c>
      <c r="O1" s="44" t="str">
        <f>VLOOKUP("tLang",tblTranslation[],LangFieldID,FALSE)</f>
        <v>Language</v>
      </c>
    </row>
    <row r="2" spans="1:15" s="6" customFormat="1" x14ac:dyDescent="0.25">
      <c r="A2" s="320"/>
      <c r="B2" s="325" t="str">
        <f>VLOOKUP("T02",tblTranslation[],LangFieldID,FALSE)&amp;": "&amp; VLOOKUP("T02",tblTranslation[],LangNameID,FALSE)</f>
        <v>ICCAT: INTERNATIONAL COMMISSION FOR THE CONSERVATION OF ATLANTIC TUNAS</v>
      </c>
      <c r="C2" s="325"/>
      <c r="D2" s="325"/>
      <c r="E2" s="325"/>
      <c r="F2" s="325"/>
      <c r="G2" s="325"/>
      <c r="H2" s="325"/>
      <c r="I2" s="325"/>
      <c r="J2" s="325"/>
      <c r="K2" s="325"/>
      <c r="L2" s="325"/>
      <c r="M2" s="325"/>
      <c r="N2" s="45" t="s">
        <v>1424</v>
      </c>
      <c r="O2" s="1" t="s">
        <v>1421</v>
      </c>
    </row>
    <row r="3" spans="1:15" s="11" customFormat="1" ht="11.25" x14ac:dyDescent="0.25">
      <c r="C3" s="151"/>
      <c r="D3" s="151"/>
      <c r="E3" s="151"/>
      <c r="F3" s="151"/>
      <c r="G3" s="151"/>
      <c r="H3" s="151"/>
      <c r="I3" s="151"/>
    </row>
    <row r="4" spans="1:15" s="11" customFormat="1" ht="11.25" x14ac:dyDescent="0.25">
      <c r="A4" s="322" t="str">
        <f>VLOOKUP("H10",tblTranslation[],LangFieldID,FALSE)</f>
        <v>Flag Correspondent</v>
      </c>
      <c r="B4" s="323"/>
      <c r="C4" s="323"/>
      <c r="D4" s="323"/>
      <c r="E4" s="323"/>
      <c r="F4" s="323"/>
      <c r="G4" s="323"/>
      <c r="H4" s="323"/>
      <c r="I4" s="55" t="str">
        <f>IF(AND(B5&gt;0,B6&gt;0,B7&gt;0,G5&gt;0,G6&gt;0), "ok", "inc")</f>
        <v>inc</v>
      </c>
      <c r="J4" s="293" t="str">
        <f>VLOOKUP("H20",tblTranslation[],LangFieldID,FALSE)</f>
        <v>Secretariat use only</v>
      </c>
      <c r="K4" s="294"/>
      <c r="L4" s="294"/>
      <c r="M4" s="294"/>
      <c r="N4" s="294"/>
      <c r="O4" s="190" t="s">
        <v>923</v>
      </c>
    </row>
    <row r="5" spans="1:15" s="11" customFormat="1" ht="11.25" x14ac:dyDescent="0.25">
      <c r="A5" s="149" t="str">
        <f>VLOOKUP("hPerson",tblTranslation[],LangFieldID,FALSE)</f>
        <v>Name</v>
      </c>
      <c r="B5" s="302"/>
      <c r="C5" s="302"/>
      <c r="D5" s="302"/>
      <c r="E5" s="66"/>
      <c r="F5" s="150" t="str">
        <f>VLOOKUP("hEmail",tblTranslation[],LangFieldID,FALSE)</f>
        <v>Email</v>
      </c>
      <c r="G5" s="326"/>
      <c r="H5" s="326"/>
      <c r="I5" s="60"/>
      <c r="J5" s="313" t="str">
        <f>VLOOKUP("hDateRep",tblTranslation[],LangFieldID,FALSE)</f>
        <v>Date reported</v>
      </c>
      <c r="K5" s="314"/>
      <c r="L5" s="327"/>
      <c r="M5" s="327"/>
      <c r="N5" s="147"/>
      <c r="O5" s="296" t="s">
        <v>939</v>
      </c>
    </row>
    <row r="6" spans="1:15" s="11" customFormat="1" ht="11.25" x14ac:dyDescent="0.25">
      <c r="A6" s="149" t="str">
        <f>VLOOKUP("hAgency",tblTranslation[],LangFieldID,FALSE)</f>
        <v>Reporting Agency</v>
      </c>
      <c r="B6" s="302"/>
      <c r="C6" s="302"/>
      <c r="D6" s="302"/>
      <c r="E6" s="302"/>
      <c r="F6" s="150" t="str">
        <f>VLOOKUP("hPhone",tblTranslation[],LangFieldID,FALSE)</f>
        <v>Phone</v>
      </c>
      <c r="G6" s="148"/>
      <c r="H6" s="66"/>
      <c r="I6" s="60"/>
      <c r="J6" s="313" t="str">
        <f>VLOOKUP("hRef",tblTranslation[],LangFieldID,FALSE)</f>
        <v>Reference Nº</v>
      </c>
      <c r="K6" s="314"/>
      <c r="L6" s="321"/>
      <c r="M6" s="321"/>
      <c r="N6" s="153"/>
      <c r="O6" s="296"/>
    </row>
    <row r="7" spans="1:15" s="11" customFormat="1" ht="11.25" x14ac:dyDescent="0.25">
      <c r="A7" s="149" t="str">
        <f>VLOOKUP("hAddress",tblTranslation[],LangFieldID,FALSE)</f>
        <v>Address</v>
      </c>
      <c r="B7" s="302"/>
      <c r="C7" s="302"/>
      <c r="D7" s="302"/>
      <c r="E7" s="302"/>
      <c r="F7" s="147"/>
      <c r="G7" s="147"/>
      <c r="H7" s="147"/>
      <c r="I7" s="60"/>
      <c r="J7" s="298" t="str">
        <f>VLOOKUP("hFname",tblTranslation[],LangFieldID,FALSE)&amp;":"</f>
        <v>File name (proposed):</v>
      </c>
      <c r="K7" s="299"/>
      <c r="L7" s="299"/>
      <c r="M7" s="48"/>
      <c r="N7" s="153"/>
      <c r="O7" s="297"/>
    </row>
    <row r="8" spans="1:15" s="11" customFormat="1" ht="11.25" x14ac:dyDescent="0.25">
      <c r="A8" s="41"/>
      <c r="B8" s="47"/>
      <c r="C8" s="47"/>
      <c r="D8" s="47"/>
      <c r="E8" s="47"/>
      <c r="F8" s="47"/>
      <c r="G8" s="47"/>
      <c r="H8" s="47"/>
      <c r="I8" s="67"/>
      <c r="J8" s="317" t="str">
        <f>IF(AND(I4="ok",I9="ok"),"CP01_"&amp;D10&amp;IF(AND(L5&gt;0,L6&gt;0),"#"&amp;L6&amp;".xlsx","#[suffix].xlsx"),"")</f>
        <v/>
      </c>
      <c r="K8" s="318"/>
      <c r="L8" s="318"/>
      <c r="M8" s="318"/>
      <c r="N8" s="318"/>
      <c r="O8" s="154"/>
    </row>
    <row r="9" spans="1:15" s="11" customFormat="1" thickBot="1" x14ac:dyDescent="0.3">
      <c r="A9" s="293" t="str">
        <f>VLOOKUP("H30",tblTranslation[],LangFieldID,FALSE)</f>
        <v>Data set characteristics</v>
      </c>
      <c r="B9" s="294"/>
      <c r="C9" s="294"/>
      <c r="D9" s="294"/>
      <c r="E9" s="294"/>
      <c r="F9" s="147"/>
      <c r="G9" s="147"/>
      <c r="H9" s="147"/>
      <c r="I9" s="58" t="str">
        <f>IF(AND(B10&gt;0,B12&gt;0), "ok", "inc")</f>
        <v>inc</v>
      </c>
      <c r="J9" s="56" t="str">
        <f>VLOOKUP("hNotes",tblTranslation[],LangFieldID,FALSE)</f>
        <v>Notes</v>
      </c>
      <c r="K9" s="56"/>
      <c r="L9" s="56"/>
      <c r="M9" s="147"/>
      <c r="N9" s="147"/>
      <c r="O9" s="57"/>
    </row>
    <row r="10" spans="1:15" s="11" customFormat="1" ht="11.25" x14ac:dyDescent="0.25">
      <c r="A10" s="191" t="str">
        <f>VLOOKUP("hFlagRep",tblTranslation[],LangFieldID,FALSE)</f>
        <v>Reporting Flag</v>
      </c>
      <c r="B10" s="302"/>
      <c r="C10" s="302"/>
      <c r="D10" s="147" t="str">
        <f>IF(B10&gt;0,VLOOKUP(B10,Codes!A3:B175,2,FALSE),"")</f>
        <v/>
      </c>
      <c r="E10" s="147"/>
      <c r="F10" s="303" t="str">
        <f>VLOOKUP("H31",tblTranslation[],LangFieldID,FALSE)&amp;COUNTA(tblAuthorizations[NatRegNo])&amp;")"</f>
        <v>CP01B summary (Nº vessels: 0)</v>
      </c>
      <c r="G10" s="304"/>
      <c r="H10" s="147"/>
      <c r="I10" s="56"/>
      <c r="J10" s="305"/>
      <c r="K10" s="305"/>
      <c r="L10" s="305"/>
      <c r="M10" s="305"/>
      <c r="N10" s="305"/>
      <c r="O10" s="306"/>
    </row>
    <row r="11" spans="1:15" s="11" customFormat="1" ht="11.25" x14ac:dyDescent="0.25">
      <c r="A11" s="158"/>
      <c r="B11" s="147"/>
      <c r="C11" s="147"/>
      <c r="D11" s="147"/>
      <c r="E11" s="147"/>
      <c r="F11" s="82" t="str">
        <f>IF(AND($I$4="ok",$I$9="ok"),"P20m: "&amp; COUNTA(tblAuthorizations[P20mDtTo]),"P20m: ")</f>
        <v xml:space="preserve">P20m: </v>
      </c>
      <c r="G11" s="83" t="str">
        <f>IF(AND($I$4="ok",$I$9="ok"),"BFTc: "&amp; COUNTA(tblAuthorizations[BFEcDtTo]),"BFTc: ")</f>
        <v xml:space="preserve">BFTc: </v>
      </c>
      <c r="H11" s="147"/>
      <c r="I11" s="147"/>
      <c r="J11" s="305"/>
      <c r="K11" s="305"/>
      <c r="L11" s="305"/>
      <c r="M11" s="305"/>
      <c r="N11" s="305"/>
      <c r="O11" s="306"/>
    </row>
    <row r="12" spans="1:15" s="11" customFormat="1" ht="11.25" x14ac:dyDescent="0.25">
      <c r="A12" s="191" t="str">
        <f>VLOOKUP("hActions",tblTranslation[],LangFieldID,FALSE)</f>
        <v>Action requested</v>
      </c>
      <c r="B12" s="302"/>
      <c r="C12" s="302"/>
      <c r="D12" s="302"/>
      <c r="E12" s="147"/>
      <c r="F12" s="84" t="str">
        <f>IF(AND($I$4="ok",$I$9="ok"),"SWOn: "&amp; COUNTA(tblAuthorizations[SWOn]),"SWOn: ")</f>
        <v xml:space="preserve">SWOn: </v>
      </c>
      <c r="G12" s="85" t="str">
        <f>IF(AND($I$4="ok",$I$9="ok"),"BFTo: "&amp; COUNTA(tblAuthorizations[BFEoDtTo]),"BFTo: ")</f>
        <v xml:space="preserve">BFTo: </v>
      </c>
      <c r="H12" s="147"/>
      <c r="I12" s="56"/>
      <c r="J12" s="305"/>
      <c r="K12" s="305"/>
      <c r="L12" s="305"/>
      <c r="M12" s="305"/>
      <c r="N12" s="305"/>
      <c r="O12" s="306"/>
    </row>
    <row r="13" spans="1:15" s="11" customFormat="1" thickBot="1" x14ac:dyDescent="0.3">
      <c r="A13" s="158"/>
      <c r="B13" s="147"/>
      <c r="C13" s="147"/>
      <c r="D13" s="147"/>
      <c r="E13" s="147"/>
      <c r="F13" s="84" t="str">
        <f>IF(AND($I$4="ok",$I$9="ok"),"SWOs: "&amp; COUNTA(tblAuthorizations[SWOs]),"SWOs: ")</f>
        <v xml:space="preserve">SWOs: </v>
      </c>
      <c r="G13" s="85" t="str">
        <f>IF(AND($I$4="ok",$I$9="ok"),"SWOm: "&amp; COUNTA(tblAuthorizations[SWOmDtTo]),"SWOm: ")</f>
        <v xml:space="preserve">SWOm: </v>
      </c>
      <c r="H13" s="147"/>
      <c r="I13" s="56"/>
      <c r="J13" s="305"/>
      <c r="K13" s="305"/>
      <c r="L13" s="305"/>
      <c r="M13" s="305"/>
      <c r="N13" s="305"/>
      <c r="O13" s="306"/>
    </row>
    <row r="14" spans="1:15" s="11" customFormat="1" ht="11.25" x14ac:dyDescent="0.25">
      <c r="A14" s="307" t="s">
        <v>1300</v>
      </c>
      <c r="B14" s="308"/>
      <c r="C14" s="308"/>
      <c r="D14" s="309"/>
      <c r="E14" s="147"/>
      <c r="F14" s="84" t="str">
        <f>IF(AND($I$4="ok",$I$9="ok"),"ALBn: "&amp; COUNTA(tblAuthorizations[ALBn]),"ALBn: ")</f>
        <v xml:space="preserve">ALBn: </v>
      </c>
      <c r="G14" s="85" t="str">
        <f>IF(AND($I$4="ok",$I$9="ok"),"ALBm: "&amp; COUNTA(tblAuthorizations[ALBmDtTo]),"ALBm: ")</f>
        <v xml:space="preserve">ALBm: </v>
      </c>
      <c r="H14" s="147"/>
      <c r="I14" s="56"/>
      <c r="J14" s="305"/>
      <c r="K14" s="305"/>
      <c r="L14" s="305"/>
      <c r="M14" s="305"/>
      <c r="N14" s="305"/>
      <c r="O14" s="306"/>
    </row>
    <row r="15" spans="1:15" s="11" customFormat="1" ht="11.25" x14ac:dyDescent="0.25">
      <c r="A15" s="89" t="str">
        <f>VLOOKUP("T04",tblTranslation[],LangFieldID,FALSE)</f>
        <v>CP01B</v>
      </c>
      <c r="B15" s="299" t="str">
        <f>VLOOKUP("T04",tblTranslation[],LangNameID,FALSE)</f>
        <v>Authorizations on the ICCAT lists</v>
      </c>
      <c r="C15" s="299"/>
      <c r="D15" s="310"/>
      <c r="E15" s="147"/>
      <c r="F15" s="84" t="str">
        <f>IF(AND($I$4="ok",$I$9="ok"),"ALBs: "&amp; COUNTA(tblAuthorizations[ALBs]),"ALBs: ")</f>
        <v xml:space="preserve">ALBs: </v>
      </c>
      <c r="G15" s="85" t="str">
        <f>IF(AND($I$4="ok",$I$9="ok"),"Carr: "&amp; COUNTA(tblAuthorizations[CarrDtTo]),"Carr: ")</f>
        <v xml:space="preserve">Carr: </v>
      </c>
      <c r="H15" s="147"/>
      <c r="I15" s="56"/>
      <c r="J15" s="305"/>
      <c r="K15" s="305"/>
      <c r="L15" s="305"/>
      <c r="M15" s="305"/>
      <c r="N15" s="305"/>
      <c r="O15" s="306"/>
    </row>
    <row r="16" spans="1:15" s="11" customFormat="1" thickBot="1" x14ac:dyDescent="0.3">
      <c r="A16" s="90" t="str">
        <f>VLOOKUP("T05",tblTranslation[],LangFieldID,FALSE)</f>
        <v>CP01C</v>
      </c>
      <c r="B16" s="311" t="str">
        <f>VLOOKUP("T05",tblTranslation[],LangNameID,FALSE)</f>
        <v>Ownership (Owners/Operators) details</v>
      </c>
      <c r="C16" s="311"/>
      <c r="D16" s="312"/>
      <c r="E16" s="147"/>
      <c r="F16" s="86" t="str">
        <f>IF(AND($I$4="ok",$I$9="ok"),"Trop: "&amp; COUNTA(tblAuthorizations[TropDtTo]),"Trop: ")</f>
        <v xml:space="preserve">Trop: </v>
      </c>
      <c r="G16" s="186"/>
      <c r="H16" s="147"/>
      <c r="I16" s="56"/>
      <c r="J16" s="305"/>
      <c r="K16" s="305"/>
      <c r="L16" s="305"/>
      <c r="M16" s="305"/>
      <c r="N16" s="305"/>
      <c r="O16" s="306"/>
    </row>
    <row r="17" spans="1:26" s="11" customFormat="1" ht="11.25" x14ac:dyDescent="0.25">
      <c r="A17" s="70"/>
      <c r="B17" s="47"/>
      <c r="C17" s="47"/>
      <c r="D17" s="47"/>
      <c r="E17" s="47"/>
      <c r="F17" s="47"/>
      <c r="G17" s="47"/>
      <c r="H17" s="47"/>
      <c r="I17" s="47"/>
      <c r="J17" s="47"/>
      <c r="K17" s="47"/>
      <c r="L17" s="47"/>
      <c r="M17" s="47"/>
      <c r="N17" s="47"/>
      <c r="O17" s="46"/>
    </row>
    <row r="18" spans="1:26" s="11" customFormat="1" ht="12.75" x14ac:dyDescent="0.25">
      <c r="A18" s="295" t="str">
        <f>VLOOKUP("T03",tblTranslation[],LangFieldID,FALSE) &amp;": "&amp; VLOOKUP("T03",tblTranslation[],LangNameID,FALSE)</f>
        <v>CP01A: Vessel registration details (characteristics)</v>
      </c>
      <c r="B18" s="295"/>
      <c r="C18" s="295"/>
      <c r="D18" s="295"/>
      <c r="E18" s="92"/>
    </row>
    <row r="19" spans="1:26" s="11" customFormat="1" ht="11.25" x14ac:dyDescent="0.25">
      <c r="A19" s="301" t="str">
        <f>VLOOKUP("D10",tblTranslation[],LangFieldID,FALSE)</f>
        <v>Mandatory information (vessels)</v>
      </c>
      <c r="B19" s="301"/>
      <c r="C19" s="301"/>
      <c r="D19" s="301"/>
      <c r="E19" s="301"/>
      <c r="F19" s="301"/>
      <c r="G19" s="301"/>
      <c r="H19" s="301"/>
      <c r="I19" s="301"/>
      <c r="J19" s="301"/>
      <c r="K19" s="301"/>
      <c r="L19" s="301"/>
      <c r="M19" s="301"/>
      <c r="N19" s="301"/>
      <c r="O19" s="301"/>
      <c r="P19" s="301"/>
      <c r="Q19" s="301"/>
      <c r="R19" s="301"/>
      <c r="S19" s="301"/>
      <c r="T19" s="300" t="str">
        <f>VLOOKUP("D20",tblTranslation[],LangFieldID,FALSE)</f>
        <v>Optional information (vessels)</v>
      </c>
      <c r="U19" s="300"/>
      <c r="V19" s="300"/>
      <c r="W19" s="300"/>
      <c r="X19" s="300"/>
      <c r="Y19" s="300"/>
      <c r="Z19" s="300"/>
    </row>
    <row r="20" spans="1:26" s="11" customFormat="1" ht="11.25" x14ac:dyDescent="0.25">
      <c r="A20" s="315" t="str">
        <f>VLOOKUP("D11",tblTranslation[],LangFieldID,FALSE)</f>
        <v>Identification</v>
      </c>
      <c r="B20" s="315"/>
      <c r="C20" s="315"/>
      <c r="D20" s="315"/>
      <c r="E20" s="315"/>
      <c r="F20" s="315"/>
      <c r="G20" s="315"/>
      <c r="H20" s="315"/>
      <c r="I20" s="315"/>
      <c r="J20" s="328" t="str">
        <f>VLOOKUP("D12",tblTranslation[],LangFieldID,FALSE)</f>
        <v>Ownership (CP01C)</v>
      </c>
      <c r="K20" s="328"/>
      <c r="L20" s="329" t="str">
        <f>VLOOKUP("D13",tblTranslation[],LangFieldID,FALSE)</f>
        <v xml:space="preserve">Characteristics </v>
      </c>
      <c r="M20" s="329"/>
      <c r="N20" s="329"/>
      <c r="O20" s="329"/>
      <c r="P20" s="329"/>
      <c r="Q20" s="329"/>
      <c r="R20" s="315" t="str">
        <f>VLOOKUP("D14",tblTranslation[],LangFieldID,FALSE)</f>
        <v>For Carrier vessels</v>
      </c>
      <c r="S20" s="315"/>
      <c r="T20" s="316" t="str">
        <f>VLOOKUP("D21",tblTranslation[],LangFieldID,FALSE)</f>
        <v>Various</v>
      </c>
      <c r="U20" s="316"/>
      <c r="V20" s="316"/>
      <c r="W20" s="316"/>
      <c r="X20" s="316"/>
      <c r="Y20" s="316"/>
      <c r="Z20" s="316"/>
    </row>
    <row r="21" spans="1:26" s="91" customFormat="1" ht="33.75" x14ac:dyDescent="0.25">
      <c r="A21" s="62" t="str">
        <f>VLOOKUP(A$23,tblTranslation[],LangFieldID,FALSE)</f>
        <v>ICCAT Serial Number</v>
      </c>
      <c r="B21" s="62" t="str">
        <f>VLOOKUP(B$23,tblTranslation[],LangFieldID,FALSE)</f>
        <v>Nat. Registry Nº (NRN)</v>
      </c>
      <c r="C21" s="62" t="str">
        <f>VLOOKUP(C$23,tblTranslation[],LangFieldID,FALSE)</f>
        <v>Internat. Registry Nº (IRN)</v>
      </c>
      <c r="D21" s="63" t="str">
        <f>VLOOKUP(D$23,tblTranslation[],LangFieldID,FALSE)</f>
        <v>Type of IRN (IMO/LR Nº)</v>
      </c>
      <c r="E21" s="62" t="str">
        <f>VLOOKUP(E$23,tblTranslation[],LangFieldID,FALSE)</f>
        <v>Internat. RCS</v>
      </c>
      <c r="F21" s="62" t="str">
        <f>VLOOKUP(F$23,tblTranslation[],LangFieldID,FALSE)</f>
        <v>Current Name (Latin)</v>
      </c>
      <c r="G21" s="62" t="str">
        <f>VLOOKUP(G$23,tblTranslation[],LangFieldID,FALSE)</f>
        <v>Previous Name (Latin)</v>
      </c>
      <c r="H21" s="63" t="str">
        <f>VLOOKUP(H$23,tblTranslation[],LangFieldID,FALSE)</f>
        <v>Flag (Current)</v>
      </c>
      <c r="I21" s="63" t="str">
        <f>VLOOKUP(I$23,tblTranslation[],LangFieldID,FALSE)</f>
        <v>Flag (Previous)</v>
      </c>
      <c r="J21" s="155" t="str">
        <f>VLOOKUP(J$23,tblTranslation[],LangFieldID,FALSE)</f>
        <v>Owner ID</v>
      </c>
      <c r="K21" s="155" t="str">
        <f>VLOOKUP(K$23,tblTranslation[],LangFieldID,FALSE)</f>
        <v>Operator ID</v>
      </c>
      <c r="L21" s="63" t="str">
        <f>VLOOKUP(L$23,tblTranslation[],LangFieldID,FALSE)</f>
        <v>Vessel type (ISSCFV)</v>
      </c>
      <c r="M21" s="63" t="str">
        <f>VLOOKUP(M$23,tblTranslation[],LangFieldID,FALSE)</f>
        <v>Gear type (ISSCFG)</v>
      </c>
      <c r="N21" s="62" t="str">
        <f>VLOOKUP(N$23,tblTranslation[],LangFieldID,FALSE)</f>
        <v>Length (m)</v>
      </c>
      <c r="O21" s="63" t="str">
        <f>VLOOKUP(O$23,tblTranslation[],LangFieldID,FALSE)</f>
        <v>Length type</v>
      </c>
      <c r="P21" s="62" t="str">
        <f>VLOOKUP(P$23,tblTranslation[],LangFieldID,FALSE)</f>
        <v>Tonnage</v>
      </c>
      <c r="Q21" s="63" t="str">
        <f>VLOOKUP(Q$23,tblTranslation[],LangFieldID,FALSE)</f>
        <v>Tonnage type</v>
      </c>
      <c r="R21" s="62" t="str">
        <f>VLOOKUP(R$23,tblTranslation[],LangFieldID,FALSE)</f>
        <v xml:space="preserve">Carrying Capacity </v>
      </c>
      <c r="S21" s="63" t="str">
        <f>VLOOKUP(S$23,tblTranslation[],LangFieldID,FALSE)</f>
        <v>Carr. Capacity unit</v>
      </c>
      <c r="T21" s="9" t="str">
        <f>VLOOKUP(T$23,tblTranslation[],LangFieldID,FALSE)</f>
        <v>External mark</v>
      </c>
      <c r="U21" s="9" t="str">
        <f>VLOOKUP(U$23,tblTranslation[],LangFieldID,FALSE)</f>
        <v>Year Built</v>
      </c>
      <c r="V21" s="185" t="str">
        <f>VLOOKUP(V$23,tblTranslation[],LangFieldID,FALSE)</f>
        <v>Shipyard 
Flag</v>
      </c>
      <c r="W21" s="9" t="str">
        <f>VLOOKUP(W$23,tblTranslation[],LangFieldID,FALSE)</f>
        <v>Home port</v>
      </c>
      <c r="X21" s="9" t="str">
        <f>VLOOKUP(X$23,tblTranslation[],LangFieldID,FALSE)</f>
        <v>Depth 
(m)</v>
      </c>
      <c r="Y21" s="9" t="str">
        <f>VLOOKUP(Y$23,tblTranslation[],LangFieldID,FALSE)</f>
        <v>Engine Power (HP)</v>
      </c>
      <c r="Z21" s="185" t="str">
        <f>VLOOKUP(Z$23,tblTranslation[],LangFieldID,FALSE)</f>
        <v>VMS 
installed</v>
      </c>
    </row>
    <row r="22" spans="1:26" s="42" customFormat="1" ht="11.25" x14ac:dyDescent="0.25">
      <c r="A22" s="42" t="str">
        <f>REPT("+",13)</f>
        <v>+++++++++++++</v>
      </c>
      <c r="B22" s="42" t="str">
        <f>REPT("+",25)</f>
        <v>+++++++++++++++++++++++++</v>
      </c>
      <c r="C22" s="42" t="str">
        <f>REPT("+",16)</f>
        <v>++++++++++++++++</v>
      </c>
      <c r="D22" s="42" t="str">
        <f>REPT("+",12)</f>
        <v>++++++++++++</v>
      </c>
      <c r="E22" s="42" t="str">
        <f>REPT("+",10)</f>
        <v>++++++++++</v>
      </c>
      <c r="F22" s="42" t="str">
        <f>REPT("+",25)</f>
        <v>+++++++++++++++++++++++++</v>
      </c>
      <c r="G22" s="42" t="str">
        <f>REPT("+",25)</f>
        <v>+++++++++++++++++++++++++</v>
      </c>
      <c r="H22" s="42" t="str">
        <f>REPT("+",7)</f>
        <v>+++++++</v>
      </c>
      <c r="I22" s="42" t="str">
        <f>REPT("+",7)</f>
        <v>+++++++</v>
      </c>
      <c r="J22" s="42" t="str">
        <f>REPT("+",8)</f>
        <v>++++++++</v>
      </c>
      <c r="K22" s="42" t="str">
        <f>REPT("+",8)</f>
        <v>++++++++</v>
      </c>
      <c r="L22" s="42" t="str">
        <f>REPT("+",8)</f>
        <v>++++++++</v>
      </c>
      <c r="M22" s="42" t="str">
        <f>REPT("+",8)</f>
        <v>++++++++</v>
      </c>
      <c r="N22" s="42" t="str">
        <f>REPT("+",6)</f>
        <v>++++++</v>
      </c>
      <c r="O22" s="42" t="str">
        <f>REPT("+",3)</f>
        <v>+++</v>
      </c>
      <c r="P22" s="42" t="str">
        <f>REPT("+",6)</f>
        <v>++++++</v>
      </c>
      <c r="Q22" s="42" t="str">
        <f>REPT("+",3)</f>
        <v>+++</v>
      </c>
      <c r="R22" s="42" t="str">
        <f>REPT("+",8)</f>
        <v>++++++++</v>
      </c>
      <c r="S22" s="173" t="str">
        <f>REPT("+",3)</f>
        <v>+++</v>
      </c>
      <c r="T22" s="42" t="str">
        <f>REPT("+",14)</f>
        <v>++++++++++++++</v>
      </c>
      <c r="U22" s="42" t="str">
        <f>REPT("+",4)</f>
        <v>++++</v>
      </c>
      <c r="V22" s="42" t="str">
        <f>REPT("+",6)</f>
        <v>++++++</v>
      </c>
      <c r="W22" s="42" t="str">
        <f>REPT("+",16)</f>
        <v>++++++++++++++++</v>
      </c>
      <c r="X22" s="42" t="str">
        <f>REPT("+",6)</f>
        <v>++++++</v>
      </c>
      <c r="Y22" s="42" t="str">
        <f>REPT("+",3)</f>
        <v>+++</v>
      </c>
      <c r="Z22" s="42" t="str">
        <f>REPT("+",8)</f>
        <v>++++++++</v>
      </c>
    </row>
    <row r="23" spans="1:26" s="10" customFormat="1" ht="11.25" x14ac:dyDescent="0.25">
      <c r="A23" s="68" t="s">
        <v>511</v>
      </c>
      <c r="B23" s="68" t="s">
        <v>530</v>
      </c>
      <c r="C23" s="68" t="s">
        <v>641</v>
      </c>
      <c r="D23" s="68" t="s">
        <v>642</v>
      </c>
      <c r="E23" s="68" t="s">
        <v>505</v>
      </c>
      <c r="F23" s="68" t="s">
        <v>512</v>
      </c>
      <c r="G23" s="68" t="s">
        <v>531</v>
      </c>
      <c r="H23" s="69" t="s">
        <v>1031</v>
      </c>
      <c r="I23" s="69" t="s">
        <v>1041</v>
      </c>
      <c r="J23" s="69" t="s">
        <v>2</v>
      </c>
      <c r="K23" s="69" t="s">
        <v>3</v>
      </c>
      <c r="L23" s="69" t="s">
        <v>506</v>
      </c>
      <c r="M23" s="69" t="s">
        <v>507</v>
      </c>
      <c r="N23" s="68" t="s">
        <v>508</v>
      </c>
      <c r="O23" s="68" t="s">
        <v>528</v>
      </c>
      <c r="P23" s="68" t="s">
        <v>12</v>
      </c>
      <c r="Q23" s="68" t="s">
        <v>529</v>
      </c>
      <c r="R23" s="68" t="s">
        <v>509</v>
      </c>
      <c r="S23" s="68" t="s">
        <v>1030</v>
      </c>
      <c r="T23" s="25" t="s">
        <v>613</v>
      </c>
      <c r="U23" s="25" t="s">
        <v>1029</v>
      </c>
      <c r="V23" s="26" t="s">
        <v>1042</v>
      </c>
      <c r="W23" s="25" t="s">
        <v>510</v>
      </c>
      <c r="X23" s="25" t="s">
        <v>513</v>
      </c>
      <c r="Y23" s="25" t="s">
        <v>1028</v>
      </c>
      <c r="Z23" s="26" t="s">
        <v>1027</v>
      </c>
    </row>
    <row r="24" spans="1:26" s="80" customFormat="1" ht="11.25" x14ac:dyDescent="0.25">
      <c r="A24" s="71"/>
      <c r="B24" s="71"/>
      <c r="C24" s="71"/>
      <c r="D24" s="71"/>
      <c r="E24" s="71"/>
      <c r="F24" s="71"/>
      <c r="G24" s="71"/>
      <c r="H24" s="71"/>
      <c r="I24" s="71"/>
      <c r="J24" s="72"/>
      <c r="K24" s="72"/>
      <c r="L24" s="71"/>
      <c r="M24" s="71"/>
      <c r="N24" s="73"/>
      <c r="O24" s="71"/>
      <c r="P24" s="74"/>
      <c r="Q24" s="71"/>
      <c r="R24" s="74"/>
      <c r="S24" s="71"/>
      <c r="T24" s="71"/>
      <c r="U24" s="74"/>
      <c r="V24" s="71"/>
      <c r="W24" s="71"/>
      <c r="X24" s="73"/>
      <c r="Y24" s="74"/>
      <c r="Z24" s="71"/>
    </row>
    <row r="25" spans="1:26" s="80" customFormat="1" ht="11.25" x14ac:dyDescent="0.25">
      <c r="A25" s="71"/>
      <c r="B25" s="71"/>
      <c r="C25" s="71"/>
      <c r="D25" s="71"/>
      <c r="E25" s="71"/>
      <c r="F25" s="71"/>
      <c r="G25" s="71"/>
      <c r="H25" s="71"/>
      <c r="I25" s="71"/>
      <c r="J25" s="72"/>
      <c r="K25" s="72"/>
      <c r="L25" s="71"/>
      <c r="M25" s="71"/>
      <c r="N25" s="73"/>
      <c r="O25" s="71"/>
      <c r="P25" s="74"/>
      <c r="Q25" s="71"/>
      <c r="R25" s="74"/>
      <c r="S25" s="71"/>
      <c r="T25" s="71"/>
      <c r="U25" s="74"/>
      <c r="V25" s="71"/>
      <c r="W25" s="71"/>
      <c r="X25" s="73"/>
      <c r="Y25" s="74"/>
      <c r="Z25" s="71"/>
    </row>
    <row r="26" spans="1:26" s="80" customFormat="1" ht="11.25" x14ac:dyDescent="0.25">
      <c r="A26" s="71"/>
      <c r="B26" s="71"/>
      <c r="C26" s="71"/>
      <c r="D26" s="71"/>
      <c r="E26" s="71"/>
      <c r="F26" s="71"/>
      <c r="G26" s="71"/>
      <c r="H26" s="71"/>
      <c r="I26" s="71"/>
      <c r="J26" s="72"/>
      <c r="K26" s="72"/>
      <c r="L26" s="71"/>
      <c r="M26" s="71"/>
      <c r="N26" s="73"/>
      <c r="O26" s="71"/>
      <c r="P26" s="74"/>
      <c r="Q26" s="71"/>
      <c r="R26" s="74"/>
      <c r="S26" s="71"/>
      <c r="T26" s="71"/>
      <c r="U26" s="74"/>
      <c r="V26" s="71"/>
      <c r="W26" s="71"/>
      <c r="X26" s="73"/>
      <c r="Y26" s="74"/>
      <c r="Z26" s="71"/>
    </row>
    <row r="27" spans="1:26" s="80" customFormat="1" ht="11.25" x14ac:dyDescent="0.25">
      <c r="A27" s="71"/>
      <c r="B27" s="71"/>
      <c r="C27" s="71"/>
      <c r="D27" s="71"/>
      <c r="E27" s="71"/>
      <c r="F27" s="71"/>
      <c r="G27" s="71"/>
      <c r="H27" s="71"/>
      <c r="I27" s="71"/>
      <c r="J27" s="72"/>
      <c r="K27" s="72"/>
      <c r="L27" s="71"/>
      <c r="M27" s="71"/>
      <c r="N27" s="73"/>
      <c r="O27" s="71"/>
      <c r="P27" s="74"/>
      <c r="Q27" s="71"/>
      <c r="R27" s="74"/>
      <c r="S27" s="71"/>
      <c r="T27" s="71"/>
      <c r="U27" s="74"/>
      <c r="V27" s="71"/>
      <c r="W27" s="71"/>
      <c r="X27" s="73"/>
      <c r="Y27" s="74"/>
      <c r="Z27" s="71"/>
    </row>
    <row r="28" spans="1:26" s="80" customFormat="1" ht="11.25" x14ac:dyDescent="0.25">
      <c r="A28" s="71"/>
      <c r="B28" s="71"/>
      <c r="C28" s="71"/>
      <c r="D28" s="71"/>
      <c r="E28" s="71"/>
      <c r="F28" s="71"/>
      <c r="G28" s="71"/>
      <c r="H28" s="71"/>
      <c r="I28" s="71"/>
      <c r="J28" s="72"/>
      <c r="K28" s="72"/>
      <c r="L28" s="71"/>
      <c r="M28" s="71"/>
      <c r="N28" s="73"/>
      <c r="O28" s="71"/>
      <c r="P28" s="74"/>
      <c r="Q28" s="71"/>
      <c r="R28" s="74"/>
      <c r="S28" s="71"/>
      <c r="T28" s="71"/>
      <c r="U28" s="74"/>
      <c r="V28" s="71"/>
      <c r="W28" s="71"/>
      <c r="X28" s="73"/>
      <c r="Y28" s="74"/>
      <c r="Z28" s="71"/>
    </row>
    <row r="29" spans="1:26" s="80" customFormat="1" ht="11.25" x14ac:dyDescent="0.25">
      <c r="A29" s="71"/>
      <c r="B29" s="71"/>
      <c r="C29" s="71"/>
      <c r="D29" s="71"/>
      <c r="E29" s="71"/>
      <c r="F29" s="71"/>
      <c r="G29" s="71"/>
      <c r="H29" s="71"/>
      <c r="I29" s="71"/>
      <c r="J29" s="72"/>
      <c r="K29" s="72"/>
      <c r="L29" s="71"/>
      <c r="M29" s="71"/>
      <c r="N29" s="73"/>
      <c r="O29" s="71"/>
      <c r="P29" s="74"/>
      <c r="Q29" s="71"/>
      <c r="R29" s="74"/>
      <c r="S29" s="71"/>
      <c r="T29" s="71"/>
      <c r="U29" s="74"/>
      <c r="V29" s="71"/>
      <c r="W29" s="71"/>
      <c r="X29" s="73"/>
      <c r="Y29" s="74"/>
      <c r="Z29" s="71"/>
    </row>
    <row r="30" spans="1:26" s="80" customFormat="1" ht="11.25" x14ac:dyDescent="0.25">
      <c r="A30" s="71"/>
      <c r="B30" s="71"/>
      <c r="C30" s="71"/>
      <c r="D30" s="71"/>
      <c r="E30" s="71"/>
      <c r="F30" s="71"/>
      <c r="G30" s="71"/>
      <c r="H30" s="71"/>
      <c r="I30" s="71"/>
      <c r="J30" s="72"/>
      <c r="K30" s="72"/>
      <c r="L30" s="71"/>
      <c r="M30" s="71"/>
      <c r="N30" s="73"/>
      <c r="O30" s="71"/>
      <c r="P30" s="74"/>
      <c r="Q30" s="71"/>
      <c r="R30" s="74"/>
      <c r="S30" s="71"/>
      <c r="T30" s="71"/>
      <c r="U30" s="74"/>
      <c r="V30" s="71"/>
      <c r="W30" s="71"/>
      <c r="X30" s="73"/>
      <c r="Y30" s="74"/>
      <c r="Z30" s="71"/>
    </row>
    <row r="31" spans="1:26" s="80" customFormat="1" ht="11.25" x14ac:dyDescent="0.25">
      <c r="A31" s="71"/>
      <c r="B31" s="71"/>
      <c r="C31" s="71"/>
      <c r="D31" s="71"/>
      <c r="E31" s="71"/>
      <c r="F31" s="71"/>
      <c r="G31" s="71"/>
      <c r="H31" s="71"/>
      <c r="I31" s="71"/>
      <c r="J31" s="72"/>
      <c r="K31" s="72"/>
      <c r="L31" s="71"/>
      <c r="M31" s="71"/>
      <c r="N31" s="73"/>
      <c r="O31" s="71"/>
      <c r="P31" s="74"/>
      <c r="Q31" s="71"/>
      <c r="R31" s="74"/>
      <c r="S31" s="71"/>
      <c r="T31" s="71"/>
      <c r="U31" s="74"/>
      <c r="V31" s="71"/>
      <c r="W31" s="71"/>
      <c r="X31" s="73"/>
      <c r="Y31" s="74"/>
      <c r="Z31" s="71"/>
    </row>
    <row r="32" spans="1:26" s="80" customFormat="1" ht="11.25" x14ac:dyDescent="0.25">
      <c r="A32" s="71"/>
      <c r="B32" s="71"/>
      <c r="C32" s="71"/>
      <c r="D32" s="71"/>
      <c r="E32" s="71"/>
      <c r="F32" s="71"/>
      <c r="G32" s="71"/>
      <c r="H32" s="71"/>
      <c r="I32" s="71"/>
      <c r="J32" s="72"/>
      <c r="K32" s="72"/>
      <c r="L32" s="71"/>
      <c r="M32" s="71"/>
      <c r="N32" s="73"/>
      <c r="O32" s="71"/>
      <c r="P32" s="74"/>
      <c r="Q32" s="71"/>
      <c r="R32" s="74"/>
      <c r="S32" s="71"/>
      <c r="T32" s="71"/>
      <c r="U32" s="74"/>
      <c r="V32" s="71"/>
      <c r="W32" s="71"/>
      <c r="X32" s="73"/>
      <c r="Y32" s="74"/>
      <c r="Z32" s="71"/>
    </row>
    <row r="33" spans="1:26" s="81" customFormat="1" ht="11.25" x14ac:dyDescent="0.25">
      <c r="A33" s="71"/>
      <c r="B33" s="71"/>
      <c r="C33" s="71"/>
      <c r="D33" s="71"/>
      <c r="E33" s="71"/>
      <c r="F33" s="71"/>
      <c r="G33" s="71"/>
      <c r="H33" s="71"/>
      <c r="I33" s="71"/>
      <c r="J33" s="72"/>
      <c r="K33" s="72"/>
      <c r="L33" s="71"/>
      <c r="M33" s="71"/>
      <c r="N33" s="73"/>
      <c r="O33" s="71"/>
      <c r="P33" s="74"/>
      <c r="Q33" s="71"/>
      <c r="R33" s="74"/>
      <c r="S33" s="71"/>
      <c r="T33" s="71"/>
      <c r="U33" s="74"/>
      <c r="V33" s="71"/>
      <c r="W33" s="71"/>
      <c r="X33" s="73"/>
      <c r="Y33" s="74"/>
      <c r="Z33" s="71"/>
    </row>
    <row r="34" spans="1:26" s="81" customFormat="1" ht="11.25" x14ac:dyDescent="0.25">
      <c r="A34" s="71"/>
      <c r="B34" s="71"/>
      <c r="C34" s="71"/>
      <c r="D34" s="71"/>
      <c r="E34" s="71"/>
      <c r="F34" s="71"/>
      <c r="G34" s="71"/>
      <c r="H34" s="71"/>
      <c r="I34" s="71"/>
      <c r="J34" s="72"/>
      <c r="K34" s="72"/>
      <c r="L34" s="71"/>
      <c r="M34" s="71"/>
      <c r="N34" s="73"/>
      <c r="O34" s="71"/>
      <c r="P34" s="74"/>
      <c r="Q34" s="71"/>
      <c r="R34" s="74"/>
      <c r="S34" s="71"/>
      <c r="T34" s="71"/>
      <c r="U34" s="74"/>
      <c r="V34" s="71"/>
      <c r="W34" s="71"/>
      <c r="X34" s="73"/>
      <c r="Y34" s="74"/>
      <c r="Z34" s="71"/>
    </row>
    <row r="35" spans="1:26" s="81" customFormat="1" ht="11.25" x14ac:dyDescent="0.25">
      <c r="A35" s="71"/>
      <c r="B35" s="71"/>
      <c r="C35" s="71"/>
      <c r="D35" s="71"/>
      <c r="E35" s="71"/>
      <c r="F35" s="71"/>
      <c r="G35" s="71"/>
      <c r="H35" s="71"/>
      <c r="I35" s="71"/>
      <c r="J35" s="72"/>
      <c r="K35" s="72"/>
      <c r="L35" s="71"/>
      <c r="M35" s="71"/>
      <c r="N35" s="73"/>
      <c r="O35" s="71"/>
      <c r="P35" s="74"/>
      <c r="Q35" s="71"/>
      <c r="R35" s="74"/>
      <c r="S35" s="71"/>
      <c r="T35" s="71"/>
      <c r="U35" s="74"/>
      <c r="V35" s="71"/>
      <c r="W35" s="71"/>
      <c r="X35" s="73"/>
      <c r="Y35" s="74"/>
      <c r="Z35" s="71"/>
    </row>
    <row r="36" spans="1:26" s="81" customFormat="1" ht="11.25" x14ac:dyDescent="0.25">
      <c r="A36" s="71"/>
      <c r="B36" s="71"/>
      <c r="C36" s="71"/>
      <c r="D36" s="71"/>
      <c r="E36" s="71"/>
      <c r="F36" s="71"/>
      <c r="G36" s="71"/>
      <c r="H36" s="71"/>
      <c r="I36" s="71"/>
      <c r="J36" s="72"/>
      <c r="K36" s="72"/>
      <c r="L36" s="71"/>
      <c r="M36" s="71"/>
      <c r="N36" s="73"/>
      <c r="O36" s="71"/>
      <c r="P36" s="74"/>
      <c r="Q36" s="71"/>
      <c r="R36" s="74"/>
      <c r="S36" s="71"/>
      <c r="T36" s="71"/>
      <c r="U36" s="74"/>
      <c r="V36" s="71"/>
      <c r="W36" s="71"/>
      <c r="X36" s="73"/>
      <c r="Y36" s="74"/>
      <c r="Z36" s="71"/>
    </row>
    <row r="37" spans="1:26" s="81" customFormat="1" ht="11.25" x14ac:dyDescent="0.25">
      <c r="A37" s="71"/>
      <c r="B37" s="71"/>
      <c r="C37" s="71"/>
      <c r="D37" s="71"/>
      <c r="E37" s="71"/>
      <c r="F37" s="71"/>
      <c r="G37" s="71"/>
      <c r="H37" s="71"/>
      <c r="I37" s="71"/>
      <c r="J37" s="72"/>
      <c r="K37" s="72"/>
      <c r="L37" s="71"/>
      <c r="M37" s="71"/>
      <c r="N37" s="73"/>
      <c r="O37" s="71"/>
      <c r="P37" s="74"/>
      <c r="Q37" s="71"/>
      <c r="R37" s="74"/>
      <c r="S37" s="71"/>
      <c r="T37" s="71"/>
      <c r="U37" s="74"/>
      <c r="V37" s="71"/>
      <c r="W37" s="71"/>
      <c r="X37" s="73"/>
      <c r="Y37" s="74"/>
      <c r="Z37" s="71"/>
    </row>
    <row r="38" spans="1:26" s="81" customFormat="1" ht="11.25" x14ac:dyDescent="0.25">
      <c r="A38" s="71"/>
      <c r="B38" s="71"/>
      <c r="C38" s="71"/>
      <c r="D38" s="71"/>
      <c r="E38" s="71"/>
      <c r="F38" s="71"/>
      <c r="G38" s="71"/>
      <c r="H38" s="71"/>
      <c r="I38" s="71"/>
      <c r="J38" s="72"/>
      <c r="K38" s="72"/>
      <c r="L38" s="71"/>
      <c r="M38" s="71"/>
      <c r="N38" s="73"/>
      <c r="O38" s="71"/>
      <c r="P38" s="74"/>
      <c r="Q38" s="71"/>
      <c r="R38" s="74"/>
      <c r="S38" s="71"/>
      <c r="T38" s="71"/>
      <c r="U38" s="74"/>
      <c r="V38" s="71"/>
      <c r="W38" s="71"/>
      <c r="X38" s="73"/>
      <c r="Y38" s="74"/>
      <c r="Z38" s="71"/>
    </row>
    <row r="39" spans="1:26" s="81" customFormat="1" ht="11.25" x14ac:dyDescent="0.25">
      <c r="A39" s="71"/>
      <c r="B39" s="71"/>
      <c r="C39" s="71"/>
      <c r="D39" s="71"/>
      <c r="E39" s="71"/>
      <c r="F39" s="71"/>
      <c r="G39" s="71"/>
      <c r="H39" s="71"/>
      <c r="I39" s="71"/>
      <c r="J39" s="72"/>
      <c r="K39" s="72"/>
      <c r="L39" s="71"/>
      <c r="M39" s="71"/>
      <c r="N39" s="73"/>
      <c r="O39" s="71"/>
      <c r="P39" s="74"/>
      <c r="Q39" s="71"/>
      <c r="R39" s="74"/>
      <c r="S39" s="71"/>
      <c r="T39" s="71"/>
      <c r="U39" s="74"/>
      <c r="V39" s="71"/>
      <c r="W39" s="71"/>
      <c r="X39" s="73"/>
      <c r="Y39" s="74"/>
      <c r="Z39" s="71"/>
    </row>
    <row r="40" spans="1:26" s="81" customFormat="1" ht="11.25" x14ac:dyDescent="0.25">
      <c r="A40" s="71"/>
      <c r="B40" s="71"/>
      <c r="C40" s="71"/>
      <c r="D40" s="71"/>
      <c r="E40" s="71"/>
      <c r="F40" s="71"/>
      <c r="G40" s="71"/>
      <c r="H40" s="71"/>
      <c r="I40" s="71"/>
      <c r="J40" s="72"/>
      <c r="K40" s="72"/>
      <c r="L40" s="71"/>
      <c r="M40" s="71"/>
      <c r="N40" s="73"/>
      <c r="O40" s="71"/>
      <c r="P40" s="74"/>
      <c r="Q40" s="71"/>
      <c r="R40" s="74"/>
      <c r="S40" s="71"/>
      <c r="T40" s="71"/>
      <c r="U40" s="74"/>
      <c r="V40" s="71"/>
      <c r="W40" s="71"/>
      <c r="X40" s="73"/>
      <c r="Y40" s="74"/>
      <c r="Z40" s="71"/>
    </row>
    <row r="41" spans="1:26" s="7" customFormat="1" ht="11.25" x14ac:dyDescent="0.2">
      <c r="A41" s="75"/>
      <c r="B41" s="71"/>
      <c r="C41" s="75"/>
      <c r="D41" s="75"/>
      <c r="E41" s="75"/>
      <c r="F41" s="75"/>
      <c r="G41" s="75"/>
      <c r="H41" s="75"/>
      <c r="I41" s="75"/>
      <c r="J41" s="76"/>
      <c r="K41" s="76"/>
      <c r="L41" s="77"/>
      <c r="M41" s="77"/>
      <c r="N41" s="78"/>
      <c r="P41" s="79"/>
      <c r="R41" s="79"/>
      <c r="U41" s="79"/>
      <c r="V41" s="77"/>
      <c r="W41" s="77"/>
      <c r="X41" s="78"/>
    </row>
    <row r="42" spans="1:26" s="7" customFormat="1" ht="11.25" x14ac:dyDescent="0.2">
      <c r="A42" s="75"/>
      <c r="B42" s="71"/>
      <c r="C42" s="75"/>
      <c r="D42" s="75"/>
      <c r="E42" s="75"/>
      <c r="F42" s="75"/>
      <c r="G42" s="75"/>
      <c r="H42" s="75"/>
      <c r="I42" s="75"/>
      <c r="J42" s="76"/>
      <c r="K42" s="76"/>
      <c r="L42" s="77"/>
      <c r="M42" s="77"/>
      <c r="N42" s="78"/>
      <c r="P42" s="79"/>
      <c r="R42" s="79"/>
      <c r="U42" s="79"/>
      <c r="V42" s="77"/>
      <c r="W42" s="77"/>
      <c r="X42" s="78"/>
    </row>
    <row r="43" spans="1:26" s="81" customFormat="1" ht="11.25" x14ac:dyDescent="0.25">
      <c r="A43" s="71"/>
      <c r="B43" s="71"/>
      <c r="C43" s="71"/>
      <c r="D43" s="71"/>
      <c r="E43" s="71"/>
      <c r="F43" s="71"/>
      <c r="G43" s="71"/>
      <c r="H43" s="71"/>
      <c r="I43" s="71"/>
      <c r="J43" s="72"/>
      <c r="K43" s="72"/>
      <c r="L43" s="71"/>
      <c r="M43" s="71"/>
      <c r="N43" s="73"/>
      <c r="O43" s="71"/>
      <c r="P43" s="74"/>
      <c r="Q43" s="71"/>
      <c r="R43" s="74"/>
      <c r="S43" s="71"/>
      <c r="T43" s="71"/>
      <c r="U43" s="74"/>
      <c r="V43" s="71"/>
      <c r="W43" s="71"/>
      <c r="X43" s="73"/>
      <c r="Y43" s="74"/>
      <c r="Z43" s="71"/>
    </row>
    <row r="44" spans="1:26" s="81" customFormat="1" ht="11.25" x14ac:dyDescent="0.25">
      <c r="A44" s="71"/>
      <c r="B44" s="71"/>
      <c r="C44" s="71"/>
      <c r="D44" s="71"/>
      <c r="E44" s="71"/>
      <c r="F44" s="71"/>
      <c r="G44" s="71"/>
      <c r="H44" s="71"/>
      <c r="I44" s="71"/>
      <c r="J44" s="72"/>
      <c r="K44" s="72"/>
      <c r="L44" s="71"/>
      <c r="M44" s="71"/>
      <c r="N44" s="73"/>
      <c r="O44" s="71"/>
      <c r="P44" s="74"/>
      <c r="Q44" s="71"/>
      <c r="R44" s="74"/>
      <c r="S44" s="71"/>
      <c r="T44" s="71"/>
      <c r="U44" s="74"/>
      <c r="V44" s="71"/>
      <c r="W44" s="71"/>
      <c r="X44" s="73"/>
      <c r="Y44" s="74"/>
      <c r="Z44" s="71"/>
    </row>
    <row r="45" spans="1:26" s="81" customFormat="1" ht="11.25" x14ac:dyDescent="0.25">
      <c r="A45" s="71"/>
      <c r="B45" s="71"/>
      <c r="C45" s="71"/>
      <c r="D45" s="71"/>
      <c r="E45" s="71"/>
      <c r="F45" s="71"/>
      <c r="G45" s="71"/>
      <c r="H45" s="71"/>
      <c r="I45" s="71"/>
      <c r="J45" s="72"/>
      <c r="K45" s="72"/>
      <c r="L45" s="71"/>
      <c r="M45" s="71"/>
      <c r="N45" s="73"/>
      <c r="O45" s="71"/>
      <c r="P45" s="74"/>
      <c r="Q45" s="71"/>
      <c r="R45" s="74"/>
      <c r="S45" s="71"/>
      <c r="T45" s="71"/>
      <c r="U45" s="74"/>
      <c r="V45" s="71"/>
      <c r="W45" s="71"/>
      <c r="X45" s="73"/>
      <c r="Y45" s="74"/>
      <c r="Z45" s="71"/>
    </row>
    <row r="46" spans="1:26" s="81" customFormat="1" ht="11.25" x14ac:dyDescent="0.25">
      <c r="A46" s="71"/>
      <c r="B46" s="71"/>
      <c r="C46" s="71"/>
      <c r="D46" s="71"/>
      <c r="E46" s="71"/>
      <c r="F46" s="71"/>
      <c r="G46" s="71"/>
      <c r="H46" s="71"/>
      <c r="I46" s="71"/>
      <c r="J46" s="72"/>
      <c r="K46" s="72"/>
      <c r="L46" s="71"/>
      <c r="M46" s="71"/>
      <c r="N46" s="73"/>
      <c r="O46" s="71"/>
      <c r="P46" s="74"/>
      <c r="Q46" s="71"/>
      <c r="R46" s="74"/>
      <c r="S46" s="71"/>
      <c r="T46" s="71"/>
      <c r="U46" s="74"/>
      <c r="V46" s="71"/>
      <c r="W46" s="71"/>
      <c r="X46" s="73"/>
      <c r="Y46" s="74"/>
      <c r="Z46" s="71"/>
    </row>
    <row r="47" spans="1:26" s="81" customFormat="1" ht="11.25" x14ac:dyDescent="0.25">
      <c r="A47" s="71"/>
      <c r="B47" s="71"/>
      <c r="C47" s="71"/>
      <c r="D47" s="71"/>
      <c r="E47" s="71"/>
      <c r="F47" s="71"/>
      <c r="G47" s="71"/>
      <c r="H47" s="71"/>
      <c r="I47" s="71"/>
      <c r="J47" s="72"/>
      <c r="K47" s="72"/>
      <c r="L47" s="71"/>
      <c r="M47" s="71"/>
      <c r="N47" s="73"/>
      <c r="O47" s="71"/>
      <c r="P47" s="74"/>
      <c r="Q47" s="71"/>
      <c r="R47" s="74"/>
      <c r="S47" s="71"/>
      <c r="T47" s="71"/>
      <c r="U47" s="74"/>
      <c r="V47" s="71"/>
      <c r="W47" s="71"/>
      <c r="X47" s="73"/>
      <c r="Y47" s="74"/>
      <c r="Z47" s="71"/>
    </row>
    <row r="48" spans="1:26" s="81" customFormat="1" ht="11.25" x14ac:dyDescent="0.25">
      <c r="A48" s="71"/>
      <c r="B48" s="71"/>
      <c r="C48" s="71"/>
      <c r="D48" s="71"/>
      <c r="E48" s="71"/>
      <c r="F48" s="71"/>
      <c r="G48" s="71"/>
      <c r="H48" s="71"/>
      <c r="I48" s="71"/>
      <c r="J48" s="72"/>
      <c r="K48" s="72"/>
      <c r="L48" s="71"/>
      <c r="M48" s="71"/>
      <c r="N48" s="73"/>
      <c r="O48" s="71"/>
      <c r="P48" s="74"/>
      <c r="Q48" s="71"/>
      <c r="R48" s="74"/>
      <c r="S48" s="71"/>
      <c r="T48" s="71"/>
      <c r="U48" s="74"/>
      <c r="V48" s="71"/>
      <c r="W48" s="71"/>
      <c r="X48" s="73"/>
      <c r="Y48" s="74"/>
      <c r="Z48" s="71"/>
    </row>
    <row r="49" spans="1:26" s="81" customFormat="1" ht="11.25" x14ac:dyDescent="0.25">
      <c r="A49" s="71"/>
      <c r="B49" s="71"/>
      <c r="C49" s="71"/>
      <c r="D49" s="71"/>
      <c r="E49" s="71"/>
      <c r="F49" s="71"/>
      <c r="G49" s="71"/>
      <c r="H49" s="71"/>
      <c r="I49" s="71"/>
      <c r="J49" s="72"/>
      <c r="K49" s="72"/>
      <c r="L49" s="71"/>
      <c r="M49" s="71"/>
      <c r="N49" s="73"/>
      <c r="O49" s="71"/>
      <c r="P49" s="74"/>
      <c r="Q49" s="71"/>
      <c r="R49" s="74"/>
      <c r="S49" s="71"/>
      <c r="T49" s="71"/>
      <c r="U49" s="74"/>
      <c r="V49" s="71"/>
      <c r="W49" s="71"/>
      <c r="X49" s="73"/>
      <c r="Y49" s="74"/>
      <c r="Z49" s="71"/>
    </row>
    <row r="50" spans="1:26" s="81" customFormat="1" ht="11.25" x14ac:dyDescent="0.25">
      <c r="A50" s="71"/>
      <c r="B50" s="71"/>
      <c r="C50" s="71"/>
      <c r="D50" s="71"/>
      <c r="E50" s="71"/>
      <c r="F50" s="71"/>
      <c r="G50" s="71"/>
      <c r="H50" s="71"/>
      <c r="I50" s="71"/>
      <c r="J50" s="72"/>
      <c r="K50" s="72"/>
      <c r="L50" s="71"/>
      <c r="M50" s="71"/>
      <c r="N50" s="73"/>
      <c r="O50" s="71"/>
      <c r="P50" s="74"/>
      <c r="Q50" s="71"/>
      <c r="R50" s="74"/>
      <c r="S50" s="71"/>
      <c r="T50" s="71"/>
      <c r="U50" s="74"/>
      <c r="V50" s="71"/>
      <c r="W50" s="71"/>
      <c r="X50" s="73"/>
      <c r="Y50" s="74"/>
      <c r="Z50" s="71"/>
    </row>
    <row r="51" spans="1:26" s="81" customFormat="1" ht="11.25" x14ac:dyDescent="0.25">
      <c r="S51" s="80"/>
      <c r="T51" s="80"/>
      <c r="U51" s="80"/>
      <c r="V51" s="80"/>
      <c r="W51" s="80"/>
      <c r="X51" s="80"/>
      <c r="Y51" s="80"/>
    </row>
  </sheetData>
  <sheetProtection algorithmName="SHA-512" hashValue="LKI4wMJ3z28ecoh+SN+US35IjiBs3ZaC2w/pK1K9/KXfFKvZIcO4yG++CnwvRo+wB0DHRPjwP0uIm/+gDbrrtw==" saltValue="fRTJ3+NRcpTLg1d0cZt93Q==" spinCount="100000" sheet="1" formatCells="0" formatRows="0" insertRows="0" deleteRows="0" autoFilter="0"/>
  <dataConsolidate/>
  <mergeCells count="32">
    <mergeCell ref="R20:S20"/>
    <mergeCell ref="T20:Z20"/>
    <mergeCell ref="J8:N8"/>
    <mergeCell ref="A1:A2"/>
    <mergeCell ref="B6:E6"/>
    <mergeCell ref="B7:E7"/>
    <mergeCell ref="L6:M6"/>
    <mergeCell ref="A4:H4"/>
    <mergeCell ref="B5:D5"/>
    <mergeCell ref="B1:M1"/>
    <mergeCell ref="B2:M2"/>
    <mergeCell ref="G5:H5"/>
    <mergeCell ref="L5:M5"/>
    <mergeCell ref="A20:I20"/>
    <mergeCell ref="J20:K20"/>
    <mergeCell ref="L20:Q20"/>
    <mergeCell ref="J4:N4"/>
    <mergeCell ref="A18:D18"/>
    <mergeCell ref="O5:O7"/>
    <mergeCell ref="J7:L7"/>
    <mergeCell ref="T19:Z19"/>
    <mergeCell ref="A19:S19"/>
    <mergeCell ref="B12:D12"/>
    <mergeCell ref="F10:G10"/>
    <mergeCell ref="A9:E9"/>
    <mergeCell ref="J10:O16"/>
    <mergeCell ref="A14:D14"/>
    <mergeCell ref="B15:D15"/>
    <mergeCell ref="B16:D16"/>
    <mergeCell ref="B10:C10"/>
    <mergeCell ref="J5:K5"/>
    <mergeCell ref="J6:K6"/>
  </mergeCells>
  <dataValidations count="19">
    <dataValidation type="list" allowBlank="1" showInputMessage="1" showErrorMessage="1" sqref="O2" xr:uid="{00000000-0002-0000-0000-000000000000}">
      <formula1>"ENG,FRA,ESP"</formula1>
    </dataValidation>
    <dataValidation type="list" allowBlank="1" showInputMessage="1" showErrorMessage="1" sqref="B10:C10" xr:uid="{00000000-0002-0000-0000-000001000000}">
      <formula1>FlagName</formula1>
    </dataValidation>
    <dataValidation type="list" allowBlank="1" showInputMessage="1" showErrorMessage="1" sqref="B12" xr:uid="{00000000-0002-0000-0000-000002000000}">
      <formula1>ActionTrans</formula1>
    </dataValidation>
    <dataValidation type="list" allowBlank="1" showInputMessage="1" showErrorMessage="1" sqref="Z24:Z50" xr:uid="{00000000-0002-0000-0000-000003000000}">
      <formula1>VmsComSysCod</formula1>
    </dataValidation>
    <dataValidation type="list" allowBlank="1" showInputMessage="1" showErrorMessage="1" sqref="L24:L50" xr:uid="{00000000-0002-0000-0000-000004000000}">
      <formula1>IsscfvCod</formula1>
    </dataValidation>
    <dataValidation type="list" allowBlank="1" showInputMessage="1" showErrorMessage="1" sqref="M24:M50" xr:uid="{00000000-0002-0000-0000-000005000000}">
      <formula1>IsscfgCod</formula1>
    </dataValidation>
    <dataValidation type="list" allowBlank="1" showInputMessage="1" showErrorMessage="1" sqref="O24:O50" xr:uid="{00000000-0002-0000-0000-000006000000}">
      <formula1>LenTypeCod</formula1>
    </dataValidation>
    <dataValidation type="list" allowBlank="1" showInputMessage="1" showErrorMessage="1" sqref="H24:I50 V24:V50" xr:uid="{00000000-0002-0000-0000-000007000000}">
      <formula1>FlagCod</formula1>
    </dataValidation>
    <dataValidation type="list" allowBlank="1" showInputMessage="1" showErrorMessage="1" sqref="S24:S50" xr:uid="{00000000-0002-0000-0000-000008000000}">
      <formula1>CCapUnitCod</formula1>
    </dataValidation>
    <dataValidation type="list" allowBlank="1" showInputMessage="1" showErrorMessage="1" sqref="J24:K50" xr:uid="{00000000-0002-0000-0000-000009000000}">
      <formula1>OwOpEntityID</formula1>
    </dataValidation>
    <dataValidation type="list" allowBlank="1" showInputMessage="1" showErrorMessage="1" sqref="Q24:Q50" xr:uid="{00000000-0002-0000-0000-00000A000000}">
      <formula1>TonTypeCod</formula1>
    </dataValidation>
    <dataValidation type="decimal" allowBlank="1" showInputMessage="1" showErrorMessage="1" sqref="N24:N50" xr:uid="{00000000-0002-0000-0000-00000B000000}">
      <formula1>0</formula1>
      <formula2>400</formula2>
    </dataValidation>
    <dataValidation type="decimal" allowBlank="1" showInputMessage="1" showErrorMessage="1" sqref="P24:P50" xr:uid="{00000000-0002-0000-0000-00000C000000}">
      <formula1>0</formula1>
      <formula2>18000</formula2>
    </dataValidation>
    <dataValidation type="decimal" allowBlank="1" showInputMessage="1" showErrorMessage="1" sqref="R24:R50" xr:uid="{00000000-0002-0000-0000-00000D000000}">
      <formula1>0</formula1>
      <formula2>300000</formula2>
    </dataValidation>
    <dataValidation type="decimal" allowBlank="1" showInputMessage="1" showErrorMessage="1" sqref="X24:X50" xr:uid="{00000000-0002-0000-0000-00000E000000}">
      <formula1>0.1</formula1>
      <formula2>30</formula2>
    </dataValidation>
    <dataValidation type="list" allowBlank="1" showInputMessage="1" showErrorMessage="1" sqref="D24:D29 D31:D50" xr:uid="{00000000-0002-0000-0000-00000F000000}">
      <formula1>IRNoTypeCod</formula1>
    </dataValidation>
    <dataValidation type="whole" allowBlank="1" showInputMessage="1" showErrorMessage="1" sqref="U24:U50" xr:uid="{00000000-0002-0000-0000-000010000000}">
      <formula1>1900</formula1>
      <formula2>2020</formula2>
    </dataValidation>
    <dataValidation type="whole" operator="greaterThan" allowBlank="1" showInputMessage="1" showErrorMessage="1" sqref="Y24:Y50" xr:uid="{00000000-0002-0000-0000-000011000000}">
      <formula1>0</formula1>
    </dataValidation>
    <dataValidation type="textLength" allowBlank="1" showInputMessage="1" showErrorMessage="1" sqref="A24:A50" xr:uid="{00000000-0002-0000-0000-000012000000}">
      <formula1>13</formula1>
      <formula2>13</formula2>
    </dataValidation>
  </dataValidations>
  <hyperlinks>
    <hyperlink ref="H21" location="FlagCod" display="FlagCod" xr:uid="{00000000-0004-0000-0000-000000000000}"/>
    <hyperlink ref="I21" location="FlagCod" display="FlagCod" xr:uid="{00000000-0004-0000-0000-000001000000}"/>
    <hyperlink ref="L21" location="IsscfvCod" display="IsscfvCod" xr:uid="{00000000-0004-0000-0000-000002000000}"/>
    <hyperlink ref="M21" location="IsscfgCod" display="IsscfgCod" xr:uid="{00000000-0004-0000-0000-000003000000}"/>
    <hyperlink ref="Q21" location="TonTypeCod" display="TonTypeCod" xr:uid="{00000000-0004-0000-0000-000004000000}"/>
    <hyperlink ref="O21" location="LenTypeCod" display="LenTypeCod" xr:uid="{00000000-0004-0000-0000-000005000000}"/>
    <hyperlink ref="S21" location="CCapUnitCod" display="CCapUnitCod" xr:uid="{00000000-0004-0000-0000-000006000000}"/>
    <hyperlink ref="D21" location="IRNoTypeCod" display="IRNoTypeCod" xr:uid="{00000000-0004-0000-0000-000007000000}"/>
    <hyperlink ref="A15" location="'CP01B (Authorizations)'!A24" display="'CP01B (Authorizations)'!A24" xr:uid="{00000000-0004-0000-0000-000008000000}"/>
    <hyperlink ref="J20:K20" location="OwOpEntityID" display="OwOpEntityID" xr:uid="{00000000-0004-0000-0000-000009000000}"/>
    <hyperlink ref="A16" location="'CP01C (Ownership)'!A20" display="'CP01C (Ownership)'!A20" xr:uid="{00000000-0004-0000-0000-00000A000000}"/>
    <hyperlink ref="Z21" location="VmsComSysCod" display="VmsComSysCod" xr:uid="{00000000-0004-0000-0000-00000B000000}"/>
    <hyperlink ref="A10" location="FlagName" display="FlagName" xr:uid="{00000000-0004-0000-0000-00000C000000}"/>
    <hyperlink ref="A12" location="ActionTrans" display="ActionTrans" xr:uid="{00000000-0004-0000-0000-00000D000000}"/>
    <hyperlink ref="V21" location="FlagCod" display="FlagCod" xr:uid="{00000000-0004-0000-0000-00000E000000}"/>
  </hyperlinks>
  <pageMargins left="0.19685039370078741" right="0.19685039370078741" top="0.74803149606299213" bottom="0.74803149606299213" header="0.31496062992125984" footer="0.31496062992125984"/>
  <pageSetup paperSize="9" scale="90" fitToWidth="2" orientation="landscape" r:id="rId1"/>
  <ignoredErrors>
    <ignoredError sqref="O22:Z22" formula="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pageSetUpPr fitToPage="1"/>
  </sheetPr>
  <dimension ref="A1:Y50"/>
  <sheetViews>
    <sheetView zoomScale="90" zoomScaleNormal="90" workbookViewId="0">
      <selection activeCell="J24" sqref="J24"/>
    </sheetView>
  </sheetViews>
  <sheetFormatPr defaultColWidth="17.85546875" defaultRowHeight="15" x14ac:dyDescent="0.25"/>
  <cols>
    <col min="1" max="1" width="17.85546875" style="4" bestFit="1" customWidth="1"/>
    <col min="2" max="2" width="19.140625" style="4" bestFit="1" customWidth="1"/>
    <col min="3" max="4" width="10.140625" style="4" customWidth="1"/>
    <col min="5" max="5" width="10.5703125" style="4" customWidth="1"/>
    <col min="6" max="9" width="7.7109375" style="4" customWidth="1"/>
    <col min="10" max="11" width="10.140625" style="4" customWidth="1"/>
    <col min="12" max="12" width="11.140625" style="4" customWidth="1"/>
    <col min="13" max="20" width="10.140625" style="4" customWidth="1"/>
    <col min="21" max="21" width="14.28515625" style="4" bestFit="1" customWidth="1"/>
    <col min="22" max="22" width="8.140625" style="4" customWidth="1"/>
    <col min="23" max="23" width="10" style="4" customWidth="1"/>
    <col min="24" max="24" width="10.140625" style="4" customWidth="1"/>
    <col min="25" max="25" width="9.85546875" style="4" bestFit="1" customWidth="1"/>
    <col min="26" max="16384" width="17.85546875" style="4"/>
  </cols>
  <sheetData>
    <row r="1" spans="1:16" s="8" customFormat="1" ht="21" x14ac:dyDescent="0.25">
      <c r="A1" s="319" t="str">
        <f>'CP01A (Vessels)'!A1</f>
        <v>CP01-VessLsts</v>
      </c>
      <c r="B1" s="324" t="str">
        <f>'CP01A (Vessels)'!B1</f>
        <v>REGISTRATION/AUTHORISATION OF VESSELS IN THE ICCAT VESSEL RECORD</v>
      </c>
      <c r="C1" s="324"/>
      <c r="D1" s="324"/>
      <c r="E1" s="324"/>
      <c r="F1" s="324"/>
      <c r="G1" s="324"/>
      <c r="H1" s="324"/>
      <c r="I1" s="324"/>
      <c r="J1" s="324"/>
      <c r="K1" s="324"/>
      <c r="L1" s="324"/>
      <c r="M1" s="324"/>
      <c r="N1" s="120"/>
      <c r="O1" s="43" t="str">
        <f>'CP01A (Vessels)'!N1</f>
        <v>Version</v>
      </c>
      <c r="P1" s="44" t="str">
        <f>'CP01A (Vessels)'!O1</f>
        <v>Language</v>
      </c>
    </row>
    <row r="2" spans="1:16" s="11" customFormat="1" ht="11.25" x14ac:dyDescent="0.25">
      <c r="A2" s="320"/>
      <c r="B2" s="336" t="str">
        <f>'CP01A (Vessels)'!B2</f>
        <v>ICCAT: INTERNATIONAL COMMISSION FOR THE CONSERVATION OF ATLANTIC TUNAS</v>
      </c>
      <c r="C2" s="336"/>
      <c r="D2" s="336"/>
      <c r="E2" s="336"/>
      <c r="F2" s="336"/>
      <c r="G2" s="336"/>
      <c r="H2" s="336"/>
      <c r="I2" s="336"/>
      <c r="J2" s="336"/>
      <c r="K2" s="336"/>
      <c r="L2" s="336"/>
      <c r="M2" s="336"/>
      <c r="N2" s="47"/>
      <c r="O2" s="121" t="str">
        <f>'CP01A (Vessels)'!N2</f>
        <v>2024a</v>
      </c>
      <c r="P2" s="122" t="str">
        <f>'CP01A (Vessels)'!O2</f>
        <v>ENG</v>
      </c>
    </row>
    <row r="3" spans="1:16" s="11" customFormat="1" ht="11.25" x14ac:dyDescent="0.25"/>
    <row r="4" spans="1:16" s="11" customFormat="1" ht="12" thickBot="1" x14ac:dyDescent="0.3">
      <c r="A4" s="293" t="str">
        <f>'CP01A (Vessels)'!A9</f>
        <v>Data set characteristics</v>
      </c>
      <c r="B4" s="294"/>
      <c r="C4" s="294"/>
      <c r="D4" s="294"/>
      <c r="E4" s="294"/>
      <c r="F4" s="40"/>
      <c r="G4" s="40"/>
      <c r="H4" s="40"/>
      <c r="I4" s="55"/>
      <c r="J4" s="95"/>
      <c r="K4" s="95"/>
      <c r="L4" s="95"/>
      <c r="M4" s="40"/>
      <c r="N4" s="40"/>
      <c r="O4" s="40"/>
      <c r="P4" s="96"/>
    </row>
    <row r="5" spans="1:16" s="11" customFormat="1" ht="11.25" x14ac:dyDescent="0.25">
      <c r="A5" s="158"/>
      <c r="B5" s="147"/>
      <c r="C5" s="147"/>
      <c r="D5" s="147"/>
      <c r="E5" s="147"/>
      <c r="F5" s="374" t="str">
        <f>'CP01A (Vessels)'!F10</f>
        <v>CP01B summary (Nº vessels: 0)</v>
      </c>
      <c r="G5" s="375"/>
      <c r="H5" s="375"/>
      <c r="I5" s="376"/>
      <c r="J5" s="56"/>
      <c r="K5" s="56"/>
      <c r="L5" s="56"/>
      <c r="M5" s="147"/>
      <c r="N5" s="147"/>
      <c r="O5" s="147"/>
      <c r="P5" s="57"/>
    </row>
    <row r="6" spans="1:16" s="11" customFormat="1" ht="12" thickBot="1" x14ac:dyDescent="0.3">
      <c r="A6" s="149" t="str">
        <f>'CP01A (Vessels)'!A10</f>
        <v>Reporting Flag</v>
      </c>
      <c r="B6" s="337" t="str">
        <f>IF('CP01A (Vessels)'!B10&gt;0, 'CP01A (Vessels)'!B10,"")</f>
        <v/>
      </c>
      <c r="C6" s="337"/>
      <c r="D6" s="68" t="str">
        <f>'CP01A (Vessels)'!D10</f>
        <v/>
      </c>
      <c r="E6" s="147"/>
      <c r="F6" s="343" t="str">
        <f>'CP01A (Vessels)'!F11</f>
        <v xml:space="preserve">P20m: </v>
      </c>
      <c r="G6" s="339"/>
      <c r="H6" s="339" t="str">
        <f>'CP01A (Vessels)'!G11</f>
        <v xml:space="preserve">BFTc: </v>
      </c>
      <c r="I6" s="340"/>
      <c r="J6" s="147"/>
      <c r="K6" s="147"/>
      <c r="L6" s="147"/>
      <c r="M6" s="147"/>
      <c r="N6" s="147"/>
      <c r="O6" s="147"/>
      <c r="P6" s="57"/>
    </row>
    <row r="7" spans="1:16" s="11" customFormat="1" ht="11.25" x14ac:dyDescent="0.25">
      <c r="A7" s="158"/>
      <c r="B7" s="147"/>
      <c r="C7" s="147"/>
      <c r="D7" s="147"/>
      <c r="E7" s="147"/>
      <c r="F7" s="343" t="str">
        <f>'CP01A (Vessels)'!F12</f>
        <v xml:space="preserve">SWOn: </v>
      </c>
      <c r="G7" s="339"/>
      <c r="H7" s="339" t="str">
        <f>'CP01A (Vessels)'!G12</f>
        <v xml:space="preserve">BFTo: </v>
      </c>
      <c r="I7" s="340"/>
      <c r="J7" s="147"/>
      <c r="K7" s="345" t="str">
        <f>VLOOKUP("H40",tblTranslation[],LangFieldID,FALSE)</f>
        <v>Format for all "date" fields (*)</v>
      </c>
      <c r="L7" s="346"/>
      <c r="M7" s="346"/>
      <c r="N7" s="346"/>
      <c r="O7" s="347"/>
      <c r="P7" s="57"/>
    </row>
    <row r="8" spans="1:16" s="11" customFormat="1" ht="11.25" x14ac:dyDescent="0.25">
      <c r="A8" s="149" t="str">
        <f>'CP01A (Vessels)'!A12</f>
        <v>Action requested</v>
      </c>
      <c r="B8" s="338" t="str">
        <f>IF('CP01A (Vessels)'!B12&gt;0, 'CP01A (Vessels)'!B12,"")</f>
        <v/>
      </c>
      <c r="C8" s="338"/>
      <c r="D8" s="338"/>
      <c r="E8" s="147"/>
      <c r="F8" s="343" t="str">
        <f>'CP01A (Vessels)'!F13</f>
        <v xml:space="preserve">SWOs: </v>
      </c>
      <c r="G8" s="339"/>
      <c r="H8" s="339" t="str">
        <f>'CP01A (Vessels)'!G13</f>
        <v xml:space="preserve">SWOm: </v>
      </c>
      <c r="I8" s="340"/>
      <c r="J8" s="147"/>
      <c r="K8" s="332" t="str">
        <f>VLOOKUP("H41",tblTranslation[],LangFieldID,FALSE)</f>
        <v>Format (default):</v>
      </c>
      <c r="L8" s="333"/>
      <c r="M8" s="333"/>
      <c r="N8" s="348" t="s">
        <v>1006</v>
      </c>
      <c r="O8" s="349"/>
      <c r="P8" s="156"/>
    </row>
    <row r="9" spans="1:16" s="11" customFormat="1" ht="11.25" x14ac:dyDescent="0.25">
      <c r="A9" s="158"/>
      <c r="B9" s="157"/>
      <c r="C9" s="157"/>
      <c r="D9" s="147"/>
      <c r="E9" s="147"/>
      <c r="F9" s="343" t="str">
        <f>'CP01A (Vessels)'!F14</f>
        <v xml:space="preserve">ALBn: </v>
      </c>
      <c r="G9" s="339"/>
      <c r="H9" s="339" t="str">
        <f>'CP01A (Vessels)'!G14</f>
        <v xml:space="preserve">ALBm: </v>
      </c>
      <c r="I9" s="340"/>
      <c r="J9" s="56"/>
      <c r="K9" s="334" t="str">
        <f>VLOOKUP("H42",tblTranslation[],LangFieldID,FALSE)</f>
        <v>Example (OS dependent):</v>
      </c>
      <c r="L9" s="335"/>
      <c r="M9" s="335"/>
      <c r="N9" s="350">
        <f ca="1">TODAY()</f>
        <v>45303</v>
      </c>
      <c r="O9" s="351"/>
      <c r="P9" s="156"/>
    </row>
    <row r="10" spans="1:16" s="11" customFormat="1" ht="12" x14ac:dyDescent="0.25">
      <c r="A10" s="158"/>
      <c r="B10" s="56"/>
      <c r="C10" s="56"/>
      <c r="D10" s="56"/>
      <c r="E10" s="147"/>
      <c r="F10" s="343" t="str">
        <f>'CP01A (Vessels)'!F15</f>
        <v xml:space="preserve">ALBs: </v>
      </c>
      <c r="G10" s="339"/>
      <c r="H10" s="339" t="str">
        <f>'CP01A (Vessels)'!G15</f>
        <v xml:space="preserve">Carr: </v>
      </c>
      <c r="I10" s="340"/>
      <c r="J10" s="56"/>
      <c r="K10" s="332" t="str">
        <f>VLOOKUP("H43",tblTranslation[],LangFieldID,FALSE)</f>
        <v>Input "dates" (OS dependent) as:</v>
      </c>
      <c r="L10" s="333"/>
      <c r="M10" s="333"/>
      <c r="N10" s="368">
        <f ca="1">TODAY()</f>
        <v>45303</v>
      </c>
      <c r="O10" s="369"/>
      <c r="P10" s="57"/>
    </row>
    <row r="11" spans="1:16" s="11" customFormat="1" ht="12" thickBot="1" x14ac:dyDescent="0.3">
      <c r="A11" s="158"/>
      <c r="B11" s="147"/>
      <c r="C11" s="147"/>
      <c r="D11" s="147"/>
      <c r="E11" s="147"/>
      <c r="F11" s="344" t="str">
        <f>'CP01A (Vessels)'!F16</f>
        <v xml:space="preserve">Trop: </v>
      </c>
      <c r="G11" s="341"/>
      <c r="H11" s="341"/>
      <c r="I11" s="342"/>
      <c r="J11" s="147"/>
      <c r="K11" s="330"/>
      <c r="L11" s="331"/>
      <c r="M11" s="331"/>
      <c r="N11" s="152"/>
      <c r="O11" s="97"/>
      <c r="P11" s="57"/>
    </row>
    <row r="12" spans="1:16" s="11" customFormat="1" ht="12" thickBot="1" x14ac:dyDescent="0.3">
      <c r="A12" s="158"/>
      <c r="B12" s="147"/>
      <c r="C12" s="147"/>
      <c r="D12" s="147"/>
      <c r="E12" s="147"/>
      <c r="F12" s="147"/>
      <c r="G12" s="147"/>
      <c r="H12" s="147"/>
      <c r="I12" s="147"/>
      <c r="J12" s="147"/>
      <c r="K12" s="147"/>
      <c r="L12" s="147"/>
      <c r="M12" s="147"/>
      <c r="N12" s="147"/>
      <c r="O12" s="147"/>
      <c r="P12" s="57"/>
    </row>
    <row r="13" spans="1:16" s="11" customFormat="1" ht="11.25" x14ac:dyDescent="0.25">
      <c r="A13" s="371" t="s">
        <v>1026</v>
      </c>
      <c r="B13" s="372"/>
      <c r="C13" s="372"/>
      <c r="D13" s="372"/>
      <c r="E13" s="373"/>
      <c r="F13" s="147"/>
      <c r="G13" s="147"/>
      <c r="H13" s="147"/>
      <c r="I13" s="147"/>
      <c r="J13" s="147"/>
      <c r="K13" s="147"/>
      <c r="L13" s="147"/>
      <c r="M13" s="147"/>
      <c r="N13" s="147"/>
      <c r="O13" s="147"/>
      <c r="P13" s="57"/>
    </row>
    <row r="14" spans="1:16" s="11" customFormat="1" ht="11.25" x14ac:dyDescent="0.25">
      <c r="A14" s="118" t="str">
        <f>VLOOKUP("T03",tblTranslation[],LangFieldID,FALSE)</f>
        <v>CP01A</v>
      </c>
      <c r="B14" s="299" t="str">
        <f>VLOOKUP("T03",tblTranslation[],LangNameID,FALSE)</f>
        <v>Vessel registration details (characteristics)</v>
      </c>
      <c r="C14" s="299"/>
      <c r="D14" s="299"/>
      <c r="E14" s="310"/>
      <c r="F14" s="147"/>
      <c r="G14" s="147"/>
      <c r="H14" s="147"/>
      <c r="I14" s="147"/>
      <c r="J14" s="147"/>
      <c r="K14" s="147"/>
      <c r="L14" s="147"/>
      <c r="M14" s="147"/>
      <c r="N14" s="147"/>
      <c r="O14" s="147"/>
      <c r="P14" s="57"/>
    </row>
    <row r="15" spans="1:16" s="11" customFormat="1" ht="12" thickBot="1" x14ac:dyDescent="0.3">
      <c r="A15" s="119" t="str">
        <f>VLOOKUP("T05",tblTranslation[],LangFieldID,FALSE)</f>
        <v>CP01C</v>
      </c>
      <c r="B15" s="311" t="str">
        <f>VLOOKUP("T05",tblTranslation[],LangNameID,FALSE)</f>
        <v>Ownership (Owners/Operators) details</v>
      </c>
      <c r="C15" s="311"/>
      <c r="D15" s="311"/>
      <c r="E15" s="312"/>
      <c r="F15" s="147"/>
      <c r="G15" s="147"/>
      <c r="H15" s="147"/>
      <c r="I15" s="147"/>
      <c r="J15" s="147"/>
      <c r="K15" s="147"/>
      <c r="L15" s="147"/>
      <c r="M15" s="147"/>
      <c r="N15" s="147"/>
      <c r="O15" s="147"/>
      <c r="P15" s="57"/>
    </row>
    <row r="16" spans="1:16" s="11" customFormat="1" ht="11.25" x14ac:dyDescent="0.25">
      <c r="A16" s="158"/>
      <c r="B16" s="147"/>
      <c r="C16" s="147"/>
      <c r="D16" s="147"/>
      <c r="E16" s="98"/>
      <c r="F16" s="98"/>
      <c r="G16" s="98"/>
      <c r="H16" s="98"/>
      <c r="I16" s="98"/>
      <c r="J16" s="98"/>
      <c r="K16" s="98"/>
      <c r="L16" s="98"/>
      <c r="M16" s="98"/>
      <c r="N16" s="98"/>
      <c r="O16" s="147"/>
      <c r="P16" s="99"/>
    </row>
    <row r="17" spans="1:25" s="11" customFormat="1" ht="11.25" x14ac:dyDescent="0.25">
      <c r="A17" s="41"/>
      <c r="B17" s="47"/>
      <c r="C17" s="47"/>
      <c r="D17" s="47"/>
      <c r="E17" s="47"/>
      <c r="F17" s="47"/>
      <c r="G17" s="47"/>
      <c r="H17" s="47"/>
      <c r="I17" s="47"/>
      <c r="J17" s="47"/>
      <c r="K17" s="47"/>
      <c r="L17" s="47"/>
      <c r="M17" s="47"/>
      <c r="N17" s="47"/>
      <c r="O17" s="47"/>
      <c r="P17" s="46"/>
    </row>
    <row r="18" spans="1:25" s="11" customFormat="1" ht="12.75" x14ac:dyDescent="0.25">
      <c r="A18" s="377" t="str">
        <f>VLOOKUP("T04",tblTranslation[],LangFieldID,FALSE) &amp;": "&amp; VLOOKUP("T04",tblTranslation[],LangNameID,FALSE)</f>
        <v>CP01B: Authorizations on the ICCAT lists</v>
      </c>
      <c r="B18" s="377"/>
      <c r="C18" s="377"/>
      <c r="D18" s="377"/>
      <c r="E18" s="377"/>
    </row>
    <row r="19" spans="1:25" s="11" customFormat="1" ht="11.25" x14ac:dyDescent="0.25">
      <c r="A19" s="61"/>
      <c r="B19" s="61"/>
      <c r="C19" s="370" t="str">
        <f>VLOOKUP("D40",tblTranslation[],LangFieldID,FALSE) &amp;"*"</f>
        <v>Authorized periods for inclusion on the ICCAT vessel registry*</v>
      </c>
      <c r="D19" s="370"/>
      <c r="E19" s="370"/>
      <c r="F19" s="370"/>
      <c r="G19" s="370"/>
      <c r="H19" s="370"/>
      <c r="I19" s="370"/>
      <c r="J19" s="370"/>
      <c r="K19" s="370"/>
      <c r="L19" s="370"/>
      <c r="M19" s="370"/>
      <c r="N19" s="370"/>
      <c r="O19" s="370"/>
      <c r="P19" s="370"/>
      <c r="Q19" s="370"/>
      <c r="R19" s="370"/>
      <c r="S19" s="370"/>
      <c r="T19" s="370"/>
      <c r="U19" s="370"/>
      <c r="V19" s="370"/>
      <c r="W19" s="370"/>
      <c r="X19" s="370"/>
      <c r="Y19" s="370"/>
    </row>
    <row r="20" spans="1:25" s="11" customFormat="1" ht="11.25" x14ac:dyDescent="0.25">
      <c r="A20" s="358" t="str">
        <f>VLOOKUP("D30",tblTranslation[],LangFieldID,FALSE)</f>
        <v>Identification</v>
      </c>
      <c r="B20" s="359"/>
      <c r="C20" s="354" t="str">
        <f>VLOOKUP("D41",tblTranslation[],LangFieldID,FALSE)</f>
        <v>Positive list (LOA &gt;= 20 meters) AND associated authorisations (Lists)</v>
      </c>
      <c r="D20" s="355"/>
      <c r="E20" s="355"/>
      <c r="F20" s="355"/>
      <c r="G20" s="355"/>
      <c r="H20" s="355"/>
      <c r="I20" s="356"/>
      <c r="J20" s="367" t="str">
        <f>VLOOKUP("D42",tblTranslation[],LangFieldID,FALSE)</f>
        <v>TROP vessels</v>
      </c>
      <c r="K20" s="367"/>
      <c r="L20" s="367"/>
      <c r="M20" s="352" t="str">
        <f>VLOOKUP("D43",tblTranslation[],LangFieldID,FALSE)</f>
        <v>SWO-MED vessels</v>
      </c>
      <c r="N20" s="353"/>
      <c r="O20" s="362" t="str">
        <f>VLOOKUP("D44",tblTranslation[],LangFieldID,FALSE)</f>
        <v>ALB-MED vessels</v>
      </c>
      <c r="P20" s="363"/>
      <c r="Q20" s="360" t="str">
        <f>VLOOKUP("D45",tblTranslation[],LangFieldID,FALSE)</f>
        <v>Carrier vessels</v>
      </c>
      <c r="R20" s="361"/>
      <c r="S20" s="364" t="str">
        <f>VLOOKUP("D46",tblTranslation[],LangFieldID,FALSE)</f>
        <v>BFT-E Catching Vessels</v>
      </c>
      <c r="T20" s="365"/>
      <c r="U20" s="365"/>
      <c r="V20" s="365"/>
      <c r="W20" s="366"/>
      <c r="X20" s="357" t="str">
        <f>VLOOKUP("D47",tblTranslation[],LangFieldID,FALSE)</f>
        <v>BFT-E Other Vessels</v>
      </c>
      <c r="Y20" s="357"/>
    </row>
    <row r="21" spans="1:25" s="11" customFormat="1" ht="22.5" x14ac:dyDescent="0.25">
      <c r="A21" s="62" t="str">
        <f>VLOOKUP(A23,tblTranslation[],LangFieldID,FALSE)</f>
        <v>ICCAT Serial Number</v>
      </c>
      <c r="B21" s="62" t="str">
        <f>VLOOKUP(B23,tblTranslation[],LangFieldID,FALSE)</f>
        <v>Nat. Registry Nº (NRN)</v>
      </c>
      <c r="C21" s="28" t="str">
        <f>VLOOKUP(C23,tblTranslation[],LangFieldID,FALSE)</f>
        <v>From (date)</v>
      </c>
      <c r="D21" s="28" t="str">
        <f>VLOOKUP(D23,tblTranslation[],LangFieldID,FALSE)</f>
        <v xml:space="preserve">To (date) </v>
      </c>
      <c r="E21" s="29" t="str">
        <f>VLOOKUP(E23,tblTranslation[],LangFieldID,FALSE)</f>
        <v>Renewal (mode)</v>
      </c>
      <c r="F21" s="35" t="str">
        <f>VLOOKUP(F23,tblTranslation[],LangFieldID,FALSE)</f>
        <v>SWO-N 
(X)</v>
      </c>
      <c r="G21" s="35" t="str">
        <f>VLOOKUP(G23,tblTranslation[],LangFieldID,FALSE)</f>
        <v>SWO-S 
(X)</v>
      </c>
      <c r="H21" s="35" t="str">
        <f>VLOOKUP(H23,tblTranslation[],LangFieldID,FALSE)</f>
        <v>ALB-N 
(X)</v>
      </c>
      <c r="I21" s="35" t="str">
        <f>VLOOKUP(I23,tblTranslation[],LangFieldID,FALSE)</f>
        <v>ALB-S 
(X)</v>
      </c>
      <c r="J21" s="36" t="str">
        <f>VLOOKUP(J23,tblTranslation[],LangFieldID,FALSE)</f>
        <v>From (date)</v>
      </c>
      <c r="K21" s="33" t="str">
        <f>VLOOKUP(K23,tblTranslation[],LangFieldID,FALSE)</f>
        <v xml:space="preserve">To (date) </v>
      </c>
      <c r="L21" s="34" t="str">
        <f>VLOOKUP(L23,tblTranslation[],LangFieldID,FALSE)</f>
        <v>Renewal (mode)</v>
      </c>
      <c r="M21" s="24" t="str">
        <f>VLOOKUP(M23,tblTranslation[],LangFieldID,FALSE)</f>
        <v>From (date)</v>
      </c>
      <c r="N21" s="24" t="str">
        <f>VLOOKUP(N23,tblTranslation[],LangFieldID,FALSE)</f>
        <v xml:space="preserve">To (date) </v>
      </c>
      <c r="O21" s="32" t="str">
        <f>VLOOKUP(O23,tblTranslation[],LangFieldID,FALSE)</f>
        <v>From (date)</v>
      </c>
      <c r="P21" s="32" t="str">
        <f>VLOOKUP(P23,tblTranslation[],LangFieldID,FALSE)</f>
        <v xml:space="preserve">To (date) </v>
      </c>
      <c r="Q21" s="23" t="str">
        <f>VLOOKUP(Q23,tblTranslation[],LangFieldID,FALSE)</f>
        <v>From (date)</v>
      </c>
      <c r="R21" s="23" t="str">
        <f>VLOOKUP(R23,tblTranslation[],LangFieldID,FALSE)</f>
        <v xml:space="preserve">To (date) </v>
      </c>
      <c r="S21" s="27" t="str">
        <f>VLOOKUP(S23,tblTranslation[],LangFieldID,FALSE)</f>
        <v>From (date)</v>
      </c>
      <c r="T21" s="27" t="str">
        <f>VLOOKUP(T23,tblTranslation[],LangFieldID,FALSE)</f>
        <v xml:space="preserve">To (date) </v>
      </c>
      <c r="U21" s="31" t="str">
        <f>VLOOKUP(U23,tblTranslation[],LangFieldID,FALSE)</f>
        <v>Fishery 
type</v>
      </c>
      <c r="V21" s="31" t="str">
        <f>VLOOKUP(V23,tblTranslation[],LangFieldID,FALSE)</f>
        <v>Fishing area</v>
      </c>
      <c r="W21" s="27" t="str">
        <f>VLOOKUP(W23,tblTranslation[],LangFieldID,FALSE)</f>
        <v>Assigned quota (kg)</v>
      </c>
      <c r="X21" s="30" t="str">
        <f>VLOOKUP(X23,tblTranslation[],LangFieldID,FALSE)</f>
        <v>From (date)</v>
      </c>
      <c r="Y21" s="30" t="str">
        <f>VLOOKUP(Y23,tblTranslation[],LangFieldID,FALSE)</f>
        <v xml:space="preserve">To (date) </v>
      </c>
    </row>
    <row r="22" spans="1:25" s="42" customFormat="1" ht="11.25" x14ac:dyDescent="0.25">
      <c r="A22" s="42" t="str">
        <f>REPT("+",13)</f>
        <v>+++++++++++++</v>
      </c>
      <c r="B22" s="42" t="str">
        <f>REPT("+",25)</f>
        <v>+++++++++++++++++++++++++</v>
      </c>
      <c r="C22" s="174" t="str">
        <f t="shared" ref="C22:T22" si="0">REPT("+",10)</f>
        <v>++++++++++</v>
      </c>
      <c r="D22" s="174" t="str">
        <f t="shared" si="0"/>
        <v>++++++++++</v>
      </c>
      <c r="E22" s="174" t="str">
        <f>REPT("+",12)</f>
        <v>++++++++++++</v>
      </c>
      <c r="F22" s="42" t="str">
        <f>REPT("+",6)</f>
        <v>++++++</v>
      </c>
      <c r="G22" s="42" t="str">
        <f>REPT("+",6)</f>
        <v>++++++</v>
      </c>
      <c r="H22" s="42" t="str">
        <f>REPT("+",6)</f>
        <v>++++++</v>
      </c>
      <c r="I22" s="42" t="str">
        <f>REPT("+",6)</f>
        <v>++++++</v>
      </c>
      <c r="J22" s="174" t="str">
        <f t="shared" si="0"/>
        <v>++++++++++</v>
      </c>
      <c r="K22" s="174" t="str">
        <f t="shared" si="0"/>
        <v>++++++++++</v>
      </c>
      <c r="L22" s="174" t="str">
        <f>REPT("+",12)</f>
        <v>++++++++++++</v>
      </c>
      <c r="M22" s="174" t="str">
        <f t="shared" si="0"/>
        <v>++++++++++</v>
      </c>
      <c r="N22" s="174" t="str">
        <f t="shared" si="0"/>
        <v>++++++++++</v>
      </c>
      <c r="O22" s="174" t="str">
        <f t="shared" si="0"/>
        <v>++++++++++</v>
      </c>
      <c r="P22" s="174" t="str">
        <f t="shared" si="0"/>
        <v>++++++++++</v>
      </c>
      <c r="Q22" s="174" t="str">
        <f t="shared" si="0"/>
        <v>++++++++++</v>
      </c>
      <c r="R22" s="174" t="str">
        <f t="shared" si="0"/>
        <v>++++++++++</v>
      </c>
      <c r="S22" s="174" t="str">
        <f t="shared" si="0"/>
        <v>++++++++++</v>
      </c>
      <c r="T22" s="174" t="str">
        <f t="shared" si="0"/>
        <v>++++++++++</v>
      </c>
      <c r="U22" s="173" t="str">
        <f>REPT("+",10)</f>
        <v>++++++++++</v>
      </c>
      <c r="V22" s="173" t="str">
        <f>REPT("+",10)</f>
        <v>++++++++++</v>
      </c>
      <c r="W22" s="173" t="str">
        <f>REPT("+",10)</f>
        <v>++++++++++</v>
      </c>
      <c r="X22" s="174" t="str">
        <f>REPT("+",10)</f>
        <v>++++++++++</v>
      </c>
      <c r="Y22" s="174" t="str">
        <f>REPT("+",10)</f>
        <v>++++++++++</v>
      </c>
    </row>
    <row r="23" spans="1:25" s="18" customFormat="1" ht="11.25" x14ac:dyDescent="0.25">
      <c r="A23" s="68" t="s">
        <v>511</v>
      </c>
      <c r="B23" s="100" t="s">
        <v>530</v>
      </c>
      <c r="C23" s="101" t="s">
        <v>1013</v>
      </c>
      <c r="D23" s="102" t="s">
        <v>724</v>
      </c>
      <c r="E23" s="103" t="s">
        <v>727</v>
      </c>
      <c r="F23" s="104" t="s">
        <v>733</v>
      </c>
      <c r="G23" s="104" t="s">
        <v>734</v>
      </c>
      <c r="H23" s="104" t="s">
        <v>735</v>
      </c>
      <c r="I23" s="105" t="s">
        <v>736</v>
      </c>
      <c r="J23" s="106" t="s">
        <v>1014</v>
      </c>
      <c r="K23" s="106" t="s">
        <v>731</v>
      </c>
      <c r="L23" s="107" t="s">
        <v>728</v>
      </c>
      <c r="M23" s="108" t="s">
        <v>1015</v>
      </c>
      <c r="N23" s="109" t="s">
        <v>730</v>
      </c>
      <c r="O23" s="110" t="s">
        <v>1016</v>
      </c>
      <c r="P23" s="110" t="s">
        <v>729</v>
      </c>
      <c r="Q23" s="111" t="s">
        <v>1017</v>
      </c>
      <c r="R23" s="112" t="s">
        <v>732</v>
      </c>
      <c r="S23" s="113" t="s">
        <v>1018</v>
      </c>
      <c r="T23" s="114" t="s">
        <v>745</v>
      </c>
      <c r="U23" s="114" t="s">
        <v>1149</v>
      </c>
      <c r="V23" s="114" t="s">
        <v>1148</v>
      </c>
      <c r="W23" s="115" t="s">
        <v>1150</v>
      </c>
      <c r="X23" s="116" t="s">
        <v>1019</v>
      </c>
      <c r="Y23" s="117" t="s">
        <v>746</v>
      </c>
    </row>
    <row r="24" spans="1:25" s="81" customFormat="1" ht="11.25" x14ac:dyDescent="0.25">
      <c r="A24" s="164"/>
      <c r="B24" s="71"/>
      <c r="C24" s="165"/>
      <c r="D24" s="166"/>
      <c r="E24" s="164"/>
      <c r="F24" s="167"/>
      <c r="G24" s="168"/>
      <c r="H24" s="168"/>
      <c r="I24" s="168"/>
      <c r="J24" s="165"/>
      <c r="K24" s="166"/>
      <c r="L24" s="164"/>
      <c r="M24" s="165"/>
      <c r="N24" s="166"/>
      <c r="O24" s="165"/>
      <c r="P24" s="166"/>
      <c r="Q24" s="165"/>
      <c r="R24" s="166"/>
      <c r="S24" s="165"/>
      <c r="T24" s="166"/>
      <c r="U24" s="80"/>
      <c r="V24" s="80"/>
      <c r="W24" s="80"/>
      <c r="X24" s="165"/>
      <c r="Y24" s="169"/>
    </row>
    <row r="25" spans="1:25" s="81" customFormat="1" ht="11.25" x14ac:dyDescent="0.25">
      <c r="A25" s="164"/>
      <c r="B25" s="71"/>
      <c r="C25" s="165"/>
      <c r="D25" s="166"/>
      <c r="E25" s="164"/>
      <c r="F25" s="167"/>
      <c r="G25" s="168"/>
      <c r="H25" s="168"/>
      <c r="I25" s="168"/>
      <c r="J25" s="165"/>
      <c r="K25" s="166"/>
      <c r="L25" s="164"/>
      <c r="M25" s="165"/>
      <c r="N25" s="166"/>
      <c r="O25" s="165"/>
      <c r="P25" s="166"/>
      <c r="Q25" s="165"/>
      <c r="R25" s="166"/>
      <c r="S25" s="165"/>
      <c r="T25" s="166"/>
      <c r="U25" s="80"/>
      <c r="V25" s="80"/>
      <c r="W25" s="80"/>
      <c r="X25" s="165"/>
      <c r="Y25" s="169"/>
    </row>
    <row r="26" spans="1:25" s="81" customFormat="1" ht="11.25" x14ac:dyDescent="0.25">
      <c r="A26" s="164"/>
      <c r="B26" s="71"/>
      <c r="C26" s="165"/>
      <c r="D26" s="166"/>
      <c r="E26" s="164"/>
      <c r="F26" s="167"/>
      <c r="G26" s="168"/>
      <c r="H26" s="168"/>
      <c r="I26" s="168"/>
      <c r="J26" s="165"/>
      <c r="K26" s="166"/>
      <c r="L26" s="164"/>
      <c r="M26" s="165"/>
      <c r="N26" s="166"/>
      <c r="O26" s="165"/>
      <c r="P26" s="166"/>
      <c r="Q26" s="165"/>
      <c r="R26" s="166"/>
      <c r="S26" s="165"/>
      <c r="T26" s="166"/>
      <c r="U26" s="80"/>
      <c r="V26" s="80"/>
      <c r="W26" s="80"/>
      <c r="X26" s="165"/>
      <c r="Y26" s="169"/>
    </row>
    <row r="27" spans="1:25" s="81" customFormat="1" ht="11.25" x14ac:dyDescent="0.25">
      <c r="A27" s="164"/>
      <c r="B27" s="71"/>
      <c r="C27" s="165"/>
      <c r="D27" s="166"/>
      <c r="E27" s="164"/>
      <c r="F27" s="167"/>
      <c r="G27" s="168"/>
      <c r="H27" s="168"/>
      <c r="I27" s="168"/>
      <c r="J27" s="165"/>
      <c r="K27" s="166"/>
      <c r="L27" s="164"/>
      <c r="M27" s="165"/>
      <c r="N27" s="166"/>
      <c r="O27" s="165"/>
      <c r="P27" s="166"/>
      <c r="Q27" s="165"/>
      <c r="R27" s="166"/>
      <c r="S27" s="165"/>
      <c r="T27" s="166"/>
      <c r="U27" s="80"/>
      <c r="V27" s="80"/>
      <c r="W27" s="80"/>
      <c r="X27" s="165"/>
      <c r="Y27" s="169"/>
    </row>
    <row r="28" spans="1:25" s="81" customFormat="1" ht="11.25" x14ac:dyDescent="0.25">
      <c r="A28" s="164"/>
      <c r="B28" s="71"/>
      <c r="C28" s="165"/>
      <c r="D28" s="166"/>
      <c r="E28" s="164"/>
      <c r="F28" s="167"/>
      <c r="G28" s="168"/>
      <c r="H28" s="168"/>
      <c r="I28" s="168"/>
      <c r="J28" s="165"/>
      <c r="K28" s="166"/>
      <c r="L28" s="164"/>
      <c r="M28" s="165"/>
      <c r="N28" s="166"/>
      <c r="O28" s="165"/>
      <c r="P28" s="166"/>
      <c r="Q28" s="165"/>
      <c r="R28" s="166"/>
      <c r="S28" s="165"/>
      <c r="T28" s="166"/>
      <c r="U28" s="80"/>
      <c r="V28" s="80"/>
      <c r="W28" s="80"/>
      <c r="X28" s="165"/>
      <c r="Y28" s="169"/>
    </row>
    <row r="29" spans="1:25" s="81" customFormat="1" ht="11.25" x14ac:dyDescent="0.25">
      <c r="A29" s="164"/>
      <c r="B29" s="71"/>
      <c r="C29" s="165"/>
      <c r="D29" s="166"/>
      <c r="E29" s="164"/>
      <c r="F29" s="167"/>
      <c r="G29" s="168"/>
      <c r="H29" s="168"/>
      <c r="I29" s="168"/>
      <c r="J29" s="165"/>
      <c r="K29" s="166"/>
      <c r="L29" s="164"/>
      <c r="M29" s="165"/>
      <c r="N29" s="166"/>
      <c r="O29" s="165"/>
      <c r="P29" s="166"/>
      <c r="Q29" s="165"/>
      <c r="R29" s="166"/>
      <c r="S29" s="165"/>
      <c r="T29" s="166"/>
      <c r="U29" s="80"/>
      <c r="V29" s="80"/>
      <c r="W29" s="80"/>
      <c r="X29" s="165"/>
      <c r="Y29" s="169"/>
    </row>
    <row r="30" spans="1:25" s="81" customFormat="1" ht="11.25" x14ac:dyDescent="0.25">
      <c r="A30" s="164"/>
      <c r="B30" s="71"/>
      <c r="C30" s="165"/>
      <c r="D30" s="166"/>
      <c r="E30" s="164"/>
      <c r="F30" s="167"/>
      <c r="G30" s="168"/>
      <c r="H30" s="168"/>
      <c r="I30" s="168"/>
      <c r="J30" s="165"/>
      <c r="K30" s="166"/>
      <c r="L30" s="164"/>
      <c r="M30" s="165"/>
      <c r="N30" s="166"/>
      <c r="O30" s="165"/>
      <c r="P30" s="166"/>
      <c r="Q30" s="165"/>
      <c r="R30" s="166"/>
      <c r="S30" s="165"/>
      <c r="T30" s="166"/>
      <c r="U30" s="80"/>
      <c r="V30" s="80"/>
      <c r="W30" s="80"/>
      <c r="X30" s="165"/>
      <c r="Y30" s="169"/>
    </row>
    <row r="31" spans="1:25" s="81" customFormat="1" ht="11.25" x14ac:dyDescent="0.25">
      <c r="A31" s="164"/>
      <c r="B31" s="71"/>
      <c r="C31" s="165"/>
      <c r="D31" s="166"/>
      <c r="E31" s="164"/>
      <c r="F31" s="167"/>
      <c r="G31" s="168"/>
      <c r="H31" s="168"/>
      <c r="I31" s="168"/>
      <c r="J31" s="165"/>
      <c r="K31" s="166"/>
      <c r="L31" s="164"/>
      <c r="M31" s="165"/>
      <c r="N31" s="166"/>
      <c r="O31" s="165"/>
      <c r="P31" s="166"/>
      <c r="Q31" s="165"/>
      <c r="R31" s="166"/>
      <c r="S31" s="165"/>
      <c r="T31" s="166"/>
      <c r="U31" s="80"/>
      <c r="V31" s="80"/>
      <c r="W31" s="80"/>
      <c r="X31" s="165"/>
      <c r="Y31" s="169"/>
    </row>
    <row r="32" spans="1:25" s="81" customFormat="1" ht="11.25" x14ac:dyDescent="0.25">
      <c r="A32" s="164"/>
      <c r="B32" s="71"/>
      <c r="C32" s="165"/>
      <c r="D32" s="166"/>
      <c r="E32" s="164"/>
      <c r="F32" s="167"/>
      <c r="G32" s="168"/>
      <c r="H32" s="168"/>
      <c r="I32" s="168"/>
      <c r="J32" s="165"/>
      <c r="K32" s="166"/>
      <c r="L32" s="164"/>
      <c r="M32" s="165"/>
      <c r="N32" s="166"/>
      <c r="O32" s="165"/>
      <c r="P32" s="166"/>
      <c r="Q32" s="165"/>
      <c r="R32" s="166"/>
      <c r="S32" s="165"/>
      <c r="T32" s="166"/>
      <c r="U32" s="80"/>
      <c r="V32" s="80"/>
      <c r="W32" s="80"/>
      <c r="X32" s="165"/>
      <c r="Y32" s="169"/>
    </row>
    <row r="33" spans="1:25" s="81" customFormat="1" ht="11.25" x14ac:dyDescent="0.25">
      <c r="A33" s="164"/>
      <c r="B33" s="71"/>
      <c r="C33" s="165"/>
      <c r="D33" s="166"/>
      <c r="E33" s="164"/>
      <c r="F33" s="167"/>
      <c r="G33" s="168"/>
      <c r="H33" s="168"/>
      <c r="I33" s="168"/>
      <c r="J33" s="165"/>
      <c r="K33" s="166"/>
      <c r="L33" s="164"/>
      <c r="M33" s="165"/>
      <c r="N33" s="166"/>
      <c r="O33" s="165"/>
      <c r="P33" s="166"/>
      <c r="Q33" s="165"/>
      <c r="R33" s="166"/>
      <c r="S33" s="165"/>
      <c r="T33" s="166"/>
      <c r="U33" s="80"/>
      <c r="V33" s="80"/>
      <c r="W33" s="80"/>
      <c r="X33" s="165"/>
      <c r="Y33" s="169"/>
    </row>
    <row r="34" spans="1:25" s="81" customFormat="1" ht="11.25" x14ac:dyDescent="0.25">
      <c r="A34" s="164"/>
      <c r="B34" s="164"/>
      <c r="C34" s="165"/>
      <c r="D34" s="166"/>
      <c r="E34" s="164"/>
      <c r="F34" s="167"/>
      <c r="G34" s="168"/>
      <c r="H34" s="168"/>
      <c r="I34" s="168"/>
      <c r="J34" s="165"/>
      <c r="K34" s="166"/>
      <c r="L34" s="164"/>
      <c r="M34" s="165"/>
      <c r="N34" s="166"/>
      <c r="O34" s="165"/>
      <c r="P34" s="166"/>
      <c r="Q34" s="165"/>
      <c r="R34" s="166"/>
      <c r="S34" s="165"/>
      <c r="T34" s="166"/>
      <c r="U34" s="80"/>
      <c r="V34" s="80"/>
      <c r="W34" s="80"/>
      <c r="X34" s="165"/>
      <c r="Y34" s="169"/>
    </row>
    <row r="35" spans="1:25" s="81" customFormat="1" ht="11.25" x14ac:dyDescent="0.25">
      <c r="A35" s="164"/>
      <c r="B35" s="164"/>
      <c r="C35" s="165"/>
      <c r="D35" s="166"/>
      <c r="E35" s="164"/>
      <c r="F35" s="167"/>
      <c r="G35" s="168"/>
      <c r="H35" s="168"/>
      <c r="I35" s="168"/>
      <c r="J35" s="165"/>
      <c r="K35" s="166"/>
      <c r="L35" s="164"/>
      <c r="M35" s="165"/>
      <c r="N35" s="166"/>
      <c r="O35" s="165"/>
      <c r="P35" s="166"/>
      <c r="Q35" s="165"/>
      <c r="R35" s="166"/>
      <c r="S35" s="165"/>
      <c r="T35" s="166"/>
      <c r="U35" s="80"/>
      <c r="V35" s="80"/>
      <c r="W35" s="80"/>
      <c r="X35" s="165"/>
      <c r="Y35" s="169"/>
    </row>
    <row r="36" spans="1:25" s="81" customFormat="1" ht="11.25" x14ac:dyDescent="0.25">
      <c r="A36" s="164"/>
      <c r="B36" s="164"/>
      <c r="C36" s="165"/>
      <c r="D36" s="166"/>
      <c r="E36" s="164"/>
      <c r="F36" s="167"/>
      <c r="G36" s="168"/>
      <c r="H36" s="168"/>
      <c r="I36" s="168"/>
      <c r="J36" s="165"/>
      <c r="K36" s="166"/>
      <c r="L36" s="164"/>
      <c r="M36" s="165"/>
      <c r="N36" s="166"/>
      <c r="O36" s="165"/>
      <c r="P36" s="166"/>
      <c r="Q36" s="165"/>
      <c r="R36" s="166"/>
      <c r="S36" s="165"/>
      <c r="T36" s="166"/>
      <c r="U36" s="80"/>
      <c r="V36" s="80"/>
      <c r="W36" s="80"/>
      <c r="X36" s="165"/>
      <c r="Y36" s="169"/>
    </row>
    <row r="37" spans="1:25" s="81" customFormat="1" ht="11.25" x14ac:dyDescent="0.25">
      <c r="A37" s="164"/>
      <c r="B37" s="164"/>
      <c r="C37" s="165"/>
      <c r="D37" s="166"/>
      <c r="E37" s="164"/>
      <c r="F37" s="167"/>
      <c r="G37" s="168"/>
      <c r="H37" s="168"/>
      <c r="I37" s="168"/>
      <c r="J37" s="165"/>
      <c r="K37" s="166"/>
      <c r="L37" s="164"/>
      <c r="M37" s="165"/>
      <c r="N37" s="166"/>
      <c r="O37" s="165"/>
      <c r="P37" s="166"/>
      <c r="Q37" s="165"/>
      <c r="R37" s="166"/>
      <c r="S37" s="165"/>
      <c r="T37" s="166"/>
      <c r="U37" s="80"/>
      <c r="V37" s="80"/>
      <c r="W37" s="80"/>
      <c r="X37" s="165"/>
      <c r="Y37" s="169"/>
    </row>
    <row r="38" spans="1:25" s="81" customFormat="1" ht="11.25" x14ac:dyDescent="0.25">
      <c r="A38" s="164"/>
      <c r="B38" s="164"/>
      <c r="C38" s="165"/>
      <c r="D38" s="166"/>
      <c r="E38" s="164"/>
      <c r="F38" s="167"/>
      <c r="G38" s="168"/>
      <c r="H38" s="168"/>
      <c r="I38" s="168"/>
      <c r="J38" s="165"/>
      <c r="K38" s="166"/>
      <c r="L38" s="164"/>
      <c r="M38" s="165"/>
      <c r="N38" s="166"/>
      <c r="O38" s="165"/>
      <c r="P38" s="166"/>
      <c r="Q38" s="165"/>
      <c r="R38" s="166"/>
      <c r="S38" s="165"/>
      <c r="T38" s="166"/>
      <c r="U38" s="80"/>
      <c r="V38" s="80"/>
      <c r="W38" s="80"/>
      <c r="X38" s="165"/>
      <c r="Y38" s="169"/>
    </row>
    <row r="39" spans="1:25" s="81" customFormat="1" ht="11.25" x14ac:dyDescent="0.25">
      <c r="A39" s="164"/>
      <c r="B39" s="164"/>
      <c r="C39" s="165"/>
      <c r="D39" s="166"/>
      <c r="E39" s="164"/>
      <c r="F39" s="167"/>
      <c r="G39" s="168"/>
      <c r="H39" s="168"/>
      <c r="I39" s="168"/>
      <c r="J39" s="165"/>
      <c r="K39" s="166"/>
      <c r="L39" s="164"/>
      <c r="M39" s="165"/>
      <c r="N39" s="166"/>
      <c r="O39" s="165"/>
      <c r="P39" s="166"/>
      <c r="Q39" s="165"/>
      <c r="R39" s="166"/>
      <c r="S39" s="165"/>
      <c r="T39" s="166"/>
      <c r="U39" s="80"/>
      <c r="V39" s="80"/>
      <c r="W39" s="80"/>
      <c r="X39" s="165"/>
      <c r="Y39" s="169"/>
    </row>
    <row r="40" spans="1:25" s="81" customFormat="1" ht="11.25" x14ac:dyDescent="0.25">
      <c r="A40" s="164"/>
      <c r="B40" s="164"/>
      <c r="C40" s="165"/>
      <c r="D40" s="166"/>
      <c r="E40" s="164"/>
      <c r="F40" s="167"/>
      <c r="G40" s="168"/>
      <c r="H40" s="168"/>
      <c r="I40" s="168"/>
      <c r="J40" s="165"/>
      <c r="K40" s="166"/>
      <c r="L40" s="164"/>
      <c r="M40" s="165"/>
      <c r="N40" s="166"/>
      <c r="O40" s="165"/>
      <c r="P40" s="166"/>
      <c r="Q40" s="165"/>
      <c r="R40" s="166"/>
      <c r="S40" s="165"/>
      <c r="T40" s="166"/>
      <c r="U40" s="80"/>
      <c r="V40" s="80"/>
      <c r="W40" s="80"/>
      <c r="X40" s="165"/>
      <c r="Y40" s="169"/>
    </row>
    <row r="41" spans="1:25" s="81" customFormat="1" ht="11.25" x14ac:dyDescent="0.25">
      <c r="A41" s="164"/>
      <c r="B41" s="164"/>
      <c r="C41" s="165"/>
      <c r="D41" s="166"/>
      <c r="E41" s="164"/>
      <c r="F41" s="167"/>
      <c r="G41" s="168"/>
      <c r="H41" s="168"/>
      <c r="I41" s="168"/>
      <c r="J41" s="165"/>
      <c r="K41" s="166"/>
      <c r="L41" s="164"/>
      <c r="M41" s="165"/>
      <c r="N41" s="166"/>
      <c r="O41" s="165"/>
      <c r="P41" s="166"/>
      <c r="Q41" s="165"/>
      <c r="R41" s="166"/>
      <c r="S41" s="165"/>
      <c r="T41" s="166"/>
      <c r="U41" s="80"/>
      <c r="V41" s="80"/>
      <c r="W41" s="80"/>
      <c r="X41" s="165"/>
      <c r="Y41" s="169"/>
    </row>
    <row r="42" spans="1:25" s="81" customFormat="1" ht="11.25" x14ac:dyDescent="0.25">
      <c r="A42" s="164"/>
      <c r="B42" s="164"/>
      <c r="C42" s="165"/>
      <c r="D42" s="166"/>
      <c r="E42" s="164"/>
      <c r="F42" s="167"/>
      <c r="G42" s="168"/>
      <c r="H42" s="168"/>
      <c r="I42" s="168"/>
      <c r="J42" s="165"/>
      <c r="K42" s="166"/>
      <c r="L42" s="164"/>
      <c r="M42" s="165"/>
      <c r="N42" s="166"/>
      <c r="O42" s="165"/>
      <c r="P42" s="166"/>
      <c r="Q42" s="165"/>
      <c r="R42" s="166"/>
      <c r="S42" s="165"/>
      <c r="T42" s="166"/>
      <c r="U42" s="80"/>
      <c r="V42" s="80"/>
      <c r="W42" s="80"/>
      <c r="X42" s="165"/>
      <c r="Y42" s="169"/>
    </row>
    <row r="43" spans="1:25" s="81" customFormat="1" ht="11.25" x14ac:dyDescent="0.25">
      <c r="A43" s="164"/>
      <c r="B43" s="164"/>
      <c r="C43" s="165"/>
      <c r="D43" s="166"/>
      <c r="E43" s="164"/>
      <c r="F43" s="167"/>
      <c r="G43" s="168"/>
      <c r="H43" s="168"/>
      <c r="I43" s="168"/>
      <c r="J43" s="165"/>
      <c r="K43" s="166"/>
      <c r="L43" s="164"/>
      <c r="M43" s="165"/>
      <c r="N43" s="166"/>
      <c r="O43" s="165"/>
      <c r="P43" s="166"/>
      <c r="Q43" s="165"/>
      <c r="R43" s="166"/>
      <c r="S43" s="165"/>
      <c r="T43" s="166"/>
      <c r="U43" s="80"/>
      <c r="V43" s="80"/>
      <c r="W43" s="80"/>
      <c r="X43" s="165"/>
      <c r="Y43" s="169"/>
    </row>
    <row r="44" spans="1:25" s="81" customFormat="1" ht="11.25" x14ac:dyDescent="0.25">
      <c r="A44" s="164"/>
      <c r="B44" s="164"/>
      <c r="C44" s="165"/>
      <c r="D44" s="166"/>
      <c r="E44" s="164"/>
      <c r="F44" s="167"/>
      <c r="G44" s="168"/>
      <c r="H44" s="168"/>
      <c r="I44" s="168"/>
      <c r="J44" s="165"/>
      <c r="K44" s="166"/>
      <c r="L44" s="164"/>
      <c r="M44" s="165"/>
      <c r="N44" s="166"/>
      <c r="O44" s="165"/>
      <c r="P44" s="166"/>
      <c r="Q44" s="165"/>
      <c r="R44" s="166"/>
      <c r="S44" s="165"/>
      <c r="T44" s="166"/>
      <c r="U44" s="80"/>
      <c r="V44" s="80"/>
      <c r="W44" s="80"/>
      <c r="X44" s="165"/>
      <c r="Y44" s="169"/>
    </row>
    <row r="45" spans="1:25" s="81" customFormat="1" ht="11.25" x14ac:dyDescent="0.25">
      <c r="A45" s="164"/>
      <c r="B45" s="164"/>
      <c r="C45" s="165"/>
      <c r="D45" s="166"/>
      <c r="E45" s="164"/>
      <c r="F45" s="167"/>
      <c r="G45" s="168"/>
      <c r="H45" s="168"/>
      <c r="I45" s="168"/>
      <c r="J45" s="165"/>
      <c r="K45" s="166"/>
      <c r="L45" s="164"/>
      <c r="M45" s="165"/>
      <c r="N45" s="166"/>
      <c r="O45" s="165"/>
      <c r="P45" s="166"/>
      <c r="Q45" s="165"/>
      <c r="R45" s="166"/>
      <c r="S45" s="165"/>
      <c r="T45" s="166"/>
      <c r="U45" s="80"/>
      <c r="V45" s="80"/>
      <c r="W45" s="80"/>
      <c r="X45" s="165"/>
      <c r="Y45" s="169"/>
    </row>
    <row r="46" spans="1:25" s="81" customFormat="1" ht="11.25" x14ac:dyDescent="0.25">
      <c r="A46" s="164"/>
      <c r="B46" s="164"/>
      <c r="C46" s="165"/>
      <c r="D46" s="166"/>
      <c r="E46" s="164"/>
      <c r="F46" s="167"/>
      <c r="G46" s="168"/>
      <c r="H46" s="168"/>
      <c r="I46" s="168"/>
      <c r="J46" s="165"/>
      <c r="K46" s="166"/>
      <c r="L46" s="164"/>
      <c r="M46" s="165"/>
      <c r="N46" s="166"/>
      <c r="O46" s="165"/>
      <c r="P46" s="166"/>
      <c r="Q46" s="165"/>
      <c r="R46" s="166"/>
      <c r="S46" s="165"/>
      <c r="T46" s="166"/>
      <c r="U46" s="80"/>
      <c r="V46" s="80"/>
      <c r="W46" s="80"/>
      <c r="X46" s="165"/>
      <c r="Y46" s="169"/>
    </row>
    <row r="47" spans="1:25" s="81" customFormat="1" ht="11.25" x14ac:dyDescent="0.25">
      <c r="A47" s="164"/>
      <c r="B47" s="164"/>
      <c r="C47" s="165"/>
      <c r="D47" s="166"/>
      <c r="E47" s="164"/>
      <c r="F47" s="167"/>
      <c r="G47" s="168"/>
      <c r="H47" s="168"/>
      <c r="I47" s="168"/>
      <c r="J47" s="165"/>
      <c r="K47" s="166"/>
      <c r="L47" s="164"/>
      <c r="M47" s="165"/>
      <c r="N47" s="166"/>
      <c r="O47" s="165"/>
      <c r="P47" s="166"/>
      <c r="Q47" s="165"/>
      <c r="R47" s="166"/>
      <c r="S47" s="165"/>
      <c r="T47" s="166"/>
      <c r="U47" s="80"/>
      <c r="V47" s="80"/>
      <c r="W47" s="80"/>
      <c r="X47" s="165"/>
      <c r="Y47" s="169"/>
    </row>
    <row r="48" spans="1:25" s="81" customFormat="1" ht="11.25" x14ac:dyDescent="0.25">
      <c r="A48" s="164"/>
      <c r="B48" s="164"/>
      <c r="C48" s="165"/>
      <c r="D48" s="166"/>
      <c r="E48" s="164"/>
      <c r="F48" s="167"/>
      <c r="G48" s="168"/>
      <c r="H48" s="168"/>
      <c r="I48" s="168"/>
      <c r="J48" s="165"/>
      <c r="K48" s="166"/>
      <c r="L48" s="164"/>
      <c r="M48" s="165"/>
      <c r="N48" s="166"/>
      <c r="O48" s="165"/>
      <c r="P48" s="166"/>
      <c r="Q48" s="165"/>
      <c r="R48" s="166"/>
      <c r="S48" s="165"/>
      <c r="T48" s="166"/>
      <c r="U48" s="80"/>
      <c r="V48" s="80"/>
      <c r="W48" s="80"/>
      <c r="X48" s="165"/>
      <c r="Y48" s="169"/>
    </row>
    <row r="49" spans="1:25" s="81" customFormat="1" ht="11.25" x14ac:dyDescent="0.25">
      <c r="A49" s="164"/>
      <c r="B49" s="164"/>
      <c r="C49" s="165"/>
      <c r="D49" s="166"/>
      <c r="E49" s="164"/>
      <c r="F49" s="167"/>
      <c r="G49" s="168"/>
      <c r="H49" s="168"/>
      <c r="I49" s="168"/>
      <c r="J49" s="165"/>
      <c r="K49" s="166"/>
      <c r="L49" s="164"/>
      <c r="M49" s="165"/>
      <c r="N49" s="166"/>
      <c r="O49" s="165"/>
      <c r="P49" s="166"/>
      <c r="Q49" s="165"/>
      <c r="R49" s="166"/>
      <c r="S49" s="165"/>
      <c r="T49" s="166"/>
      <c r="U49" s="80"/>
      <c r="V49" s="80"/>
      <c r="W49" s="80"/>
      <c r="X49" s="165"/>
      <c r="Y49" s="169"/>
    </row>
    <row r="50" spans="1:25" s="81" customFormat="1" ht="11.25" x14ac:dyDescent="0.25">
      <c r="A50" s="164"/>
      <c r="B50" s="164"/>
      <c r="C50" s="165"/>
      <c r="D50" s="166"/>
      <c r="E50" s="164"/>
      <c r="F50" s="167"/>
      <c r="G50" s="168"/>
      <c r="H50" s="168"/>
      <c r="I50" s="168"/>
      <c r="J50" s="165"/>
      <c r="K50" s="166"/>
      <c r="L50" s="164"/>
      <c r="M50" s="165"/>
      <c r="N50" s="166"/>
      <c r="O50" s="165"/>
      <c r="P50" s="166"/>
      <c r="Q50" s="165"/>
      <c r="R50" s="166"/>
      <c r="S50" s="165"/>
      <c r="T50" s="166"/>
      <c r="U50" s="80"/>
      <c r="V50" s="80"/>
      <c r="W50" s="80"/>
      <c r="X50" s="165"/>
      <c r="Y50" s="169"/>
    </row>
  </sheetData>
  <sheetProtection algorithmName="SHA-512" hashValue="Q1O1JrTtzzl9irDoW73yCFTejRv6vSmFfsxL4HrhQm8o0VR19EEnmOtofOsAVQ6qpN1hEeAywZZU/WxugRT00g==" saltValue="mhQK3xvM/FKlTQnVj+wKBw==" spinCount="100000" sheet="1" formatCells="0" formatRows="0" insertRows="0" deleteRows="0" autoFilter="0"/>
  <mergeCells count="40">
    <mergeCell ref="N10:O10"/>
    <mergeCell ref="C19:Y19"/>
    <mergeCell ref="A1:A2"/>
    <mergeCell ref="B14:E14"/>
    <mergeCell ref="B15:E15"/>
    <mergeCell ref="A13:E13"/>
    <mergeCell ref="F5:I5"/>
    <mergeCell ref="F6:G6"/>
    <mergeCell ref="F7:G7"/>
    <mergeCell ref="F8:G8"/>
    <mergeCell ref="F9:G9"/>
    <mergeCell ref="B1:M1"/>
    <mergeCell ref="A18:E18"/>
    <mergeCell ref="H7:I7"/>
    <mergeCell ref="H8:I8"/>
    <mergeCell ref="H9:I9"/>
    <mergeCell ref="M20:N20"/>
    <mergeCell ref="C20:I20"/>
    <mergeCell ref="X20:Y20"/>
    <mergeCell ref="A20:B20"/>
    <mergeCell ref="Q20:R20"/>
    <mergeCell ref="O20:P20"/>
    <mergeCell ref="S20:W20"/>
    <mergeCell ref="J20:L20"/>
    <mergeCell ref="K11:M11"/>
    <mergeCell ref="K8:M8"/>
    <mergeCell ref="K9:M9"/>
    <mergeCell ref="K10:M10"/>
    <mergeCell ref="B2:M2"/>
    <mergeCell ref="A4:E4"/>
    <mergeCell ref="B6:C6"/>
    <mergeCell ref="B8:D8"/>
    <mergeCell ref="H6:I6"/>
    <mergeCell ref="H10:I10"/>
    <mergeCell ref="H11:I11"/>
    <mergeCell ref="F10:G10"/>
    <mergeCell ref="F11:G11"/>
    <mergeCell ref="K7:O7"/>
    <mergeCell ref="N8:O8"/>
    <mergeCell ref="N9:O9"/>
  </mergeCells>
  <conditionalFormatting sqref="J24:K30 C24:E50 M24:Y50 J31 J32:K50">
    <cfRule type="cellIs" dxfId="0" priority="3" operator="equal">
      <formula>1</formula>
    </cfRule>
  </conditionalFormatting>
  <dataValidations count="8">
    <dataValidation type="whole" operator="greaterThanOrEqual" allowBlank="1" showInputMessage="1" showErrorMessage="1" sqref="W24:W50" xr:uid="{00000000-0002-0000-0100-000000000000}">
      <formula1>0</formula1>
    </dataValidation>
    <dataValidation type="list" allowBlank="1" showInputMessage="1" showErrorMessage="1" sqref="V24:V50" xr:uid="{00000000-0002-0000-0100-000001000000}">
      <formula1>FishingArea</formula1>
    </dataValidation>
    <dataValidation type="list" allowBlank="1" showInputMessage="1" showErrorMessage="1" sqref="U24:U50" xr:uid="{00000000-0002-0000-0100-000002000000}">
      <formula1>FisheryType</formula1>
    </dataValidation>
    <dataValidation type="textLength" allowBlank="1" showInputMessage="1" showErrorMessage="1" sqref="A24:A50" xr:uid="{00000000-0002-0000-0100-000003000000}">
      <formula1>13</formula1>
      <formula2>13</formula2>
    </dataValidation>
    <dataValidation type="list" allowBlank="1" showInputMessage="1" showErrorMessage="1" sqref="B34:B50" xr:uid="{00000000-0002-0000-0100-000004000000}">
      <formula1>NatRegNo</formula1>
    </dataValidation>
    <dataValidation type="list" allowBlank="1" showInputMessage="1" showErrorMessage="1" sqref="L24:L50 E24:E50" xr:uid="{00000000-0002-0000-0100-000005000000}">
      <formula1>RModeCod</formula1>
    </dataValidation>
    <dataValidation type="list" allowBlank="1" showInputMessage="1" showErrorMessage="1" sqref="F24:I50" xr:uid="{00000000-0002-0000-0100-000007000000}">
      <formula1>"X"</formula1>
    </dataValidation>
    <dataValidation type="date" allowBlank="1" showInputMessage="1" showErrorMessage="1" sqref="C24:D50 J24:K50 M24:T50 X24:Y50" xr:uid="{DE8DFCAC-7CEF-44DB-A213-9F95E556EC07}">
      <formula1>1</formula1>
      <formula2>46022</formula2>
    </dataValidation>
  </dataValidations>
  <hyperlinks>
    <hyperlink ref="U21" location="FisheryType" display="FisheryType" xr:uid="{00000000-0004-0000-0100-000000000000}"/>
    <hyperlink ref="V21" location="FishingArea" display="FishingArea" xr:uid="{00000000-0004-0000-0100-000001000000}"/>
    <hyperlink ref="E21" location="RModeCod" display="RModeCod" xr:uid="{00000000-0004-0000-0100-000002000000}"/>
    <hyperlink ref="L21" location="RModeCod" display="RModeCod" xr:uid="{00000000-0004-0000-0100-000003000000}"/>
    <hyperlink ref="A14" location="'CP01A (Vessels)'!A24" display="'CP01A (Vessels)'!A24" xr:uid="{00000000-0004-0000-0100-000004000000}"/>
    <hyperlink ref="A15" location="'CP01C (Ownership)'!A20" display="'CP01C (Ownership)'!A20" xr:uid="{00000000-0004-0000-0100-000005000000}"/>
  </hyperlinks>
  <pageMargins left="0.39370078740157483" right="0.39370078740157483" top="0.39370078740157483" bottom="0.39370078740157483" header="0.31496062992125984" footer="0.31496062992125984"/>
  <pageSetup paperSize="9" scale="99" fitToWidth="2" orientation="landscape" r:id="rId1"/>
  <ignoredErrors>
    <ignoredError sqref="L22:N22 O22:Y22" formula="1"/>
    <ignoredError sqref="K9" unlockedFormula="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I30"/>
  <sheetViews>
    <sheetView zoomScale="90" zoomScaleNormal="90" workbookViewId="0">
      <selection activeCell="F20" sqref="F20"/>
    </sheetView>
  </sheetViews>
  <sheetFormatPr defaultColWidth="12.85546875" defaultRowHeight="12" x14ac:dyDescent="0.2"/>
  <cols>
    <col min="1" max="1" width="17.5703125" style="5" customWidth="1"/>
    <col min="2" max="2" width="30.28515625" style="5" bestFit="1" customWidth="1"/>
    <col min="3" max="3" width="42.85546875" style="5" bestFit="1" customWidth="1"/>
    <col min="4" max="4" width="21.85546875" style="5" bestFit="1" customWidth="1"/>
    <col min="5" max="5" width="14.140625" style="5" bestFit="1" customWidth="1"/>
    <col min="6" max="6" width="17.5703125" style="5" bestFit="1" customWidth="1"/>
    <col min="7" max="7" width="27.28515625" style="5" bestFit="1" customWidth="1"/>
    <col min="8" max="8" width="14.85546875" style="5" bestFit="1" customWidth="1"/>
    <col min="9" max="9" width="8.5703125" style="5" bestFit="1" customWidth="1"/>
    <col min="10" max="16384" width="12.85546875" style="5"/>
  </cols>
  <sheetData>
    <row r="1" spans="1:9" s="12" customFormat="1" ht="21" x14ac:dyDescent="0.2">
      <c r="A1" s="319" t="str">
        <f>'CP01A (Vessels)'!A1</f>
        <v>CP01-VessLsts</v>
      </c>
      <c r="B1" s="385" t="str">
        <f>'CP01A (Vessels)'!B1</f>
        <v>REGISTRATION/AUTHORISATION OF VESSELS IN THE ICCAT VESSEL RECORD</v>
      </c>
      <c r="C1" s="385"/>
      <c r="D1" s="385"/>
      <c r="E1" s="385"/>
      <c r="F1" s="385"/>
      <c r="G1" s="385"/>
      <c r="H1" s="87" t="str">
        <f>'CP01A (Vessels)'!N1</f>
        <v>Version</v>
      </c>
      <c r="I1" s="59" t="str">
        <f>'CP01A (Vessels)'!O1</f>
        <v>Language</v>
      </c>
    </row>
    <row r="2" spans="1:9" s="12" customFormat="1" x14ac:dyDescent="0.2">
      <c r="A2" s="320"/>
      <c r="B2" s="386" t="str">
        <f>'CP01A (Vessels)'!B2</f>
        <v>ICCAT: INTERNATIONAL COMMISSION FOR THE CONSERVATION OF ATLANTIC TUNAS</v>
      </c>
      <c r="C2" s="386"/>
      <c r="D2" s="386"/>
      <c r="E2" s="386"/>
      <c r="F2" s="386"/>
      <c r="G2" s="65"/>
      <c r="H2" s="88" t="str">
        <f>'CP01A (Vessels)'!N2</f>
        <v>2024a</v>
      </c>
      <c r="I2" s="64" t="str">
        <f>'CP01A (Vessels)'!O2</f>
        <v>ENG</v>
      </c>
    </row>
    <row r="3" spans="1:9" s="12" customFormat="1" x14ac:dyDescent="0.2"/>
    <row r="4" spans="1:9" s="17" customFormat="1" ht="11.25" x14ac:dyDescent="0.2">
      <c r="A4" s="293" t="str">
        <f>'CP01A (Vessels)'!A9</f>
        <v>Data set characteristics</v>
      </c>
      <c r="B4" s="294"/>
      <c r="C4" s="294"/>
      <c r="D4" s="294"/>
      <c r="E4" s="294"/>
      <c r="F4" s="175"/>
      <c r="G4" s="175"/>
      <c r="H4" s="176"/>
    </row>
    <row r="5" spans="1:9" s="17" customFormat="1" ht="11.25" x14ac:dyDescent="0.2">
      <c r="A5" s="158"/>
      <c r="B5" s="147"/>
      <c r="C5" s="147"/>
      <c r="D5" s="147"/>
      <c r="E5" s="147"/>
      <c r="F5" s="177"/>
      <c r="G5" s="177"/>
      <c r="H5" s="178"/>
    </row>
    <row r="6" spans="1:9" s="17" customFormat="1" ht="11.25" x14ac:dyDescent="0.2">
      <c r="A6" s="149" t="str">
        <f>'CP01A (Vessels)'!A10</f>
        <v>Reporting Flag</v>
      </c>
      <c r="B6" s="68" t="str">
        <f>IF('CP01A (Vessels)'!B10&gt;0, 'CP01A (Vessels)'!B10,"")</f>
        <v/>
      </c>
      <c r="C6" s="68" t="str">
        <f>'CP01A (Vessels)'!D10</f>
        <v/>
      </c>
      <c r="D6" s="177"/>
      <c r="E6" s="147"/>
      <c r="F6" s="177"/>
      <c r="G6" s="177"/>
      <c r="H6" s="178"/>
    </row>
    <row r="7" spans="1:9" s="17" customFormat="1" ht="11.25" x14ac:dyDescent="0.2">
      <c r="A7" s="158"/>
      <c r="B7" s="147"/>
      <c r="C7" s="147"/>
      <c r="D7" s="147"/>
      <c r="E7" s="147"/>
      <c r="F7" s="177"/>
      <c r="G7" s="177"/>
      <c r="H7" s="178"/>
    </row>
    <row r="8" spans="1:9" s="17" customFormat="1" ht="11.25" x14ac:dyDescent="0.2">
      <c r="A8" s="149" t="str">
        <f>'CP01A (Vessels)'!A12</f>
        <v>Action requested</v>
      </c>
      <c r="B8" s="338" t="str">
        <f>IF('CP01A (Vessels)'!B12&gt;0, 'CP01A (Vessels)'!B12,"")</f>
        <v/>
      </c>
      <c r="C8" s="338"/>
      <c r="D8" s="338"/>
      <c r="E8" s="147"/>
      <c r="F8" s="177"/>
      <c r="G8" s="177"/>
      <c r="H8" s="178"/>
    </row>
    <row r="9" spans="1:9" s="17" customFormat="1" thickBot="1" x14ac:dyDescent="0.25">
      <c r="A9" s="149"/>
      <c r="B9" s="69"/>
      <c r="C9" s="69"/>
      <c r="D9" s="69"/>
      <c r="E9" s="147"/>
      <c r="F9" s="177"/>
      <c r="G9" s="177"/>
      <c r="H9" s="178"/>
    </row>
    <row r="10" spans="1:9" s="17" customFormat="1" ht="11.25" x14ac:dyDescent="0.2">
      <c r="A10" s="179"/>
      <c r="B10" s="177"/>
      <c r="C10" s="378" t="s">
        <v>1026</v>
      </c>
      <c r="D10" s="379"/>
      <c r="E10" s="379"/>
      <c r="F10" s="380"/>
      <c r="G10" s="177"/>
      <c r="H10" s="178"/>
    </row>
    <row r="11" spans="1:9" s="17" customFormat="1" ht="11.25" x14ac:dyDescent="0.2">
      <c r="A11" s="179"/>
      <c r="B11" s="177"/>
      <c r="C11" s="89" t="str">
        <f>VLOOKUP("T03",tblTranslation[],LangFieldID,FALSE)</f>
        <v>CP01A</v>
      </c>
      <c r="D11" s="299" t="str">
        <f>VLOOKUP("T03",tblTranslation[],LangNameID,FALSE)</f>
        <v>Vessel registration details (characteristics)</v>
      </c>
      <c r="E11" s="299"/>
      <c r="F11" s="310"/>
      <c r="G11" s="147"/>
      <c r="H11" s="178"/>
    </row>
    <row r="12" spans="1:9" s="17" customFormat="1" thickBot="1" x14ac:dyDescent="0.25">
      <c r="A12" s="179"/>
      <c r="B12" s="177"/>
      <c r="C12" s="90" t="str">
        <f>VLOOKUP("T04",tblTranslation[],LangFieldID,FALSE)</f>
        <v>CP01B</v>
      </c>
      <c r="D12" s="311" t="str">
        <f>VLOOKUP("T04",tblTranslation[],LangNameID,FALSE)</f>
        <v>Authorizations on the ICCAT lists</v>
      </c>
      <c r="E12" s="311"/>
      <c r="F12" s="312"/>
      <c r="G12" s="147"/>
      <c r="H12" s="178"/>
    </row>
    <row r="13" spans="1:9" s="17" customFormat="1" ht="11.25" x14ac:dyDescent="0.2">
      <c r="A13" s="179"/>
      <c r="B13" s="177"/>
      <c r="C13" s="147"/>
      <c r="D13" s="147"/>
      <c r="E13" s="177"/>
      <c r="F13" s="177"/>
      <c r="G13" s="177"/>
      <c r="H13" s="178"/>
    </row>
    <row r="14" spans="1:9" s="17" customFormat="1" ht="11.25" x14ac:dyDescent="0.2">
      <c r="A14" s="180"/>
      <c r="B14" s="181"/>
      <c r="C14" s="181"/>
      <c r="D14" s="181"/>
      <c r="E14" s="181"/>
      <c r="F14" s="181"/>
      <c r="G14" s="181"/>
      <c r="H14" s="182"/>
    </row>
    <row r="15" spans="1:9" s="17" customFormat="1" ht="12.75" x14ac:dyDescent="0.2">
      <c r="A15" s="381" t="str">
        <f>VLOOKUP("T05",tblTranslation[],LangFieldID,FALSE) &amp;": "&amp; VLOOKUP("T05",tblTranslation[],LangNameID,FALSE)</f>
        <v>CP01C: Ownership (Owners/Operators) details</v>
      </c>
      <c r="B15" s="381"/>
      <c r="C15" s="381"/>
    </row>
    <row r="16" spans="1:9" s="17" customFormat="1" ht="11.25" x14ac:dyDescent="0.2">
      <c r="A16" s="382" t="str">
        <f>VLOOKUP("D50",tblTranslation[],LangFieldID,FALSE)</f>
        <v>Mandatory information</v>
      </c>
      <c r="B16" s="382"/>
      <c r="C16" s="382"/>
      <c r="D16" s="382"/>
      <c r="E16" s="382"/>
      <c r="F16" s="382"/>
      <c r="G16" s="383" t="str">
        <f>VLOOKUP("D60",tblTranslation[],LangFieldID,FALSE)</f>
        <v>Optional information</v>
      </c>
      <c r="H16" s="384"/>
    </row>
    <row r="17" spans="1:8" s="17" customFormat="1" ht="22.5" x14ac:dyDescent="0.2">
      <c r="A17" s="13" t="str">
        <f>VLOOKUP(A$19,tblTranslation[],LangFieldID,FALSE)</f>
        <v>Owner/Operator
Entity ID</v>
      </c>
      <c r="B17" s="13" t="str">
        <f>VLOOKUP(B$19,tblTranslation[],LangFieldID,FALSE)</f>
        <v>Name</v>
      </c>
      <c r="C17" s="13" t="str">
        <f>VLOOKUP(C$19,tblTranslation[],LangFieldID,FALSE)</f>
        <v>Address</v>
      </c>
      <c r="D17" s="13" t="str">
        <f>VLOOKUP(D$19,tblTranslation[],LangFieldID,FALSE)</f>
        <v>City</v>
      </c>
      <c r="E17" s="13" t="str">
        <f>VLOOKUP(E$19,tblTranslation[],LangFieldID,FALSE)</f>
        <v>Zip code</v>
      </c>
      <c r="F17" s="14" t="str">
        <f>VLOOKUP(F$19,tblTranslation[],LangFieldID,FALSE)</f>
        <v>Country</v>
      </c>
      <c r="G17" s="15" t="str">
        <f>VLOOKUP(G$19,tblTranslation[],LangFieldID,FALSE)</f>
        <v>Email</v>
      </c>
      <c r="H17" s="16" t="str">
        <f>VLOOKUP(H$19,tblTranslation[],LangFieldID,FALSE)</f>
        <v>Phone</v>
      </c>
    </row>
    <row r="18" spans="1:8" s="183" customFormat="1" ht="11.25" x14ac:dyDescent="0.2">
      <c r="A18" s="183" t="str">
        <f>REPT("+",10)</f>
        <v>++++++++++</v>
      </c>
      <c r="B18" s="183" t="str">
        <f>REPT("+",40)</f>
        <v>++++++++++++++++++++++++++++++++++++++++</v>
      </c>
      <c r="C18" s="183" t="str">
        <f>REPT("+",40)</f>
        <v>++++++++++++++++++++++++++++++++++++++++</v>
      </c>
      <c r="D18" s="183" t="str">
        <f>REPT("+",20)</f>
        <v>++++++++++++++++++++</v>
      </c>
      <c r="E18" s="183" t="str">
        <f>REPT("+",12)</f>
        <v>++++++++++++</v>
      </c>
      <c r="F18" s="184" t="str">
        <f>REPT("+",16)</f>
        <v>++++++++++++++++</v>
      </c>
      <c r="G18" s="183" t="str">
        <f>REPT("+",30)</f>
        <v>++++++++++++++++++++++++++++++</v>
      </c>
      <c r="H18" s="183" t="str">
        <f>REPT("+",16)</f>
        <v>++++++++++++++++</v>
      </c>
    </row>
    <row r="19" spans="1:8" s="17" customFormat="1" ht="11.25" x14ac:dyDescent="0.2">
      <c r="A19" s="19" t="s">
        <v>570</v>
      </c>
      <c r="B19" s="20" t="s">
        <v>566</v>
      </c>
      <c r="C19" s="20" t="s">
        <v>1005</v>
      </c>
      <c r="D19" s="20" t="s">
        <v>567</v>
      </c>
      <c r="E19" s="20" t="s">
        <v>1003</v>
      </c>
      <c r="F19" s="21" t="s">
        <v>1004</v>
      </c>
      <c r="G19" s="22" t="s">
        <v>569</v>
      </c>
      <c r="H19" s="22" t="s">
        <v>568</v>
      </c>
    </row>
    <row r="20" spans="1:8" s="7" customFormat="1" ht="11.25" x14ac:dyDescent="0.2">
      <c r="A20" s="170"/>
      <c r="B20" s="171"/>
      <c r="C20" s="172"/>
      <c r="D20" s="170"/>
      <c r="E20" s="170"/>
      <c r="F20" s="170"/>
      <c r="G20" s="171"/>
      <c r="H20" s="170"/>
    </row>
    <row r="21" spans="1:8" s="7" customFormat="1" ht="11.25" x14ac:dyDescent="0.2">
      <c r="A21" s="79"/>
      <c r="B21" s="77"/>
      <c r="C21" s="77"/>
      <c r="G21" s="77"/>
      <c r="H21" s="77"/>
    </row>
    <row r="22" spans="1:8" s="7" customFormat="1" ht="11.25" x14ac:dyDescent="0.2">
      <c r="A22" s="79"/>
      <c r="B22" s="77"/>
      <c r="C22" s="77"/>
      <c r="G22" s="77"/>
      <c r="H22" s="77"/>
    </row>
    <row r="23" spans="1:8" s="7" customFormat="1" ht="11.25" x14ac:dyDescent="0.2">
      <c r="A23" s="79"/>
      <c r="B23" s="77"/>
      <c r="C23" s="77"/>
      <c r="G23" s="77"/>
      <c r="H23" s="77"/>
    </row>
    <row r="24" spans="1:8" s="7" customFormat="1" ht="11.25" x14ac:dyDescent="0.2">
      <c r="A24" s="79"/>
      <c r="B24" s="77"/>
      <c r="C24" s="77"/>
      <c r="G24" s="77"/>
      <c r="H24" s="77"/>
    </row>
    <row r="25" spans="1:8" s="7" customFormat="1" ht="11.25" x14ac:dyDescent="0.2">
      <c r="A25" s="79"/>
      <c r="B25" s="77"/>
      <c r="C25" s="77"/>
      <c r="G25" s="77"/>
      <c r="H25" s="77"/>
    </row>
    <row r="26" spans="1:8" s="7" customFormat="1" ht="11.25" x14ac:dyDescent="0.2">
      <c r="A26" s="79"/>
      <c r="B26" s="77"/>
      <c r="C26" s="77"/>
      <c r="G26" s="77"/>
      <c r="H26" s="77"/>
    </row>
    <row r="27" spans="1:8" s="7" customFormat="1" ht="11.25" x14ac:dyDescent="0.2">
      <c r="A27" s="79"/>
      <c r="B27" s="77"/>
      <c r="C27" s="77"/>
      <c r="G27" s="77"/>
      <c r="H27" s="77"/>
    </row>
    <row r="28" spans="1:8" s="7" customFormat="1" ht="11.25" x14ac:dyDescent="0.2">
      <c r="A28" s="79"/>
      <c r="B28" s="77"/>
      <c r="C28" s="77"/>
      <c r="G28" s="77"/>
      <c r="H28" s="77"/>
    </row>
    <row r="29" spans="1:8" s="7" customFormat="1" ht="11.25" x14ac:dyDescent="0.2">
      <c r="A29" s="79"/>
      <c r="B29" s="77"/>
      <c r="C29" s="77"/>
      <c r="G29" s="77"/>
      <c r="H29" s="77"/>
    </row>
    <row r="30" spans="1:8" s="7" customFormat="1" ht="11.25" x14ac:dyDescent="0.2">
      <c r="A30" s="79"/>
      <c r="B30" s="77"/>
      <c r="C30" s="77"/>
      <c r="G30" s="77"/>
      <c r="H30" s="77"/>
    </row>
  </sheetData>
  <sheetProtection algorithmName="SHA-512" hashValue="q3Yz2yX1JcGvFpbereeDRwQRAL0fSrf7RotcdfXLAoDBGjmKzkq20a4menBvjXr8g9HDUXmidSm0Bto4onNosw==" saltValue="WxaZp7SwDEFGx7PHjDo++g==" spinCount="100000" sheet="1" formatCells="0" formatRows="0" insertRows="0" deleteRows="0" autoFilter="0"/>
  <mergeCells count="11">
    <mergeCell ref="C10:F10"/>
    <mergeCell ref="A15:C15"/>
    <mergeCell ref="A16:F16"/>
    <mergeCell ref="G16:H16"/>
    <mergeCell ref="A1:A2"/>
    <mergeCell ref="B1:G1"/>
    <mergeCell ref="B2:F2"/>
    <mergeCell ref="A4:E4"/>
    <mergeCell ref="B8:D8"/>
    <mergeCell ref="D11:F11"/>
    <mergeCell ref="D12:F12"/>
  </mergeCells>
  <dataValidations count="2">
    <dataValidation type="list" allowBlank="1" showInputMessage="1" showErrorMessage="1" sqref="F20:F30" xr:uid="{00000000-0002-0000-0200-000000000000}">
      <formula1>FlagName</formula1>
    </dataValidation>
    <dataValidation type="whole" operator="greaterThan" allowBlank="1" showInputMessage="1" showErrorMessage="1" sqref="A20:A30" xr:uid="{00000000-0002-0000-0200-000001000000}">
      <formula1>0</formula1>
    </dataValidation>
  </dataValidations>
  <hyperlinks>
    <hyperlink ref="F17" location="FlagName" display="FlagName" xr:uid="{00000000-0004-0000-0200-000000000000}"/>
    <hyperlink ref="C11" location="'CP01A (Vessels)'!A24" display="'CP01A (Vessels)'!A24" xr:uid="{00000000-0004-0000-0200-000001000000}"/>
    <hyperlink ref="C12" location="'CP01B (Authorizations)'!A24" display="'CP01B (Authorizations)'!A24" xr:uid="{00000000-0004-0000-0200-000002000000}"/>
  </hyperlinks>
  <pageMargins left="0.7" right="0.7" top="0.75" bottom="0.75" header="0.3" footer="0.3"/>
  <pageSetup paperSize="9" orientation="portrait" verticalDpi="0" r:id="rId1"/>
  <ignoredErrors>
    <ignoredError sqref="G18" formula="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N175"/>
  <sheetViews>
    <sheetView topLeftCell="A121" zoomScale="90" zoomScaleNormal="90" workbookViewId="0">
      <selection activeCell="G44" sqref="G44"/>
    </sheetView>
  </sheetViews>
  <sheetFormatPr defaultColWidth="7.28515625" defaultRowHeight="12" x14ac:dyDescent="0.2"/>
  <cols>
    <col min="1" max="1" width="20" style="12" bestFit="1" customWidth="1"/>
    <col min="2" max="2" width="9.28515625" style="12" bestFit="1" customWidth="1"/>
    <col min="3" max="3" width="8" style="12" bestFit="1" customWidth="1"/>
    <col min="4" max="4" width="10.140625" style="12" customWidth="1"/>
    <col min="5" max="5" width="4" style="12" customWidth="1"/>
    <col min="6" max="6" width="12.140625" style="12" bestFit="1" customWidth="1"/>
    <col min="7" max="7" width="45.28515625" style="12" bestFit="1" customWidth="1"/>
    <col min="8" max="8" width="54.28515625" style="12" bestFit="1" customWidth="1"/>
    <col min="9" max="9" width="3.28515625" style="12" customWidth="1"/>
    <col min="10" max="10" width="7" style="12" bestFit="1" customWidth="1"/>
    <col min="11" max="11" width="21.85546875" style="12" bestFit="1" customWidth="1"/>
    <col min="12" max="12" width="31.7109375" style="12" bestFit="1" customWidth="1"/>
    <col min="13" max="13" width="29.42578125" style="12" bestFit="1" customWidth="1"/>
    <col min="14" max="14" width="36" style="12" bestFit="1" customWidth="1"/>
    <col min="15" max="16384" width="7.28515625" style="12"/>
  </cols>
  <sheetData>
    <row r="1" spans="1:14" x14ac:dyDescent="0.2">
      <c r="A1" s="387" t="s">
        <v>951</v>
      </c>
      <c r="B1" s="387"/>
      <c r="C1" s="387"/>
      <c r="D1" s="387"/>
      <c r="F1" s="387" t="s">
        <v>1314</v>
      </c>
      <c r="G1" s="387"/>
      <c r="H1" s="387"/>
      <c r="J1" s="387" t="s">
        <v>960</v>
      </c>
      <c r="K1" s="387"/>
      <c r="L1" s="387"/>
    </row>
    <row r="2" spans="1:14" x14ac:dyDescent="0.2">
      <c r="A2" s="235" t="s">
        <v>131</v>
      </c>
      <c r="B2" s="236" t="s">
        <v>961</v>
      </c>
      <c r="C2" s="236" t="s">
        <v>532</v>
      </c>
      <c r="D2" s="237" t="s">
        <v>132</v>
      </c>
      <c r="F2" s="245" t="s">
        <v>962</v>
      </c>
      <c r="G2" s="246" t="s">
        <v>642</v>
      </c>
      <c r="H2" s="247" t="s">
        <v>661</v>
      </c>
      <c r="J2" s="253" t="s">
        <v>669</v>
      </c>
      <c r="K2" s="254" t="s">
        <v>670</v>
      </c>
      <c r="L2" s="254" t="s">
        <v>671</v>
      </c>
      <c r="M2" s="254" t="s">
        <v>672</v>
      </c>
      <c r="N2" s="255" t="s">
        <v>673</v>
      </c>
    </row>
    <row r="3" spans="1:14" x14ac:dyDescent="0.2">
      <c r="A3" s="238" t="s">
        <v>271</v>
      </c>
      <c r="B3" s="196" t="s">
        <v>270</v>
      </c>
      <c r="C3" s="239" t="s">
        <v>533</v>
      </c>
      <c r="D3" s="240" t="s">
        <v>272</v>
      </c>
      <c r="F3" s="248" t="s">
        <v>662</v>
      </c>
      <c r="G3" s="52" t="s">
        <v>663</v>
      </c>
      <c r="H3" s="249" t="s">
        <v>667</v>
      </c>
      <c r="J3" s="256">
        <v>1</v>
      </c>
      <c r="K3" s="51" t="s">
        <v>674</v>
      </c>
      <c r="L3" s="12" t="s">
        <v>675</v>
      </c>
      <c r="M3" s="12" t="s">
        <v>676</v>
      </c>
      <c r="N3" s="257" t="str">
        <f>J3&amp;". " &amp;IF(Idiom="ENG",K3,IF(Idiom="FRA",L3,M3))</f>
        <v>1. Add new vessels</v>
      </c>
    </row>
    <row r="4" spans="1:14" x14ac:dyDescent="0.2">
      <c r="A4" s="238" t="s">
        <v>232</v>
      </c>
      <c r="B4" s="196" t="s">
        <v>231</v>
      </c>
      <c r="C4" s="239" t="s">
        <v>533</v>
      </c>
      <c r="D4" s="240" t="s">
        <v>233</v>
      </c>
      <c r="F4" s="248" t="s">
        <v>664</v>
      </c>
      <c r="G4" s="52" t="s">
        <v>666</v>
      </c>
      <c r="H4" s="249" t="s">
        <v>668</v>
      </c>
      <c r="J4" s="256">
        <v>2</v>
      </c>
      <c r="K4" s="12" t="s">
        <v>677</v>
      </c>
      <c r="L4" s="12" t="s">
        <v>678</v>
      </c>
      <c r="M4" s="12" t="s">
        <v>679</v>
      </c>
      <c r="N4" s="257" t="str">
        <f>J4&amp;". " &amp;IF(Idiom="ENG",K4,IF(Idiom="FRA",L4,M4))</f>
        <v>2. Changes to some vessels</v>
      </c>
    </row>
    <row r="5" spans="1:14" x14ac:dyDescent="0.2">
      <c r="A5" s="238" t="s">
        <v>159</v>
      </c>
      <c r="B5" s="196" t="s">
        <v>158</v>
      </c>
      <c r="C5" s="239" t="s">
        <v>533</v>
      </c>
      <c r="D5" s="240" t="s">
        <v>160</v>
      </c>
      <c r="F5" s="248" t="s">
        <v>665</v>
      </c>
      <c r="G5" s="52" t="s">
        <v>708</v>
      </c>
      <c r="H5" s="249" t="s">
        <v>709</v>
      </c>
      <c r="J5" s="258">
        <v>3</v>
      </c>
      <c r="K5" s="259" t="s">
        <v>943</v>
      </c>
      <c r="L5" s="259" t="s">
        <v>941</v>
      </c>
      <c r="M5" s="259" t="s">
        <v>942</v>
      </c>
      <c r="N5" s="260" t="str">
        <f>J5&amp;". " &amp;IF(Idiom="ENG",K5,IF(Idiom="FRA",L5,M5))</f>
        <v>3. Full revision of vessel record</v>
      </c>
    </row>
    <row r="6" spans="1:14" x14ac:dyDescent="0.2">
      <c r="A6" s="238" t="s">
        <v>226</v>
      </c>
      <c r="B6" s="196" t="s">
        <v>225</v>
      </c>
      <c r="C6" s="239" t="s">
        <v>533</v>
      </c>
      <c r="D6" s="240" t="s">
        <v>227</v>
      </c>
      <c r="F6" s="250" t="s">
        <v>710</v>
      </c>
      <c r="G6" s="251" t="s">
        <v>711</v>
      </c>
      <c r="H6" s="252" t="s">
        <v>712</v>
      </c>
    </row>
    <row r="7" spans="1:14" x14ac:dyDescent="0.2">
      <c r="A7" s="238" t="s">
        <v>261</v>
      </c>
      <c r="B7" s="196" t="s">
        <v>260</v>
      </c>
      <c r="C7" s="239" t="s">
        <v>533</v>
      </c>
      <c r="D7" s="240" t="s">
        <v>262</v>
      </c>
    </row>
    <row r="8" spans="1:14" x14ac:dyDescent="0.2">
      <c r="A8" s="238" t="s">
        <v>149</v>
      </c>
      <c r="B8" s="196" t="s">
        <v>148</v>
      </c>
      <c r="C8" s="239" t="s">
        <v>533</v>
      </c>
      <c r="D8" s="240" t="s">
        <v>150</v>
      </c>
      <c r="F8" s="387" t="s">
        <v>952</v>
      </c>
      <c r="G8" s="387"/>
      <c r="H8" s="387"/>
    </row>
    <row r="9" spans="1:14" x14ac:dyDescent="0.2">
      <c r="A9" s="238" t="s">
        <v>145</v>
      </c>
      <c r="B9" s="196" t="s">
        <v>144</v>
      </c>
      <c r="C9" s="239" t="s">
        <v>533</v>
      </c>
      <c r="D9" s="240" t="s">
        <v>146</v>
      </c>
      <c r="F9" s="235" t="s">
        <v>963</v>
      </c>
      <c r="G9" s="236" t="s">
        <v>35</v>
      </c>
      <c r="H9" s="237" t="s">
        <v>36</v>
      </c>
    </row>
    <row r="10" spans="1:14" x14ac:dyDescent="0.2">
      <c r="A10" s="238" t="s">
        <v>168</v>
      </c>
      <c r="B10" s="196" t="s">
        <v>167</v>
      </c>
      <c r="C10" s="239" t="s">
        <v>533</v>
      </c>
      <c r="D10" s="240" t="s">
        <v>169</v>
      </c>
      <c r="F10" s="261" t="s">
        <v>37</v>
      </c>
      <c r="G10" s="50" t="s">
        <v>638</v>
      </c>
      <c r="H10" s="262" t="s">
        <v>38</v>
      </c>
    </row>
    <row r="11" spans="1:14" x14ac:dyDescent="0.2">
      <c r="A11" s="238" t="s">
        <v>536</v>
      </c>
      <c r="B11" s="196" t="s">
        <v>190</v>
      </c>
      <c r="C11" s="239" t="s">
        <v>533</v>
      </c>
      <c r="D11" s="240" t="s">
        <v>191</v>
      </c>
      <c r="F11" s="261" t="s">
        <v>39</v>
      </c>
      <c r="G11" s="50" t="s">
        <v>40</v>
      </c>
      <c r="H11" s="262" t="s">
        <v>40</v>
      </c>
    </row>
    <row r="12" spans="1:14" x14ac:dyDescent="0.2">
      <c r="A12" s="238" t="s">
        <v>281</v>
      </c>
      <c r="B12" s="196" t="s">
        <v>633</v>
      </c>
      <c r="C12" s="239" t="s">
        <v>533</v>
      </c>
      <c r="D12" s="240" t="s">
        <v>634</v>
      </c>
      <c r="F12" s="261" t="s">
        <v>41</v>
      </c>
      <c r="G12" s="50" t="s">
        <v>42</v>
      </c>
      <c r="H12" s="262" t="s">
        <v>43</v>
      </c>
    </row>
    <row r="13" spans="1:14" x14ac:dyDescent="0.2">
      <c r="A13" s="238" t="s">
        <v>707</v>
      </c>
      <c r="B13" s="196" t="s">
        <v>156</v>
      </c>
      <c r="C13" s="239" t="s">
        <v>533</v>
      </c>
      <c r="D13" s="240" t="s">
        <v>157</v>
      </c>
      <c r="F13" s="261" t="s">
        <v>44</v>
      </c>
      <c r="G13" s="50" t="s">
        <v>45</v>
      </c>
      <c r="H13" s="262" t="s">
        <v>43</v>
      </c>
    </row>
    <row r="14" spans="1:14" x14ac:dyDescent="0.2">
      <c r="A14" s="238" t="s">
        <v>1333</v>
      </c>
      <c r="B14" s="196" t="s">
        <v>1334</v>
      </c>
      <c r="C14" s="239" t="s">
        <v>533</v>
      </c>
      <c r="D14" s="240" t="s">
        <v>1310</v>
      </c>
      <c r="F14" s="261" t="s">
        <v>46</v>
      </c>
      <c r="G14" s="50" t="s">
        <v>47</v>
      </c>
      <c r="H14" s="262" t="s">
        <v>47</v>
      </c>
    </row>
    <row r="15" spans="1:14" x14ac:dyDescent="0.2">
      <c r="A15" s="238" t="s">
        <v>1335</v>
      </c>
      <c r="B15" s="196" t="s">
        <v>1336</v>
      </c>
      <c r="C15" s="239" t="s">
        <v>533</v>
      </c>
      <c r="D15" s="240" t="s">
        <v>210</v>
      </c>
      <c r="F15" s="261" t="s">
        <v>48</v>
      </c>
      <c r="G15" s="50" t="s">
        <v>49</v>
      </c>
      <c r="H15" s="262" t="s">
        <v>49</v>
      </c>
    </row>
    <row r="16" spans="1:14" x14ac:dyDescent="0.2">
      <c r="A16" s="238" t="s">
        <v>1337</v>
      </c>
      <c r="B16" s="196" t="s">
        <v>1338</v>
      </c>
      <c r="C16" s="239" t="s">
        <v>533</v>
      </c>
      <c r="D16" s="240" t="s">
        <v>203</v>
      </c>
      <c r="F16" s="261" t="s">
        <v>50</v>
      </c>
      <c r="G16" s="50" t="s">
        <v>51</v>
      </c>
      <c r="H16" s="262" t="s">
        <v>51</v>
      </c>
    </row>
    <row r="17" spans="1:8" x14ac:dyDescent="0.2">
      <c r="A17" s="238" t="s">
        <v>1339</v>
      </c>
      <c r="B17" s="196" t="s">
        <v>1340</v>
      </c>
      <c r="C17" s="239" t="s">
        <v>533</v>
      </c>
      <c r="D17" s="240" t="s">
        <v>192</v>
      </c>
      <c r="F17" s="261" t="s">
        <v>52</v>
      </c>
      <c r="G17" s="50" t="s">
        <v>53</v>
      </c>
      <c r="H17" s="262" t="s">
        <v>54</v>
      </c>
    </row>
    <row r="18" spans="1:8" x14ac:dyDescent="0.2">
      <c r="A18" s="238" t="s">
        <v>1341</v>
      </c>
      <c r="B18" s="196" t="s">
        <v>1342</v>
      </c>
      <c r="C18" s="239" t="s">
        <v>533</v>
      </c>
      <c r="D18" s="240" t="s">
        <v>204</v>
      </c>
      <c r="F18" s="261" t="s">
        <v>55</v>
      </c>
      <c r="G18" s="50" t="s">
        <v>56</v>
      </c>
      <c r="H18" s="262" t="s">
        <v>54</v>
      </c>
    </row>
    <row r="19" spans="1:8" x14ac:dyDescent="0.2">
      <c r="A19" s="238" t="s">
        <v>1343</v>
      </c>
      <c r="B19" s="196" t="s">
        <v>1344</v>
      </c>
      <c r="C19" s="239" t="s">
        <v>533</v>
      </c>
      <c r="D19" s="240" t="s">
        <v>1315</v>
      </c>
      <c r="F19" s="261" t="s">
        <v>57</v>
      </c>
      <c r="G19" s="50" t="s">
        <v>58</v>
      </c>
      <c r="H19" s="262" t="s">
        <v>54</v>
      </c>
    </row>
    <row r="20" spans="1:8" x14ac:dyDescent="0.2">
      <c r="A20" s="238" t="s">
        <v>1345</v>
      </c>
      <c r="B20" s="196" t="s">
        <v>1346</v>
      </c>
      <c r="C20" s="239" t="s">
        <v>533</v>
      </c>
      <c r="D20" s="240" t="s">
        <v>193</v>
      </c>
      <c r="F20" s="261" t="s">
        <v>59</v>
      </c>
      <c r="G20" s="50" t="s">
        <v>60</v>
      </c>
      <c r="H20" s="262" t="s">
        <v>54</v>
      </c>
    </row>
    <row r="21" spans="1:8" x14ac:dyDescent="0.2">
      <c r="A21" s="238" t="s">
        <v>1347</v>
      </c>
      <c r="B21" s="196" t="s">
        <v>1348</v>
      </c>
      <c r="C21" s="239" t="s">
        <v>533</v>
      </c>
      <c r="D21" s="240" t="s">
        <v>201</v>
      </c>
      <c r="F21" s="261" t="s">
        <v>61</v>
      </c>
      <c r="G21" s="50" t="s">
        <v>62</v>
      </c>
      <c r="H21" s="262" t="s">
        <v>62</v>
      </c>
    </row>
    <row r="22" spans="1:8" x14ac:dyDescent="0.2">
      <c r="A22" s="238" t="s">
        <v>1349</v>
      </c>
      <c r="B22" s="196" t="s">
        <v>1350</v>
      </c>
      <c r="C22" s="239" t="s">
        <v>533</v>
      </c>
      <c r="D22" s="240" t="s">
        <v>208</v>
      </c>
      <c r="F22" s="261" t="s">
        <v>63</v>
      </c>
      <c r="G22" s="50" t="s">
        <v>64</v>
      </c>
      <c r="H22" s="262" t="s">
        <v>64</v>
      </c>
    </row>
    <row r="23" spans="1:8" x14ac:dyDescent="0.2">
      <c r="A23" s="238" t="s">
        <v>1351</v>
      </c>
      <c r="B23" s="196" t="s">
        <v>1352</v>
      </c>
      <c r="C23" s="239" t="s">
        <v>533</v>
      </c>
      <c r="D23" s="240" t="s">
        <v>1316</v>
      </c>
      <c r="F23" s="261" t="s">
        <v>65</v>
      </c>
      <c r="G23" s="50" t="s">
        <v>66</v>
      </c>
      <c r="H23" s="262" t="s">
        <v>66</v>
      </c>
    </row>
    <row r="24" spans="1:8" x14ac:dyDescent="0.2">
      <c r="A24" s="238" t="s">
        <v>1353</v>
      </c>
      <c r="B24" s="196" t="s">
        <v>1354</v>
      </c>
      <c r="C24" s="239" t="s">
        <v>533</v>
      </c>
      <c r="D24" s="240" t="s">
        <v>194</v>
      </c>
      <c r="F24" s="261" t="s">
        <v>67</v>
      </c>
      <c r="G24" s="50" t="s">
        <v>68</v>
      </c>
      <c r="H24" s="262" t="s">
        <v>68</v>
      </c>
    </row>
    <row r="25" spans="1:8" x14ac:dyDescent="0.2">
      <c r="A25" s="238" t="s">
        <v>1355</v>
      </c>
      <c r="B25" s="196" t="s">
        <v>1356</v>
      </c>
      <c r="C25" s="239" t="s">
        <v>533</v>
      </c>
      <c r="D25" s="240" t="s">
        <v>195</v>
      </c>
      <c r="F25" s="261" t="s">
        <v>69</v>
      </c>
      <c r="G25" s="50" t="s">
        <v>70</v>
      </c>
      <c r="H25" s="262" t="s">
        <v>71</v>
      </c>
    </row>
    <row r="26" spans="1:8" x14ac:dyDescent="0.2">
      <c r="A26" s="238" t="s">
        <v>1357</v>
      </c>
      <c r="B26" s="196" t="s">
        <v>1358</v>
      </c>
      <c r="C26" s="239" t="s">
        <v>533</v>
      </c>
      <c r="D26" s="240" t="s">
        <v>196</v>
      </c>
      <c r="F26" s="261" t="s">
        <v>72</v>
      </c>
      <c r="G26" s="50" t="s">
        <v>73</v>
      </c>
      <c r="H26" s="262" t="s">
        <v>73</v>
      </c>
    </row>
    <row r="27" spans="1:8" x14ac:dyDescent="0.2">
      <c r="A27" s="238" t="s">
        <v>1359</v>
      </c>
      <c r="B27" s="196" t="s">
        <v>1360</v>
      </c>
      <c r="C27" s="239" t="s">
        <v>533</v>
      </c>
      <c r="D27" s="240" t="s">
        <v>212</v>
      </c>
      <c r="F27" s="261" t="s">
        <v>74</v>
      </c>
      <c r="G27" s="50" t="s">
        <v>75</v>
      </c>
      <c r="H27" s="262" t="s">
        <v>75</v>
      </c>
    </row>
    <row r="28" spans="1:8" x14ac:dyDescent="0.2">
      <c r="A28" s="238" t="s">
        <v>1361</v>
      </c>
      <c r="B28" s="196" t="s">
        <v>1362</v>
      </c>
      <c r="C28" s="239" t="s">
        <v>533</v>
      </c>
      <c r="D28" s="240" t="s">
        <v>205</v>
      </c>
      <c r="F28" s="261" t="s">
        <v>76</v>
      </c>
      <c r="G28" s="50" t="s">
        <v>77</v>
      </c>
      <c r="H28" s="262" t="s">
        <v>77</v>
      </c>
    </row>
    <row r="29" spans="1:8" x14ac:dyDescent="0.2">
      <c r="A29" s="238" t="s">
        <v>1363</v>
      </c>
      <c r="B29" s="196" t="s">
        <v>1364</v>
      </c>
      <c r="C29" s="239" t="s">
        <v>533</v>
      </c>
      <c r="D29" s="240" t="s">
        <v>197</v>
      </c>
      <c r="F29" s="256" t="s">
        <v>644</v>
      </c>
      <c r="G29" s="12" t="s">
        <v>645</v>
      </c>
      <c r="H29" s="263" t="s">
        <v>77</v>
      </c>
    </row>
    <row r="30" spans="1:8" x14ac:dyDescent="0.2">
      <c r="A30" s="238" t="s">
        <v>1365</v>
      </c>
      <c r="B30" s="196" t="s">
        <v>1366</v>
      </c>
      <c r="C30" s="239" t="s">
        <v>533</v>
      </c>
      <c r="D30" s="240" t="s">
        <v>209</v>
      </c>
      <c r="F30" s="256" t="s">
        <v>1419</v>
      </c>
      <c r="G30" s="12" t="s">
        <v>1420</v>
      </c>
      <c r="H30" s="263" t="s">
        <v>79</v>
      </c>
    </row>
    <row r="31" spans="1:8" x14ac:dyDescent="0.2">
      <c r="A31" s="238" t="s">
        <v>1367</v>
      </c>
      <c r="B31" s="196" t="s">
        <v>1368</v>
      </c>
      <c r="C31" s="239" t="s">
        <v>533</v>
      </c>
      <c r="D31" s="240" t="s">
        <v>59</v>
      </c>
      <c r="F31" s="264" t="s">
        <v>78</v>
      </c>
      <c r="G31" s="265" t="s">
        <v>79</v>
      </c>
      <c r="H31" s="266" t="s">
        <v>79</v>
      </c>
    </row>
    <row r="32" spans="1:8" x14ac:dyDescent="0.2">
      <c r="A32" s="238" t="s">
        <v>1369</v>
      </c>
      <c r="B32" s="196" t="s">
        <v>1370</v>
      </c>
      <c r="C32" s="239" t="s">
        <v>533</v>
      </c>
      <c r="D32" s="240" t="s">
        <v>1317</v>
      </c>
    </row>
    <row r="33" spans="1:8" x14ac:dyDescent="0.2">
      <c r="A33" s="238" t="s">
        <v>1371</v>
      </c>
      <c r="B33" s="196" t="s">
        <v>1372</v>
      </c>
      <c r="C33" s="239" t="s">
        <v>533</v>
      </c>
      <c r="D33" s="240" t="s">
        <v>198</v>
      </c>
      <c r="F33" s="387" t="s">
        <v>953</v>
      </c>
      <c r="G33" s="387"/>
      <c r="H33" s="387"/>
    </row>
    <row r="34" spans="1:8" x14ac:dyDescent="0.2">
      <c r="A34" s="238" t="s">
        <v>1373</v>
      </c>
      <c r="B34" s="196" t="s">
        <v>1374</v>
      </c>
      <c r="C34" s="239" t="s">
        <v>533</v>
      </c>
      <c r="D34" s="240" t="s">
        <v>206</v>
      </c>
      <c r="F34" s="267" t="s">
        <v>964</v>
      </c>
      <c r="G34" s="268" t="s">
        <v>80</v>
      </c>
      <c r="H34" s="269" t="s">
        <v>690</v>
      </c>
    </row>
    <row r="35" spans="1:8" x14ac:dyDescent="0.2">
      <c r="A35" s="238" t="s">
        <v>1375</v>
      </c>
      <c r="B35" s="196" t="s">
        <v>1376</v>
      </c>
      <c r="C35" s="239" t="s">
        <v>533</v>
      </c>
      <c r="D35" s="240" t="s">
        <v>199</v>
      </c>
      <c r="F35" s="270" t="s">
        <v>81</v>
      </c>
      <c r="G35" s="53" t="s">
        <v>83</v>
      </c>
      <c r="H35" s="271" t="s">
        <v>82</v>
      </c>
    </row>
    <row r="36" spans="1:8" x14ac:dyDescent="0.2">
      <c r="A36" s="238" t="s">
        <v>1377</v>
      </c>
      <c r="B36" s="196" t="s">
        <v>1378</v>
      </c>
      <c r="C36" s="239" t="s">
        <v>533</v>
      </c>
      <c r="D36" s="240" t="s">
        <v>200</v>
      </c>
      <c r="F36" s="270" t="s">
        <v>84</v>
      </c>
      <c r="G36" s="53" t="s">
        <v>86</v>
      </c>
      <c r="H36" s="271" t="s">
        <v>85</v>
      </c>
    </row>
    <row r="37" spans="1:8" x14ac:dyDescent="0.2">
      <c r="A37" s="238" t="s">
        <v>1379</v>
      </c>
      <c r="B37" s="196" t="s">
        <v>1380</v>
      </c>
      <c r="C37" s="239" t="s">
        <v>533</v>
      </c>
      <c r="D37" s="240" t="s">
        <v>63</v>
      </c>
      <c r="F37" s="270" t="s">
        <v>87</v>
      </c>
      <c r="G37" s="53" t="s">
        <v>89</v>
      </c>
      <c r="H37" s="271" t="s">
        <v>88</v>
      </c>
    </row>
    <row r="38" spans="1:8" x14ac:dyDescent="0.2">
      <c r="A38" s="238" t="s">
        <v>1381</v>
      </c>
      <c r="B38" s="196" t="s">
        <v>1382</v>
      </c>
      <c r="C38" s="239" t="s">
        <v>533</v>
      </c>
      <c r="D38" s="240" t="s">
        <v>1318</v>
      </c>
      <c r="F38" s="270" t="s">
        <v>691</v>
      </c>
      <c r="G38" s="53" t="s">
        <v>692</v>
      </c>
      <c r="H38" s="271" t="s">
        <v>88</v>
      </c>
    </row>
    <row r="39" spans="1:8" x14ac:dyDescent="0.2">
      <c r="A39" s="238" t="s">
        <v>1383</v>
      </c>
      <c r="B39" s="196" t="s">
        <v>1384</v>
      </c>
      <c r="C39" s="239" t="s">
        <v>533</v>
      </c>
      <c r="D39" s="240" t="s">
        <v>211</v>
      </c>
      <c r="F39" s="270" t="s">
        <v>90</v>
      </c>
      <c r="G39" s="53" t="s">
        <v>92</v>
      </c>
      <c r="H39" s="271" t="s">
        <v>91</v>
      </c>
    </row>
    <row r="40" spans="1:8" x14ac:dyDescent="0.2">
      <c r="A40" s="238" t="s">
        <v>1385</v>
      </c>
      <c r="B40" s="196" t="s">
        <v>1386</v>
      </c>
      <c r="C40" s="239" t="s">
        <v>533</v>
      </c>
      <c r="D40" s="240" t="s">
        <v>202</v>
      </c>
      <c r="F40" s="270" t="s">
        <v>693</v>
      </c>
      <c r="G40" s="53" t="s">
        <v>94</v>
      </c>
      <c r="H40" s="271" t="s">
        <v>93</v>
      </c>
    </row>
    <row r="41" spans="1:8" x14ac:dyDescent="0.2">
      <c r="A41" s="238" t="s">
        <v>268</v>
      </c>
      <c r="B41" s="196" t="s">
        <v>267</v>
      </c>
      <c r="C41" s="239" t="s">
        <v>533</v>
      </c>
      <c r="D41" s="240" t="s">
        <v>269</v>
      </c>
      <c r="F41" s="270" t="s">
        <v>694</v>
      </c>
      <c r="G41" s="53" t="s">
        <v>96</v>
      </c>
      <c r="H41" s="271" t="s">
        <v>95</v>
      </c>
    </row>
    <row r="42" spans="1:8" x14ac:dyDescent="0.2">
      <c r="A42" s="238" t="s">
        <v>387</v>
      </c>
      <c r="B42" s="196" t="s">
        <v>386</v>
      </c>
      <c r="C42" s="239" t="s">
        <v>533</v>
      </c>
      <c r="D42" s="240" t="s">
        <v>76</v>
      </c>
      <c r="F42" s="270" t="s">
        <v>97</v>
      </c>
      <c r="G42" s="53" t="s">
        <v>99</v>
      </c>
      <c r="H42" s="271" t="s">
        <v>98</v>
      </c>
    </row>
    <row r="43" spans="1:8" x14ac:dyDescent="0.2">
      <c r="A43" s="238" t="s">
        <v>1387</v>
      </c>
      <c r="B43" s="196" t="s">
        <v>1388</v>
      </c>
      <c r="C43" s="239" t="s">
        <v>533</v>
      </c>
      <c r="D43" s="240" t="s">
        <v>207</v>
      </c>
      <c r="F43" s="270" t="s">
        <v>695</v>
      </c>
      <c r="G43" s="53" t="s">
        <v>696</v>
      </c>
      <c r="H43" s="271" t="s">
        <v>98</v>
      </c>
    </row>
    <row r="44" spans="1:8" x14ac:dyDescent="0.2">
      <c r="A44" s="238" t="s">
        <v>1389</v>
      </c>
      <c r="B44" s="196" t="s">
        <v>1390</v>
      </c>
      <c r="C44" s="239" t="s">
        <v>533</v>
      </c>
      <c r="D44" s="240" t="s">
        <v>147</v>
      </c>
      <c r="F44" s="270" t="s">
        <v>100</v>
      </c>
      <c r="G44" s="53" t="s">
        <v>102</v>
      </c>
      <c r="H44" s="271" t="s">
        <v>101</v>
      </c>
    </row>
    <row r="45" spans="1:8" x14ac:dyDescent="0.2">
      <c r="A45" s="238" t="s">
        <v>165</v>
      </c>
      <c r="B45" s="196" t="s">
        <v>164</v>
      </c>
      <c r="C45" s="239" t="s">
        <v>533</v>
      </c>
      <c r="D45" s="240" t="s">
        <v>166</v>
      </c>
      <c r="F45" s="270" t="s">
        <v>697</v>
      </c>
      <c r="G45" s="53" t="s">
        <v>698</v>
      </c>
      <c r="H45" s="271" t="s">
        <v>109</v>
      </c>
    </row>
    <row r="46" spans="1:8" x14ac:dyDescent="0.2">
      <c r="A46" s="238" t="s">
        <v>362</v>
      </c>
      <c r="B46" s="196" t="s">
        <v>361</v>
      </c>
      <c r="C46" s="239" t="s">
        <v>533</v>
      </c>
      <c r="D46" s="240" t="s">
        <v>363</v>
      </c>
      <c r="F46" s="270" t="s">
        <v>699</v>
      </c>
      <c r="G46" s="53" t="s">
        <v>700</v>
      </c>
      <c r="H46" s="271" t="s">
        <v>109</v>
      </c>
    </row>
    <row r="47" spans="1:8" x14ac:dyDescent="0.2">
      <c r="A47" s="238" t="s">
        <v>142</v>
      </c>
      <c r="B47" s="196" t="s">
        <v>141</v>
      </c>
      <c r="C47" s="239" t="s">
        <v>533</v>
      </c>
      <c r="D47" s="240" t="s">
        <v>143</v>
      </c>
      <c r="F47" s="270" t="s">
        <v>701</v>
      </c>
      <c r="G47" s="53" t="s">
        <v>702</v>
      </c>
      <c r="H47" s="271" t="s">
        <v>109</v>
      </c>
    </row>
    <row r="48" spans="1:8" x14ac:dyDescent="0.2">
      <c r="A48" s="238" t="s">
        <v>1391</v>
      </c>
      <c r="B48" s="196" t="s">
        <v>1392</v>
      </c>
      <c r="C48" s="239" t="s">
        <v>533</v>
      </c>
      <c r="D48" s="240" t="s">
        <v>207</v>
      </c>
      <c r="F48" s="270" t="s">
        <v>703</v>
      </c>
      <c r="G48" s="53" t="s">
        <v>704</v>
      </c>
      <c r="H48" s="271" t="s">
        <v>109</v>
      </c>
    </row>
    <row r="49" spans="1:8" x14ac:dyDescent="0.2">
      <c r="A49" s="238" t="s">
        <v>255</v>
      </c>
      <c r="B49" s="196" t="s">
        <v>254</v>
      </c>
      <c r="C49" s="239" t="s">
        <v>533</v>
      </c>
      <c r="D49" s="240" t="s">
        <v>256</v>
      </c>
      <c r="F49" s="270" t="s">
        <v>55</v>
      </c>
      <c r="G49" s="53" t="s">
        <v>104</v>
      </c>
      <c r="H49" s="271" t="s">
        <v>103</v>
      </c>
    </row>
    <row r="50" spans="1:8" x14ac:dyDescent="0.2">
      <c r="A50" s="238" t="s">
        <v>179</v>
      </c>
      <c r="B50" s="196" t="s">
        <v>178</v>
      </c>
      <c r="C50" s="239" t="s">
        <v>533</v>
      </c>
      <c r="D50" s="240" t="s">
        <v>180</v>
      </c>
      <c r="F50" s="270" t="s">
        <v>105</v>
      </c>
      <c r="G50" s="53" t="s">
        <v>107</v>
      </c>
      <c r="H50" s="271" t="s">
        <v>106</v>
      </c>
    </row>
    <row r="51" spans="1:8" x14ac:dyDescent="0.2">
      <c r="A51" s="238" t="s">
        <v>1393</v>
      </c>
      <c r="B51" s="196" t="s">
        <v>181</v>
      </c>
      <c r="C51" s="239" t="s">
        <v>533</v>
      </c>
      <c r="D51" s="240" t="s">
        <v>182</v>
      </c>
      <c r="F51" s="270" t="s">
        <v>108</v>
      </c>
      <c r="G51" s="53" t="s">
        <v>110</v>
      </c>
      <c r="H51" s="271" t="s">
        <v>109</v>
      </c>
    </row>
    <row r="52" spans="1:8" x14ac:dyDescent="0.2">
      <c r="A52" s="238" t="s">
        <v>229</v>
      </c>
      <c r="B52" s="196" t="s">
        <v>228</v>
      </c>
      <c r="C52" s="239" t="s">
        <v>533</v>
      </c>
      <c r="D52" s="240" t="s">
        <v>230</v>
      </c>
      <c r="F52" s="270" t="s">
        <v>111</v>
      </c>
      <c r="G52" s="53" t="s">
        <v>112</v>
      </c>
      <c r="H52" s="271" t="s">
        <v>705</v>
      </c>
    </row>
    <row r="53" spans="1:8" x14ac:dyDescent="0.2">
      <c r="A53" s="238" t="s">
        <v>241</v>
      </c>
      <c r="B53" s="196" t="s">
        <v>240</v>
      </c>
      <c r="C53" s="239" t="s">
        <v>533</v>
      </c>
      <c r="D53" s="240" t="s">
        <v>242</v>
      </c>
      <c r="F53" s="270" t="s">
        <v>113</v>
      </c>
      <c r="G53" s="53" t="s">
        <v>115</v>
      </c>
      <c r="H53" s="271" t="s">
        <v>114</v>
      </c>
    </row>
    <row r="54" spans="1:8" x14ac:dyDescent="0.2">
      <c r="A54" s="238" t="s">
        <v>136</v>
      </c>
      <c r="B54" s="196" t="s">
        <v>135</v>
      </c>
      <c r="C54" s="239" t="s">
        <v>533</v>
      </c>
      <c r="D54" s="240" t="s">
        <v>137</v>
      </c>
      <c r="F54" s="270" t="s">
        <v>116</v>
      </c>
      <c r="G54" s="53" t="s">
        <v>1423</v>
      </c>
      <c r="H54" s="271" t="s">
        <v>117</v>
      </c>
    </row>
    <row r="55" spans="1:8" x14ac:dyDescent="0.2">
      <c r="A55" s="238" t="s">
        <v>1394</v>
      </c>
      <c r="B55" s="196" t="s">
        <v>154</v>
      </c>
      <c r="C55" s="239" t="s">
        <v>533</v>
      </c>
      <c r="D55" s="240" t="s">
        <v>155</v>
      </c>
      <c r="F55" s="270" t="s">
        <v>118</v>
      </c>
      <c r="G55" s="53" t="s">
        <v>120</v>
      </c>
      <c r="H55" s="271" t="s">
        <v>119</v>
      </c>
    </row>
    <row r="56" spans="1:8" x14ac:dyDescent="0.2">
      <c r="A56" s="238" t="s">
        <v>306</v>
      </c>
      <c r="B56" s="196" t="s">
        <v>305</v>
      </c>
      <c r="C56" s="239" t="s">
        <v>533</v>
      </c>
      <c r="D56" s="240" t="s">
        <v>307</v>
      </c>
      <c r="F56" s="270" t="s">
        <v>121</v>
      </c>
      <c r="G56" s="53" t="s">
        <v>706</v>
      </c>
      <c r="H56" s="271" t="s">
        <v>122</v>
      </c>
    </row>
    <row r="57" spans="1:8" x14ac:dyDescent="0.2">
      <c r="A57" s="238" t="s">
        <v>188</v>
      </c>
      <c r="B57" s="196" t="s">
        <v>187</v>
      </c>
      <c r="C57" s="239" t="s">
        <v>533</v>
      </c>
      <c r="D57" s="240" t="s">
        <v>189</v>
      </c>
      <c r="F57" s="272" t="s">
        <v>123</v>
      </c>
      <c r="G57" s="273" t="s">
        <v>125</v>
      </c>
      <c r="H57" s="274" t="s">
        <v>124</v>
      </c>
    </row>
    <row r="58" spans="1:8" x14ac:dyDescent="0.2">
      <c r="A58" s="238" t="s">
        <v>152</v>
      </c>
      <c r="B58" s="196" t="s">
        <v>151</v>
      </c>
      <c r="C58" s="239" t="s">
        <v>533</v>
      </c>
      <c r="D58" s="240" t="s">
        <v>153</v>
      </c>
    </row>
    <row r="59" spans="1:8" x14ac:dyDescent="0.2">
      <c r="A59" s="238" t="s">
        <v>329</v>
      </c>
      <c r="B59" s="196" t="s">
        <v>328</v>
      </c>
      <c r="C59" s="239" t="s">
        <v>533</v>
      </c>
      <c r="D59" s="240" t="s">
        <v>330</v>
      </c>
      <c r="F59" s="387" t="s">
        <v>954</v>
      </c>
      <c r="G59" s="387"/>
    </row>
    <row r="60" spans="1:8" x14ac:dyDescent="0.2">
      <c r="A60" s="238" t="s">
        <v>235</v>
      </c>
      <c r="B60" s="196" t="s">
        <v>234</v>
      </c>
      <c r="C60" s="239" t="s">
        <v>533</v>
      </c>
      <c r="D60" s="240" t="s">
        <v>236</v>
      </c>
      <c r="F60" s="275" t="s">
        <v>965</v>
      </c>
      <c r="G60" s="276" t="s">
        <v>574</v>
      </c>
    </row>
    <row r="61" spans="1:8" x14ac:dyDescent="0.2">
      <c r="A61" s="238" t="s">
        <v>223</v>
      </c>
      <c r="B61" s="196" t="s">
        <v>222</v>
      </c>
      <c r="C61" s="239" t="s">
        <v>533</v>
      </c>
      <c r="D61" s="240" t="s">
        <v>224</v>
      </c>
      <c r="F61" s="277" t="s">
        <v>575</v>
      </c>
      <c r="G61" s="278" t="s">
        <v>576</v>
      </c>
    </row>
    <row r="62" spans="1:8" x14ac:dyDescent="0.2">
      <c r="A62" s="238" t="s">
        <v>252</v>
      </c>
      <c r="B62" s="196" t="s">
        <v>251</v>
      </c>
      <c r="C62" s="239" t="s">
        <v>533</v>
      </c>
      <c r="D62" s="240" t="s">
        <v>253</v>
      </c>
      <c r="F62" s="279" t="s">
        <v>577</v>
      </c>
      <c r="G62" s="280" t="s">
        <v>582</v>
      </c>
    </row>
    <row r="63" spans="1:8" x14ac:dyDescent="0.2">
      <c r="A63" s="238" t="s">
        <v>335</v>
      </c>
      <c r="B63" s="196" t="s">
        <v>334</v>
      </c>
      <c r="C63" s="239" t="s">
        <v>533</v>
      </c>
      <c r="D63" s="240" t="s">
        <v>336</v>
      </c>
    </row>
    <row r="64" spans="1:8" x14ac:dyDescent="0.2">
      <c r="A64" s="238" t="s">
        <v>1395</v>
      </c>
      <c r="B64" s="196" t="s">
        <v>1396</v>
      </c>
      <c r="C64" s="239" t="s">
        <v>533</v>
      </c>
      <c r="D64" s="240" t="s">
        <v>207</v>
      </c>
      <c r="F64" s="387" t="s">
        <v>955</v>
      </c>
      <c r="G64" s="387"/>
    </row>
    <row r="65" spans="1:7" x14ac:dyDescent="0.2">
      <c r="A65" s="238" t="s">
        <v>249</v>
      </c>
      <c r="B65" s="196" t="s">
        <v>248</v>
      </c>
      <c r="C65" s="239" t="s">
        <v>533</v>
      </c>
      <c r="D65" s="240" t="s">
        <v>250</v>
      </c>
      <c r="F65" s="54" t="s">
        <v>968</v>
      </c>
      <c r="G65" s="54" t="s">
        <v>578</v>
      </c>
    </row>
    <row r="66" spans="1:7" x14ac:dyDescent="0.2">
      <c r="A66" s="238" t="s">
        <v>217</v>
      </c>
      <c r="B66" s="196" t="s">
        <v>216</v>
      </c>
      <c r="C66" s="239" t="s">
        <v>533</v>
      </c>
      <c r="D66" s="240" t="s">
        <v>218</v>
      </c>
      <c r="F66" s="54" t="s">
        <v>256</v>
      </c>
      <c r="G66" s="54" t="s">
        <v>581</v>
      </c>
    </row>
    <row r="67" spans="1:7" x14ac:dyDescent="0.2">
      <c r="A67" s="238" t="s">
        <v>246</v>
      </c>
      <c r="B67" s="196" t="s">
        <v>245</v>
      </c>
      <c r="C67" s="239" t="s">
        <v>533</v>
      </c>
      <c r="D67" s="240" t="s">
        <v>247</v>
      </c>
      <c r="F67" s="54" t="s">
        <v>579</v>
      </c>
      <c r="G67" s="54" t="s">
        <v>580</v>
      </c>
    </row>
    <row r="68" spans="1:7" x14ac:dyDescent="0.2">
      <c r="A68" s="238" t="s">
        <v>162</v>
      </c>
      <c r="B68" s="196" t="s">
        <v>161</v>
      </c>
      <c r="C68" s="239" t="s">
        <v>533</v>
      </c>
      <c r="D68" s="240" t="s">
        <v>163</v>
      </c>
      <c r="F68" s="54"/>
      <c r="G68" s="54"/>
    </row>
    <row r="69" spans="1:7" x14ac:dyDescent="0.2">
      <c r="A69" s="238" t="s">
        <v>1397</v>
      </c>
      <c r="B69" s="196" t="s">
        <v>173</v>
      </c>
      <c r="C69" s="239" t="s">
        <v>533</v>
      </c>
      <c r="D69" s="240" t="s">
        <v>174</v>
      </c>
      <c r="F69" s="387" t="s">
        <v>956</v>
      </c>
      <c r="G69" s="387"/>
    </row>
    <row r="70" spans="1:7" x14ac:dyDescent="0.2">
      <c r="A70" s="238" t="s">
        <v>1398</v>
      </c>
      <c r="B70" s="196" t="s">
        <v>1399</v>
      </c>
      <c r="C70" s="239" t="s">
        <v>533</v>
      </c>
      <c r="D70" s="240" t="s">
        <v>207</v>
      </c>
      <c r="F70" s="235" t="s">
        <v>967</v>
      </c>
      <c r="G70" s="237" t="s">
        <v>126</v>
      </c>
    </row>
    <row r="71" spans="1:7" x14ac:dyDescent="0.2">
      <c r="A71" s="238" t="s">
        <v>258</v>
      </c>
      <c r="B71" s="196" t="s">
        <v>257</v>
      </c>
      <c r="C71" s="239" t="s">
        <v>533</v>
      </c>
      <c r="D71" s="240" t="s">
        <v>259</v>
      </c>
      <c r="F71" s="261" t="s">
        <v>127</v>
      </c>
      <c r="G71" s="262" t="s">
        <v>128</v>
      </c>
    </row>
    <row r="72" spans="1:7" x14ac:dyDescent="0.2">
      <c r="A72" s="238" t="s">
        <v>274</v>
      </c>
      <c r="B72" s="196" t="s">
        <v>273</v>
      </c>
      <c r="C72" s="239" t="s">
        <v>533</v>
      </c>
      <c r="D72" s="240" t="s">
        <v>275</v>
      </c>
      <c r="F72" s="264" t="s">
        <v>129</v>
      </c>
      <c r="G72" s="266" t="s">
        <v>130</v>
      </c>
    </row>
    <row r="73" spans="1:7" x14ac:dyDescent="0.2">
      <c r="A73" s="238" t="s">
        <v>139</v>
      </c>
      <c r="B73" s="196" t="s">
        <v>138</v>
      </c>
      <c r="C73" s="239" t="s">
        <v>533</v>
      </c>
      <c r="D73" s="240" t="s">
        <v>140</v>
      </c>
    </row>
    <row r="74" spans="1:7" x14ac:dyDescent="0.2">
      <c r="A74" s="238" t="s">
        <v>1400</v>
      </c>
      <c r="B74" s="196" t="s">
        <v>265</v>
      </c>
      <c r="C74" s="239" t="s">
        <v>533</v>
      </c>
      <c r="D74" s="240" t="s">
        <v>266</v>
      </c>
      <c r="F74" s="387" t="s">
        <v>957</v>
      </c>
      <c r="G74" s="387"/>
    </row>
    <row r="75" spans="1:7" x14ac:dyDescent="0.2">
      <c r="A75" s="238" t="s">
        <v>643</v>
      </c>
      <c r="B75" s="196" t="s">
        <v>263</v>
      </c>
      <c r="C75" s="239" t="s">
        <v>533</v>
      </c>
      <c r="D75" s="240" t="s">
        <v>264</v>
      </c>
      <c r="F75" s="253" t="s">
        <v>586</v>
      </c>
      <c r="G75" s="255" t="s">
        <v>588</v>
      </c>
    </row>
    <row r="76" spans="1:7" x14ac:dyDescent="0.2">
      <c r="A76" s="238" t="s">
        <v>220</v>
      </c>
      <c r="B76" s="196" t="s">
        <v>219</v>
      </c>
      <c r="C76" s="239" t="s">
        <v>533</v>
      </c>
      <c r="D76" s="240" t="s">
        <v>221</v>
      </c>
      <c r="F76" s="256" t="s">
        <v>589</v>
      </c>
      <c r="G76" s="263" t="s">
        <v>632</v>
      </c>
    </row>
    <row r="77" spans="1:7" x14ac:dyDescent="0.2">
      <c r="A77" s="238" t="s">
        <v>214</v>
      </c>
      <c r="B77" s="196" t="s">
        <v>213</v>
      </c>
      <c r="C77" s="239" t="s">
        <v>533</v>
      </c>
      <c r="D77" s="240" t="s">
        <v>215</v>
      </c>
      <c r="F77" s="256" t="s">
        <v>625</v>
      </c>
      <c r="G77" s="263" t="s">
        <v>630</v>
      </c>
    </row>
    <row r="78" spans="1:7" x14ac:dyDescent="0.2">
      <c r="A78" s="238" t="s">
        <v>1422</v>
      </c>
      <c r="B78" s="196" t="s">
        <v>243</v>
      </c>
      <c r="C78" s="239" t="s">
        <v>533</v>
      </c>
      <c r="D78" s="240" t="s">
        <v>244</v>
      </c>
      <c r="F78" s="256" t="s">
        <v>626</v>
      </c>
      <c r="G78" s="263" t="s">
        <v>631</v>
      </c>
    </row>
    <row r="79" spans="1:7" x14ac:dyDescent="0.2">
      <c r="A79" s="238" t="s">
        <v>1401</v>
      </c>
      <c r="B79" s="196" t="s">
        <v>1402</v>
      </c>
      <c r="C79" s="239" t="s">
        <v>533</v>
      </c>
      <c r="D79" s="240" t="s">
        <v>184</v>
      </c>
      <c r="F79" s="256" t="s">
        <v>590</v>
      </c>
      <c r="G79" s="263" t="s">
        <v>591</v>
      </c>
    </row>
    <row r="80" spans="1:7" x14ac:dyDescent="0.2">
      <c r="A80" s="238" t="s">
        <v>1403</v>
      </c>
      <c r="B80" s="196" t="s">
        <v>1404</v>
      </c>
      <c r="C80" s="239" t="s">
        <v>533</v>
      </c>
      <c r="D80" s="240" t="s">
        <v>186</v>
      </c>
      <c r="F80" s="258" t="s">
        <v>592</v>
      </c>
      <c r="G80" s="281" t="s">
        <v>593</v>
      </c>
    </row>
    <row r="81" spans="1:7" x14ac:dyDescent="0.2">
      <c r="A81" s="238" t="s">
        <v>1405</v>
      </c>
      <c r="B81" s="196" t="s">
        <v>1406</v>
      </c>
      <c r="C81" s="239" t="s">
        <v>533</v>
      </c>
      <c r="D81" s="240" t="s">
        <v>183</v>
      </c>
    </row>
    <row r="82" spans="1:7" x14ac:dyDescent="0.2">
      <c r="A82" s="238" t="s">
        <v>1407</v>
      </c>
      <c r="B82" s="196" t="s">
        <v>1408</v>
      </c>
      <c r="C82" s="239" t="s">
        <v>533</v>
      </c>
      <c r="D82" s="240" t="s">
        <v>185</v>
      </c>
      <c r="F82" s="387" t="s">
        <v>958</v>
      </c>
      <c r="G82" s="387"/>
    </row>
    <row r="83" spans="1:7" x14ac:dyDescent="0.2">
      <c r="A83" s="238" t="s">
        <v>133</v>
      </c>
      <c r="B83" s="196" t="s">
        <v>133</v>
      </c>
      <c r="C83" s="239" t="s">
        <v>533</v>
      </c>
      <c r="D83" s="240" t="s">
        <v>134</v>
      </c>
      <c r="F83" s="253" t="s">
        <v>587</v>
      </c>
      <c r="G83" s="255" t="s">
        <v>594</v>
      </c>
    </row>
    <row r="84" spans="1:7" x14ac:dyDescent="0.2">
      <c r="A84" s="238" t="s">
        <v>171</v>
      </c>
      <c r="B84" s="196" t="s">
        <v>170</v>
      </c>
      <c r="C84" s="239" t="s">
        <v>533</v>
      </c>
      <c r="D84" s="240" t="s">
        <v>172</v>
      </c>
      <c r="F84" s="256" t="s">
        <v>595</v>
      </c>
      <c r="G84" s="263" t="s">
        <v>596</v>
      </c>
    </row>
    <row r="85" spans="1:7" x14ac:dyDescent="0.2">
      <c r="A85" s="238" t="s">
        <v>176</v>
      </c>
      <c r="B85" s="196" t="s">
        <v>175</v>
      </c>
      <c r="C85" s="239" t="s">
        <v>533</v>
      </c>
      <c r="D85" s="240" t="s">
        <v>177</v>
      </c>
      <c r="F85" s="256" t="s">
        <v>597</v>
      </c>
      <c r="G85" s="263" t="s">
        <v>629</v>
      </c>
    </row>
    <row r="86" spans="1:7" x14ac:dyDescent="0.2">
      <c r="A86" s="238" t="s">
        <v>1409</v>
      </c>
      <c r="B86" s="196" t="s">
        <v>1410</v>
      </c>
      <c r="C86" s="239" t="s">
        <v>533</v>
      </c>
      <c r="D86" s="240" t="s">
        <v>207</v>
      </c>
      <c r="F86" s="256" t="s">
        <v>627</v>
      </c>
      <c r="G86" s="263" t="s">
        <v>639</v>
      </c>
    </row>
    <row r="87" spans="1:7" x14ac:dyDescent="0.2">
      <c r="A87" s="241" t="s">
        <v>447</v>
      </c>
      <c r="B87" s="198" t="s">
        <v>446</v>
      </c>
      <c r="C87" s="199" t="s">
        <v>534</v>
      </c>
      <c r="D87" s="242" t="s">
        <v>448</v>
      </c>
      <c r="F87" s="258" t="s">
        <v>598</v>
      </c>
      <c r="G87" s="280" t="s">
        <v>628</v>
      </c>
    </row>
    <row r="88" spans="1:7" x14ac:dyDescent="0.2">
      <c r="A88" s="238" t="s">
        <v>277</v>
      </c>
      <c r="B88" s="196" t="s">
        <v>276</v>
      </c>
      <c r="C88" s="200" t="s">
        <v>534</v>
      </c>
      <c r="D88" s="240" t="s">
        <v>72</v>
      </c>
    </row>
    <row r="89" spans="1:7" x14ac:dyDescent="0.2">
      <c r="A89" s="238" t="s">
        <v>312</v>
      </c>
      <c r="B89" s="196" t="s">
        <v>311</v>
      </c>
      <c r="C89" s="200" t="s">
        <v>534</v>
      </c>
      <c r="D89" s="240" t="s">
        <v>313</v>
      </c>
      <c r="F89" s="387" t="s">
        <v>959</v>
      </c>
      <c r="G89" s="387"/>
    </row>
    <row r="90" spans="1:7" x14ac:dyDescent="0.2">
      <c r="A90" s="238" t="s">
        <v>279</v>
      </c>
      <c r="B90" s="196" t="s">
        <v>278</v>
      </c>
      <c r="C90" s="200" t="s">
        <v>534</v>
      </c>
      <c r="D90" s="240" t="s">
        <v>280</v>
      </c>
      <c r="F90" s="282" t="s">
        <v>966</v>
      </c>
      <c r="G90" s="283" t="s">
        <v>17</v>
      </c>
    </row>
    <row r="91" spans="1:7" x14ac:dyDescent="0.2">
      <c r="A91" s="243" t="s">
        <v>401</v>
      </c>
      <c r="B91" s="197" t="s">
        <v>400</v>
      </c>
      <c r="C91" s="201" t="s">
        <v>534</v>
      </c>
      <c r="D91" s="244" t="s">
        <v>402</v>
      </c>
      <c r="F91" s="284" t="s">
        <v>18</v>
      </c>
      <c r="G91" s="285" t="s">
        <v>19</v>
      </c>
    </row>
    <row r="92" spans="1:7" x14ac:dyDescent="0.2">
      <c r="A92" s="238" t="s">
        <v>714</v>
      </c>
      <c r="B92" s="196" t="s">
        <v>713</v>
      </c>
      <c r="C92" s="196" t="s">
        <v>535</v>
      </c>
      <c r="D92" s="240" t="s">
        <v>715</v>
      </c>
      <c r="F92" s="284" t="s">
        <v>20</v>
      </c>
      <c r="G92" s="285" t="s">
        <v>640</v>
      </c>
    </row>
    <row r="93" spans="1:7" x14ac:dyDescent="0.2">
      <c r="A93" s="238" t="s">
        <v>389</v>
      </c>
      <c r="B93" s="196" t="s">
        <v>388</v>
      </c>
      <c r="C93" s="196" t="s">
        <v>535</v>
      </c>
      <c r="D93" s="240" t="s">
        <v>390</v>
      </c>
      <c r="F93" s="284" t="s">
        <v>21</v>
      </c>
      <c r="G93" s="285" t="s">
        <v>22</v>
      </c>
    </row>
    <row r="94" spans="1:7" x14ac:dyDescent="0.2">
      <c r="A94" s="238" t="s">
        <v>347</v>
      </c>
      <c r="B94" s="196" t="s">
        <v>346</v>
      </c>
      <c r="C94" s="196" t="s">
        <v>535</v>
      </c>
      <c r="D94" s="240" t="s">
        <v>348</v>
      </c>
      <c r="F94" s="284" t="s">
        <v>23</v>
      </c>
      <c r="G94" s="285" t="s">
        <v>24</v>
      </c>
    </row>
    <row r="95" spans="1:7" x14ac:dyDescent="0.2">
      <c r="A95" s="238" t="s">
        <v>286</v>
      </c>
      <c r="B95" s="196" t="s">
        <v>285</v>
      </c>
      <c r="C95" s="196" t="s">
        <v>535</v>
      </c>
      <c r="D95" s="240" t="s">
        <v>287</v>
      </c>
      <c r="F95" s="284" t="s">
        <v>25</v>
      </c>
      <c r="G95" s="285" t="s">
        <v>26</v>
      </c>
    </row>
    <row r="96" spans="1:7" x14ac:dyDescent="0.2">
      <c r="A96" s="238" t="s">
        <v>338</v>
      </c>
      <c r="B96" s="196" t="s">
        <v>337</v>
      </c>
      <c r="C96" s="196" t="s">
        <v>535</v>
      </c>
      <c r="D96" s="240" t="s">
        <v>339</v>
      </c>
      <c r="F96" s="284" t="s">
        <v>27</v>
      </c>
      <c r="G96" s="285" t="s">
        <v>28</v>
      </c>
    </row>
    <row r="97" spans="1:8" x14ac:dyDescent="0.2">
      <c r="A97" s="238" t="s">
        <v>407</v>
      </c>
      <c r="B97" s="196" t="s">
        <v>406</v>
      </c>
      <c r="C97" s="196" t="s">
        <v>535</v>
      </c>
      <c r="D97" s="240" t="s">
        <v>74</v>
      </c>
      <c r="F97" s="284" t="s">
        <v>29</v>
      </c>
      <c r="G97" s="285" t="s">
        <v>30</v>
      </c>
    </row>
    <row r="98" spans="1:8" x14ac:dyDescent="0.2">
      <c r="A98" s="238" t="s">
        <v>398</v>
      </c>
      <c r="B98" s="196" t="s">
        <v>397</v>
      </c>
      <c r="C98" s="196" t="s">
        <v>535</v>
      </c>
      <c r="D98" s="240" t="s">
        <v>399</v>
      </c>
      <c r="F98" s="284" t="s">
        <v>31</v>
      </c>
      <c r="G98" s="285" t="s">
        <v>32</v>
      </c>
    </row>
    <row r="99" spans="1:8" x14ac:dyDescent="0.2">
      <c r="A99" s="238" t="s">
        <v>365</v>
      </c>
      <c r="B99" s="196" t="s">
        <v>364</v>
      </c>
      <c r="C99" s="196" t="s">
        <v>535</v>
      </c>
      <c r="D99" s="240" t="s">
        <v>366</v>
      </c>
      <c r="F99" s="286" t="s">
        <v>33</v>
      </c>
      <c r="G99" s="287" t="s">
        <v>34</v>
      </c>
    </row>
    <row r="100" spans="1:8" x14ac:dyDescent="0.2">
      <c r="A100" s="238" t="s">
        <v>315</v>
      </c>
      <c r="B100" s="196" t="s">
        <v>314</v>
      </c>
      <c r="C100" s="196" t="s">
        <v>535</v>
      </c>
      <c r="D100" s="240" t="s">
        <v>316</v>
      </c>
    </row>
    <row r="101" spans="1:8" x14ac:dyDescent="0.2">
      <c r="A101" s="238" t="s">
        <v>1319</v>
      </c>
      <c r="B101" s="196" t="s">
        <v>1320</v>
      </c>
      <c r="C101" s="196" t="s">
        <v>535</v>
      </c>
      <c r="D101" s="240" t="s">
        <v>1321</v>
      </c>
      <c r="F101" s="387" t="s">
        <v>969</v>
      </c>
      <c r="G101" s="387"/>
    </row>
    <row r="102" spans="1:8" x14ac:dyDescent="0.2">
      <c r="A102" s="238" t="s">
        <v>687</v>
      </c>
      <c r="B102" s="196" t="s">
        <v>686</v>
      </c>
      <c r="C102" s="196" t="s">
        <v>535</v>
      </c>
      <c r="D102" s="240" t="s">
        <v>688</v>
      </c>
      <c r="F102" s="275" t="s">
        <v>680</v>
      </c>
      <c r="G102" s="288" t="s">
        <v>681</v>
      </c>
      <c r="H102" s="289" t="s">
        <v>689</v>
      </c>
    </row>
    <row r="103" spans="1:8" x14ac:dyDescent="0.2">
      <c r="A103" s="238" t="s">
        <v>916</v>
      </c>
      <c r="B103" s="196" t="s">
        <v>915</v>
      </c>
      <c r="C103" s="196" t="s">
        <v>535</v>
      </c>
      <c r="D103" s="240" t="s">
        <v>917</v>
      </c>
      <c r="F103" s="277" t="s">
        <v>725</v>
      </c>
      <c r="G103" s="54" t="s">
        <v>683</v>
      </c>
      <c r="H103" s="290" t="s">
        <v>685</v>
      </c>
    </row>
    <row r="104" spans="1:8" x14ac:dyDescent="0.2">
      <c r="A104" s="238" t="s">
        <v>370</v>
      </c>
      <c r="B104" s="196" t="s">
        <v>369</v>
      </c>
      <c r="C104" s="196" t="s">
        <v>535</v>
      </c>
      <c r="D104" s="240" t="s">
        <v>371</v>
      </c>
      <c r="F104" s="279" t="s">
        <v>726</v>
      </c>
      <c r="G104" s="291" t="s">
        <v>682</v>
      </c>
      <c r="H104" s="292" t="s">
        <v>684</v>
      </c>
    </row>
    <row r="105" spans="1:8" x14ac:dyDescent="0.2">
      <c r="A105" s="238" t="s">
        <v>332</v>
      </c>
      <c r="B105" s="196" t="s">
        <v>331</v>
      </c>
      <c r="C105" s="196" t="s">
        <v>535</v>
      </c>
      <c r="D105" s="240" t="s">
        <v>333</v>
      </c>
    </row>
    <row r="106" spans="1:8" x14ac:dyDescent="0.2">
      <c r="A106" s="238" t="s">
        <v>324</v>
      </c>
      <c r="B106" s="196" t="s">
        <v>323</v>
      </c>
      <c r="C106" s="196" t="s">
        <v>535</v>
      </c>
      <c r="D106" s="240" t="s">
        <v>325</v>
      </c>
    </row>
    <row r="107" spans="1:8" x14ac:dyDescent="0.2">
      <c r="A107" s="238" t="s">
        <v>395</v>
      </c>
      <c r="B107" s="196" t="s">
        <v>394</v>
      </c>
      <c r="C107" s="196" t="s">
        <v>535</v>
      </c>
      <c r="D107" s="240" t="s">
        <v>396</v>
      </c>
    </row>
    <row r="108" spans="1:8" x14ac:dyDescent="0.2">
      <c r="A108" s="238" t="s">
        <v>318</v>
      </c>
      <c r="B108" s="196" t="s">
        <v>317</v>
      </c>
      <c r="C108" s="196" t="s">
        <v>535</v>
      </c>
      <c r="D108" s="240" t="s">
        <v>319</v>
      </c>
    </row>
    <row r="109" spans="1:8" x14ac:dyDescent="0.2">
      <c r="A109" s="238" t="s">
        <v>444</v>
      </c>
      <c r="B109" s="196" t="s">
        <v>443</v>
      </c>
      <c r="C109" s="196" t="s">
        <v>535</v>
      </c>
      <c r="D109" s="240" t="s">
        <v>445</v>
      </c>
    </row>
    <row r="110" spans="1:8" x14ac:dyDescent="0.2">
      <c r="A110" s="238" t="s">
        <v>356</v>
      </c>
      <c r="B110" s="196" t="s">
        <v>355</v>
      </c>
      <c r="C110" s="196" t="s">
        <v>535</v>
      </c>
      <c r="D110" s="240" t="s">
        <v>357</v>
      </c>
    </row>
    <row r="111" spans="1:8" x14ac:dyDescent="0.2">
      <c r="A111" s="238" t="s">
        <v>289</v>
      </c>
      <c r="B111" s="196" t="s">
        <v>288</v>
      </c>
      <c r="C111" s="196" t="s">
        <v>535</v>
      </c>
      <c r="D111" s="240" t="s">
        <v>290</v>
      </c>
    </row>
    <row r="112" spans="1:8" x14ac:dyDescent="0.2">
      <c r="A112" s="238" t="s">
        <v>1311</v>
      </c>
      <c r="B112" s="196" t="s">
        <v>1312</v>
      </c>
      <c r="C112" s="196" t="s">
        <v>535</v>
      </c>
      <c r="D112" s="240" t="s">
        <v>1313</v>
      </c>
    </row>
    <row r="113" spans="1:4" x14ac:dyDescent="0.2">
      <c r="A113" s="238" t="s">
        <v>353</v>
      </c>
      <c r="B113" s="196" t="s">
        <v>352</v>
      </c>
      <c r="C113" s="196" t="s">
        <v>535</v>
      </c>
      <c r="D113" s="240" t="s">
        <v>354</v>
      </c>
    </row>
    <row r="114" spans="1:4" x14ac:dyDescent="0.2">
      <c r="A114" s="238" t="s">
        <v>295</v>
      </c>
      <c r="B114" s="196" t="s">
        <v>294</v>
      </c>
      <c r="C114" s="196" t="s">
        <v>535</v>
      </c>
      <c r="D114" s="240" t="s">
        <v>46</v>
      </c>
    </row>
    <row r="115" spans="1:4" x14ac:dyDescent="0.2">
      <c r="A115" s="238" t="s">
        <v>404</v>
      </c>
      <c r="B115" s="196" t="s">
        <v>403</v>
      </c>
      <c r="C115" s="196" t="s">
        <v>535</v>
      </c>
      <c r="D115" s="240" t="s">
        <v>405</v>
      </c>
    </row>
    <row r="116" spans="1:4" x14ac:dyDescent="0.2">
      <c r="A116" s="238" t="s">
        <v>636</v>
      </c>
      <c r="B116" s="196" t="s">
        <v>635</v>
      </c>
      <c r="C116" s="196" t="s">
        <v>535</v>
      </c>
      <c r="D116" s="240" t="s">
        <v>637</v>
      </c>
    </row>
    <row r="117" spans="1:4" x14ac:dyDescent="0.2">
      <c r="A117" s="238" t="s">
        <v>368</v>
      </c>
      <c r="B117" s="196" t="s">
        <v>367</v>
      </c>
      <c r="C117" s="196" t="s">
        <v>535</v>
      </c>
      <c r="D117" s="240" t="s">
        <v>67</v>
      </c>
    </row>
    <row r="118" spans="1:4" x14ac:dyDescent="0.2">
      <c r="A118" s="238" t="s">
        <v>409</v>
      </c>
      <c r="B118" s="196" t="s">
        <v>408</v>
      </c>
      <c r="C118" s="196" t="s">
        <v>535</v>
      </c>
      <c r="D118" s="240" t="s">
        <v>410</v>
      </c>
    </row>
    <row r="119" spans="1:4" x14ac:dyDescent="0.2">
      <c r="A119" s="238" t="s">
        <v>359</v>
      </c>
      <c r="B119" s="196" t="s">
        <v>358</v>
      </c>
      <c r="C119" s="196" t="s">
        <v>535</v>
      </c>
      <c r="D119" s="240" t="s">
        <v>360</v>
      </c>
    </row>
    <row r="120" spans="1:4" x14ac:dyDescent="0.2">
      <c r="A120" s="238" t="s">
        <v>1411</v>
      </c>
      <c r="B120" s="196" t="s">
        <v>1412</v>
      </c>
      <c r="C120" s="196" t="s">
        <v>535</v>
      </c>
      <c r="D120" s="240" t="s">
        <v>1413</v>
      </c>
    </row>
    <row r="121" spans="1:4" x14ac:dyDescent="0.2">
      <c r="A121" s="238" t="s">
        <v>292</v>
      </c>
      <c r="B121" s="196" t="s">
        <v>291</v>
      </c>
      <c r="C121" s="196" t="s">
        <v>535</v>
      </c>
      <c r="D121" s="240" t="s">
        <v>293</v>
      </c>
    </row>
    <row r="122" spans="1:4" x14ac:dyDescent="0.2">
      <c r="A122" s="238" t="s">
        <v>412</v>
      </c>
      <c r="B122" s="196" t="s">
        <v>411</v>
      </c>
      <c r="C122" s="196" t="s">
        <v>535</v>
      </c>
      <c r="D122" s="240" t="s">
        <v>413</v>
      </c>
    </row>
    <row r="123" spans="1:4" x14ac:dyDescent="0.2">
      <c r="A123" s="238" t="s">
        <v>341</v>
      </c>
      <c r="B123" s="196" t="s">
        <v>340</v>
      </c>
      <c r="C123" s="196" t="s">
        <v>535</v>
      </c>
      <c r="D123" s="240" t="s">
        <v>342</v>
      </c>
    </row>
    <row r="124" spans="1:4" x14ac:dyDescent="0.2">
      <c r="A124" s="238" t="s">
        <v>472</v>
      </c>
      <c r="B124" s="196" t="s">
        <v>471</v>
      </c>
      <c r="C124" s="196" t="s">
        <v>535</v>
      </c>
      <c r="D124" s="240" t="s">
        <v>473</v>
      </c>
    </row>
    <row r="125" spans="1:4" x14ac:dyDescent="0.2">
      <c r="A125" s="238" t="s">
        <v>379</v>
      </c>
      <c r="B125" s="196" t="s">
        <v>378</v>
      </c>
      <c r="C125" s="196" t="s">
        <v>535</v>
      </c>
      <c r="D125" s="240" t="s">
        <v>380</v>
      </c>
    </row>
    <row r="126" spans="1:4" x14ac:dyDescent="0.2">
      <c r="A126" s="238" t="s">
        <v>415</v>
      </c>
      <c r="B126" s="196" t="s">
        <v>414</v>
      </c>
      <c r="C126" s="196" t="s">
        <v>535</v>
      </c>
      <c r="D126" s="240" t="s">
        <v>416</v>
      </c>
    </row>
    <row r="127" spans="1:4" x14ac:dyDescent="0.2">
      <c r="A127" s="238" t="s">
        <v>537</v>
      </c>
      <c r="B127" s="196" t="s">
        <v>381</v>
      </c>
      <c r="C127" s="196" t="s">
        <v>535</v>
      </c>
      <c r="D127" s="240" t="s">
        <v>382</v>
      </c>
    </row>
    <row r="128" spans="1:4" x14ac:dyDescent="0.2">
      <c r="A128" s="238" t="s">
        <v>1322</v>
      </c>
      <c r="B128" s="196" t="s">
        <v>1323</v>
      </c>
      <c r="C128" s="196" t="s">
        <v>535</v>
      </c>
      <c r="D128" s="240" t="s">
        <v>1324</v>
      </c>
    </row>
    <row r="129" spans="1:4" x14ac:dyDescent="0.2">
      <c r="A129" s="238" t="s">
        <v>297</v>
      </c>
      <c r="B129" s="196" t="s">
        <v>296</v>
      </c>
      <c r="C129" s="196" t="s">
        <v>535</v>
      </c>
      <c r="D129" s="240" t="s">
        <v>298</v>
      </c>
    </row>
    <row r="130" spans="1:4" x14ac:dyDescent="0.2">
      <c r="A130" s="238" t="s">
        <v>350</v>
      </c>
      <c r="B130" s="196" t="s">
        <v>349</v>
      </c>
      <c r="C130" s="196" t="s">
        <v>535</v>
      </c>
      <c r="D130" s="240" t="s">
        <v>351</v>
      </c>
    </row>
    <row r="131" spans="1:4" x14ac:dyDescent="0.2">
      <c r="A131" s="238" t="s">
        <v>455</v>
      </c>
      <c r="B131" s="196" t="s">
        <v>454</v>
      </c>
      <c r="C131" s="196" t="s">
        <v>535</v>
      </c>
      <c r="D131" s="240" t="s">
        <v>456</v>
      </c>
    </row>
    <row r="132" spans="1:4" x14ac:dyDescent="0.2">
      <c r="A132" s="238" t="s">
        <v>418</v>
      </c>
      <c r="B132" s="196" t="s">
        <v>417</v>
      </c>
      <c r="C132" s="196" t="s">
        <v>535</v>
      </c>
      <c r="D132" s="240" t="s">
        <v>419</v>
      </c>
    </row>
    <row r="133" spans="1:4" x14ac:dyDescent="0.2">
      <c r="A133" s="238" t="s">
        <v>484</v>
      </c>
      <c r="B133" s="196" t="s">
        <v>483</v>
      </c>
      <c r="C133" s="196" t="s">
        <v>535</v>
      </c>
      <c r="D133" s="240" t="s">
        <v>485</v>
      </c>
    </row>
    <row r="134" spans="1:4" x14ac:dyDescent="0.2">
      <c r="A134" s="238" t="s">
        <v>300</v>
      </c>
      <c r="B134" s="196" t="s">
        <v>299</v>
      </c>
      <c r="C134" s="196" t="s">
        <v>535</v>
      </c>
      <c r="D134" s="240" t="s">
        <v>301</v>
      </c>
    </row>
    <row r="135" spans="1:4" x14ac:dyDescent="0.2">
      <c r="A135" s="238" t="s">
        <v>475</v>
      </c>
      <c r="B135" s="196" t="s">
        <v>474</v>
      </c>
      <c r="C135" s="196" t="s">
        <v>535</v>
      </c>
      <c r="D135" s="240" t="s">
        <v>476</v>
      </c>
    </row>
    <row r="136" spans="1:4" x14ac:dyDescent="0.2">
      <c r="A136" s="238" t="s">
        <v>384</v>
      </c>
      <c r="B136" s="196" t="s">
        <v>383</v>
      </c>
      <c r="C136" s="196" t="s">
        <v>535</v>
      </c>
      <c r="D136" s="240" t="s">
        <v>385</v>
      </c>
    </row>
    <row r="137" spans="1:4" x14ac:dyDescent="0.2">
      <c r="A137" s="238" t="s">
        <v>421</v>
      </c>
      <c r="B137" s="196" t="s">
        <v>420</v>
      </c>
      <c r="C137" s="196" t="s">
        <v>535</v>
      </c>
      <c r="D137" s="240" t="s">
        <v>422</v>
      </c>
    </row>
    <row r="138" spans="1:4" x14ac:dyDescent="0.2">
      <c r="A138" s="238" t="s">
        <v>487</v>
      </c>
      <c r="B138" s="196" t="s">
        <v>486</v>
      </c>
      <c r="C138" s="196" t="s">
        <v>535</v>
      </c>
      <c r="D138" s="240" t="s">
        <v>488</v>
      </c>
    </row>
    <row r="139" spans="1:4" x14ac:dyDescent="0.2">
      <c r="A139" s="238" t="s">
        <v>376</v>
      </c>
      <c r="B139" s="196" t="s">
        <v>375</v>
      </c>
      <c r="C139" s="196" t="s">
        <v>535</v>
      </c>
      <c r="D139" s="240" t="s">
        <v>377</v>
      </c>
    </row>
    <row r="140" spans="1:4" x14ac:dyDescent="0.2">
      <c r="A140" s="238" t="s">
        <v>441</v>
      </c>
      <c r="B140" s="196" t="s">
        <v>440</v>
      </c>
      <c r="C140" s="196" t="s">
        <v>535</v>
      </c>
      <c r="D140" s="240" t="s">
        <v>442</v>
      </c>
    </row>
    <row r="141" spans="1:4" x14ac:dyDescent="0.2">
      <c r="A141" s="238" t="s">
        <v>1325</v>
      </c>
      <c r="B141" s="196" t="s">
        <v>1326</v>
      </c>
      <c r="C141" s="196" t="s">
        <v>535</v>
      </c>
      <c r="D141" s="240" t="s">
        <v>1327</v>
      </c>
    </row>
    <row r="142" spans="1:4" x14ac:dyDescent="0.2">
      <c r="A142" s="238" t="s">
        <v>647</v>
      </c>
      <c r="B142" s="196" t="s">
        <v>646</v>
      </c>
      <c r="C142" s="196" t="s">
        <v>535</v>
      </c>
      <c r="D142" s="240" t="s">
        <v>648</v>
      </c>
    </row>
    <row r="143" spans="1:4" x14ac:dyDescent="0.2">
      <c r="A143" s="238" t="s">
        <v>478</v>
      </c>
      <c r="B143" s="196" t="s">
        <v>477</v>
      </c>
      <c r="C143" s="196" t="s">
        <v>535</v>
      </c>
      <c r="D143" s="240" t="s">
        <v>479</v>
      </c>
    </row>
    <row r="144" spans="1:4" x14ac:dyDescent="0.2">
      <c r="A144" s="238" t="s">
        <v>717</v>
      </c>
      <c r="B144" s="196" t="s">
        <v>716</v>
      </c>
      <c r="C144" s="196" t="s">
        <v>535</v>
      </c>
      <c r="D144" s="240" t="s">
        <v>718</v>
      </c>
    </row>
    <row r="145" spans="1:4" x14ac:dyDescent="0.2">
      <c r="A145" s="238" t="s">
        <v>438</v>
      </c>
      <c r="B145" s="196" t="s">
        <v>437</v>
      </c>
      <c r="C145" s="196" t="s">
        <v>535</v>
      </c>
      <c r="D145" s="240" t="s">
        <v>439</v>
      </c>
    </row>
    <row r="146" spans="1:4" x14ac:dyDescent="0.2">
      <c r="A146" s="238" t="s">
        <v>1414</v>
      </c>
      <c r="B146" s="196" t="s">
        <v>1328</v>
      </c>
      <c r="C146" s="196" t="s">
        <v>535</v>
      </c>
      <c r="D146" s="240" t="s">
        <v>1329</v>
      </c>
    </row>
    <row r="147" spans="1:4" x14ac:dyDescent="0.2">
      <c r="A147" s="238" t="s">
        <v>435</v>
      </c>
      <c r="B147" s="196" t="s">
        <v>434</v>
      </c>
      <c r="C147" s="196" t="s">
        <v>535</v>
      </c>
      <c r="D147" s="240" t="s">
        <v>436</v>
      </c>
    </row>
    <row r="148" spans="1:4" x14ac:dyDescent="0.2">
      <c r="A148" s="238" t="s">
        <v>450</v>
      </c>
      <c r="B148" s="196" t="s">
        <v>449</v>
      </c>
      <c r="C148" s="196" t="s">
        <v>535</v>
      </c>
      <c r="D148" s="240" t="s">
        <v>451</v>
      </c>
    </row>
    <row r="149" spans="1:4" x14ac:dyDescent="0.2">
      <c r="A149" s="238" t="s">
        <v>650</v>
      </c>
      <c r="B149" s="196" t="s">
        <v>649</v>
      </c>
      <c r="C149" s="196" t="s">
        <v>535</v>
      </c>
      <c r="D149" s="240" t="s">
        <v>81</v>
      </c>
    </row>
    <row r="150" spans="1:4" x14ac:dyDescent="0.2">
      <c r="A150" s="238" t="s">
        <v>424</v>
      </c>
      <c r="B150" s="196" t="s">
        <v>423</v>
      </c>
      <c r="C150" s="196" t="s">
        <v>535</v>
      </c>
      <c r="D150" s="240" t="s">
        <v>425</v>
      </c>
    </row>
    <row r="151" spans="1:4" x14ac:dyDescent="0.2">
      <c r="A151" s="238" t="s">
        <v>651</v>
      </c>
      <c r="B151" s="196" t="s">
        <v>460</v>
      </c>
      <c r="C151" s="196" t="s">
        <v>535</v>
      </c>
      <c r="D151" s="240" t="s">
        <v>461</v>
      </c>
    </row>
    <row r="152" spans="1:4" x14ac:dyDescent="0.2">
      <c r="A152" s="238" t="s">
        <v>458</v>
      </c>
      <c r="B152" s="196" t="s">
        <v>457</v>
      </c>
      <c r="C152" s="196" t="s">
        <v>535</v>
      </c>
      <c r="D152" s="240" t="s">
        <v>459</v>
      </c>
    </row>
    <row r="153" spans="1:4" x14ac:dyDescent="0.2">
      <c r="A153" s="238" t="s">
        <v>309</v>
      </c>
      <c r="B153" s="196" t="s">
        <v>308</v>
      </c>
      <c r="C153" s="196" t="s">
        <v>535</v>
      </c>
      <c r="D153" s="240" t="s">
        <v>310</v>
      </c>
    </row>
    <row r="154" spans="1:4" x14ac:dyDescent="0.2">
      <c r="A154" s="238" t="s">
        <v>1330</v>
      </c>
      <c r="B154" s="196" t="s">
        <v>1331</v>
      </c>
      <c r="C154" s="196" t="s">
        <v>535</v>
      </c>
      <c r="D154" s="240" t="s">
        <v>1332</v>
      </c>
    </row>
    <row r="155" spans="1:4" x14ac:dyDescent="0.2">
      <c r="A155" s="238" t="s">
        <v>283</v>
      </c>
      <c r="B155" s="196" t="s">
        <v>282</v>
      </c>
      <c r="C155" s="196" t="s">
        <v>535</v>
      </c>
      <c r="D155" s="240" t="s">
        <v>284</v>
      </c>
    </row>
    <row r="156" spans="1:4" x14ac:dyDescent="0.2">
      <c r="A156" s="238" t="s">
        <v>653</v>
      </c>
      <c r="B156" s="196" t="s">
        <v>652</v>
      </c>
      <c r="C156" s="196" t="s">
        <v>535</v>
      </c>
      <c r="D156" s="240" t="s">
        <v>654</v>
      </c>
    </row>
    <row r="157" spans="1:4" x14ac:dyDescent="0.2">
      <c r="A157" s="238" t="s">
        <v>1415</v>
      </c>
      <c r="B157" s="196" t="s">
        <v>1416</v>
      </c>
      <c r="C157" s="196" t="s">
        <v>535</v>
      </c>
      <c r="D157" s="240" t="s">
        <v>1417</v>
      </c>
    </row>
    <row r="158" spans="1:4" x14ac:dyDescent="0.2">
      <c r="A158" s="238" t="s">
        <v>720</v>
      </c>
      <c r="B158" s="196" t="s">
        <v>719</v>
      </c>
      <c r="C158" s="196" t="s">
        <v>535</v>
      </c>
      <c r="D158" s="240" t="s">
        <v>721</v>
      </c>
    </row>
    <row r="159" spans="1:4" x14ac:dyDescent="0.2">
      <c r="A159" s="238" t="s">
        <v>656</v>
      </c>
      <c r="B159" s="196" t="s">
        <v>655</v>
      </c>
      <c r="C159" s="196" t="s">
        <v>535</v>
      </c>
      <c r="D159" s="240" t="s">
        <v>657</v>
      </c>
    </row>
    <row r="160" spans="1:4" x14ac:dyDescent="0.2">
      <c r="A160" s="238" t="s">
        <v>373</v>
      </c>
      <c r="B160" s="196" t="s">
        <v>372</v>
      </c>
      <c r="C160" s="196" t="s">
        <v>535</v>
      </c>
      <c r="D160" s="240" t="s">
        <v>374</v>
      </c>
    </row>
    <row r="161" spans="1:4" x14ac:dyDescent="0.2">
      <c r="A161" s="238" t="s">
        <v>432</v>
      </c>
      <c r="B161" s="196" t="s">
        <v>431</v>
      </c>
      <c r="C161" s="196" t="s">
        <v>535</v>
      </c>
      <c r="D161" s="240" t="s">
        <v>433</v>
      </c>
    </row>
    <row r="162" spans="1:4" x14ac:dyDescent="0.2">
      <c r="A162" s="238" t="s">
        <v>481</v>
      </c>
      <c r="B162" s="196" t="s">
        <v>480</v>
      </c>
      <c r="C162" s="196" t="s">
        <v>535</v>
      </c>
      <c r="D162" s="240" t="s">
        <v>482</v>
      </c>
    </row>
    <row r="163" spans="1:4" x14ac:dyDescent="0.2">
      <c r="A163" s="238" t="s">
        <v>427</v>
      </c>
      <c r="B163" s="196" t="s">
        <v>426</v>
      </c>
      <c r="C163" s="196" t="s">
        <v>535</v>
      </c>
      <c r="D163" s="240" t="s">
        <v>428</v>
      </c>
    </row>
    <row r="164" spans="1:4" x14ac:dyDescent="0.2">
      <c r="A164" s="238" t="s">
        <v>1418</v>
      </c>
      <c r="B164" s="196" t="s">
        <v>326</v>
      </c>
      <c r="C164" s="196" t="s">
        <v>535</v>
      </c>
      <c r="D164" s="240" t="s">
        <v>327</v>
      </c>
    </row>
    <row r="165" spans="1:4" x14ac:dyDescent="0.2">
      <c r="A165" s="238" t="s">
        <v>463</v>
      </c>
      <c r="B165" s="196" t="s">
        <v>462</v>
      </c>
      <c r="C165" s="196" t="s">
        <v>535</v>
      </c>
      <c r="D165" s="240" t="s">
        <v>464</v>
      </c>
    </row>
    <row r="166" spans="1:4" x14ac:dyDescent="0.2">
      <c r="A166" s="238" t="s">
        <v>466</v>
      </c>
      <c r="B166" s="196" t="s">
        <v>465</v>
      </c>
      <c r="C166" s="196" t="s">
        <v>535</v>
      </c>
      <c r="D166" s="240" t="s">
        <v>467</v>
      </c>
    </row>
    <row r="167" spans="1:4" x14ac:dyDescent="0.2">
      <c r="A167" s="238" t="s">
        <v>392</v>
      </c>
      <c r="B167" s="196" t="s">
        <v>391</v>
      </c>
      <c r="C167" s="196" t="s">
        <v>535</v>
      </c>
      <c r="D167" s="240" t="s">
        <v>393</v>
      </c>
    </row>
    <row r="168" spans="1:4" x14ac:dyDescent="0.2">
      <c r="A168" s="238" t="s">
        <v>321</v>
      </c>
      <c r="B168" s="196" t="s">
        <v>320</v>
      </c>
      <c r="C168" s="196" t="s">
        <v>535</v>
      </c>
      <c r="D168" s="240" t="s">
        <v>322</v>
      </c>
    </row>
    <row r="169" spans="1:4" x14ac:dyDescent="0.2">
      <c r="A169" s="238" t="s">
        <v>453</v>
      </c>
      <c r="B169" s="196" t="s">
        <v>452</v>
      </c>
      <c r="C169" s="196" t="s">
        <v>535</v>
      </c>
      <c r="D169" s="240" t="s">
        <v>39</v>
      </c>
    </row>
    <row r="170" spans="1:4" x14ac:dyDescent="0.2">
      <c r="A170" s="238" t="s">
        <v>659</v>
      </c>
      <c r="B170" s="196" t="s">
        <v>658</v>
      </c>
      <c r="C170" s="196" t="s">
        <v>535</v>
      </c>
      <c r="D170" s="240" t="s">
        <v>660</v>
      </c>
    </row>
    <row r="171" spans="1:4" x14ac:dyDescent="0.2">
      <c r="A171" s="238" t="s">
        <v>303</v>
      </c>
      <c r="B171" s="196" t="s">
        <v>302</v>
      </c>
      <c r="C171" s="196" t="s">
        <v>535</v>
      </c>
      <c r="D171" s="240" t="s">
        <v>304</v>
      </c>
    </row>
    <row r="172" spans="1:4" x14ac:dyDescent="0.2">
      <c r="A172" s="238" t="s">
        <v>344</v>
      </c>
      <c r="B172" s="196" t="s">
        <v>343</v>
      </c>
      <c r="C172" s="196" t="s">
        <v>535</v>
      </c>
      <c r="D172" s="240" t="s">
        <v>345</v>
      </c>
    </row>
    <row r="173" spans="1:4" x14ac:dyDescent="0.2">
      <c r="A173" s="238" t="s">
        <v>469</v>
      </c>
      <c r="B173" s="196" t="s">
        <v>468</v>
      </c>
      <c r="C173" s="196" t="s">
        <v>535</v>
      </c>
      <c r="D173" s="240" t="s">
        <v>470</v>
      </c>
    </row>
    <row r="174" spans="1:4" x14ac:dyDescent="0.2">
      <c r="A174" s="238" t="s">
        <v>238</v>
      </c>
      <c r="B174" s="196" t="s">
        <v>237</v>
      </c>
      <c r="C174" s="196" t="s">
        <v>535</v>
      </c>
      <c r="D174" s="240" t="s">
        <v>239</v>
      </c>
    </row>
    <row r="175" spans="1:4" x14ac:dyDescent="0.2">
      <c r="A175" s="243" t="s">
        <v>617</v>
      </c>
      <c r="B175" s="197" t="s">
        <v>429</v>
      </c>
      <c r="C175" s="197" t="s">
        <v>535</v>
      </c>
      <c r="D175" s="244" t="s">
        <v>430</v>
      </c>
    </row>
  </sheetData>
  <sheetProtection algorithmName="SHA-512" hashValue="4I8w0xiknsWsWlz4ltn419/VeMRewjngI66Y2Mbd5dbn/Hn+O7r1+00zUuIcZW2C+WsGlGqeAK/78Jp/I4ak4A==" saltValue="ZixU54v6CFHDjCrym1VU7Q==" spinCount="100000" sheet="1" objects="1" scenarios="1" formatCells="0" autoFilter="0"/>
  <autoFilter ref="A2:D175" xr:uid="{52AD9D22-8AF6-40F0-8688-5EE4D7881544}"/>
  <mergeCells count="12">
    <mergeCell ref="J1:L1"/>
    <mergeCell ref="F101:G101"/>
    <mergeCell ref="A1:D1"/>
    <mergeCell ref="F59:G59"/>
    <mergeCell ref="F64:G64"/>
    <mergeCell ref="F69:G69"/>
    <mergeCell ref="F74:G74"/>
    <mergeCell ref="F82:G82"/>
    <mergeCell ref="F89:G89"/>
    <mergeCell ref="F1:H1"/>
    <mergeCell ref="F33:H33"/>
    <mergeCell ref="F8:H8"/>
  </mergeCells>
  <pageMargins left="0.70866141732283461" right="0.70866141732283461" top="0.55118110236220474" bottom="0.55118110236220474" header="0.11811023622047244" footer="0.11811023622047244"/>
  <pageSetup paperSize="9" scale="3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H84"/>
  <sheetViews>
    <sheetView showGridLines="0" zoomScale="90" zoomScaleNormal="90" workbookViewId="0">
      <pane ySplit="10" topLeftCell="A11" activePane="bottomLeft" state="frozen"/>
      <selection pane="bottomLeft" activeCell="H32" sqref="H32"/>
    </sheetView>
  </sheetViews>
  <sheetFormatPr defaultColWidth="9.140625" defaultRowHeight="11.25" x14ac:dyDescent="0.2"/>
  <cols>
    <col min="1" max="1" width="7.7109375" style="93" customWidth="1"/>
    <col min="2" max="2" width="9.28515625" style="93" customWidth="1"/>
    <col min="3" max="3" width="10.28515625" style="93" customWidth="1"/>
    <col min="4" max="4" width="14.7109375" style="93" customWidth="1"/>
    <col min="5" max="5" width="21.5703125" style="93" customWidth="1"/>
    <col min="6" max="6" width="17" style="144" bestFit="1" customWidth="1"/>
    <col min="7" max="7" width="12" style="93" customWidth="1"/>
    <col min="8" max="8" width="118.7109375" style="93" customWidth="1"/>
    <col min="9" max="16384" width="9.140625" style="93"/>
  </cols>
  <sheetData>
    <row r="1" spans="1:8" ht="15" x14ac:dyDescent="0.2">
      <c r="A1" s="427" t="str">
        <f>VLOOKUP("G00",tblTranslation[#Data],LangNameID,FALSE) &amp;" ( "&amp;Idiom&amp;" )"</f>
        <v>Instructions to complete the form ( ENG )</v>
      </c>
      <c r="B1" s="427"/>
      <c r="C1" s="427"/>
      <c r="D1" s="427"/>
      <c r="E1" s="427"/>
      <c r="F1" s="427"/>
      <c r="G1" s="427"/>
      <c r="H1" s="427"/>
    </row>
    <row r="2" spans="1:8" ht="12.75" x14ac:dyDescent="0.2">
      <c r="A2" s="428" t="str">
        <f>VLOOKUP("G01",tblTranslation[#Data],LangFieldID,FALSE)</f>
        <v>General</v>
      </c>
      <c r="B2" s="428"/>
      <c r="C2" s="428"/>
      <c r="D2" s="428"/>
      <c r="E2" s="428"/>
      <c r="F2" s="136"/>
      <c r="G2" s="129"/>
      <c r="H2" s="130"/>
    </row>
    <row r="3" spans="1:8" x14ac:dyDescent="0.2">
      <c r="A3" s="130" t="s">
        <v>776</v>
      </c>
      <c r="B3" s="414" t="str">
        <f>VLOOKUP("G01a",tblTranslation[#Data],LangNameID,FALSE)</f>
        <v>Complete as far as possible the Header and Detail sections (don't leave fields empty when information is known).</v>
      </c>
      <c r="C3" s="414"/>
      <c r="D3" s="414"/>
      <c r="E3" s="414"/>
      <c r="F3" s="414"/>
      <c r="G3" s="414"/>
      <c r="H3" s="414"/>
    </row>
    <row r="4" spans="1:8" x14ac:dyDescent="0.2">
      <c r="A4" s="130" t="s">
        <v>777</v>
      </c>
      <c r="B4" s="414" t="str">
        <f>VLOOKUP("G01b",tblTranslation[#Data],LangNameID,FALSE)</f>
        <v>In Header section, only white cells can be filled (manually or by selecting from the Combo Box the corresponding code).</v>
      </c>
      <c r="C4" s="414"/>
      <c r="D4" s="414"/>
      <c r="E4" s="414"/>
      <c r="F4" s="414"/>
      <c r="G4" s="414"/>
      <c r="H4" s="414"/>
    </row>
    <row r="5" spans="1:8" x14ac:dyDescent="0.2">
      <c r="A5" s="130" t="s">
        <v>778</v>
      </c>
      <c r="B5" s="414" t="str">
        <f>VLOOKUP("G01c",tblTranslation[#Data],LangNameID,FALSE)</f>
        <v>Always use ICCAT standard codes (when element "OTHERS" of various fields is required it must be explicitly described in "Notes").</v>
      </c>
      <c r="C5" s="414"/>
      <c r="D5" s="414"/>
      <c r="E5" s="414"/>
      <c r="F5" s="414"/>
      <c r="G5" s="414"/>
      <c r="H5" s="414"/>
    </row>
    <row r="6" spans="1:8" x14ac:dyDescent="0.2">
      <c r="A6" s="130" t="s">
        <v>779</v>
      </c>
      <c r="B6" s="414" t="str">
        <f>VLOOKUP("G01d",tblTranslation[#Data],LangNameID,FALSE)</f>
        <v>Recommendation for users with databases: To paste an entire dataset into the Detail section (must have the same structure and format) use "Paste special (values)"</v>
      </c>
      <c r="C6" s="414"/>
      <c r="D6" s="414"/>
      <c r="E6" s="414"/>
      <c r="F6" s="414"/>
      <c r="G6" s="414"/>
      <c r="H6" s="414"/>
    </row>
    <row r="7" spans="1:8" x14ac:dyDescent="0.2">
      <c r="A7" s="130" t="s">
        <v>780</v>
      </c>
      <c r="B7" s="414" t="str">
        <f>VLOOKUP("G01e",tblTranslation[#Data],LangNameID,FALSE)</f>
        <v>Leave "blank" the fields for which you don't collect information</v>
      </c>
      <c r="C7" s="414"/>
      <c r="D7" s="414"/>
      <c r="E7" s="414"/>
      <c r="F7" s="414"/>
      <c r="G7" s="414"/>
      <c r="H7" s="414"/>
    </row>
    <row r="8" spans="1:8" x14ac:dyDescent="0.2">
      <c r="A8" s="131"/>
      <c r="B8" s="131"/>
      <c r="C8" s="10"/>
      <c r="D8" s="10"/>
      <c r="E8" s="10"/>
      <c r="F8" s="137"/>
      <c r="G8" s="132"/>
      <c r="H8" s="131"/>
    </row>
    <row r="9" spans="1:8" ht="12.75" x14ac:dyDescent="0.2">
      <c r="A9" s="420" t="str">
        <f>VLOOKUP("S00",tblTranslation[#Data],LangFieldID,FALSE)</f>
        <v>Specific (by field)</v>
      </c>
      <c r="B9" s="420"/>
      <c r="C9" s="420"/>
      <c r="D9" s="420"/>
      <c r="E9" s="420"/>
      <c r="F9" s="137"/>
      <c r="G9" s="132"/>
      <c r="H9" s="131"/>
    </row>
    <row r="10" spans="1:8" x14ac:dyDescent="0.2">
      <c r="A10" s="133" t="str">
        <f>VLOOKUP("SC01",tblTranslation[#Data],LangFieldID,FALSE)</f>
        <v>Form</v>
      </c>
      <c r="B10" s="133" t="str">
        <f>VLOOKUP("SC02",tblTranslation[#Data],LangFieldID,FALSE)</f>
        <v>Sub-form</v>
      </c>
      <c r="C10" s="133" t="str">
        <f>VLOOKUP("SC03",tblTranslation[#Data],LangFieldID,FALSE)</f>
        <v>Part</v>
      </c>
      <c r="D10" s="133" t="str">
        <f>VLOOKUP("SC04",tblTranslation[#Data],LangFieldID,FALSE)</f>
        <v>Section</v>
      </c>
      <c r="E10" s="133" t="str">
        <f>VLOOKUP("SC05",tblTranslation[#Data],LangFieldID,FALSE)</f>
        <v>Sub-section</v>
      </c>
      <c r="F10" s="138" t="str">
        <f>VLOOKUP("SC06",tblTranslation[#Data],LangFieldID,FALSE)</f>
        <v>Field (name)</v>
      </c>
      <c r="G10" s="134" t="str">
        <f>VLOOKUP("SC07",tblTranslation[#Data],LangFieldID,FALSE)</f>
        <v>Field (format)</v>
      </c>
      <c r="H10" s="133" t="str">
        <f>VLOOKUP("SC08",tblTranslation[#Data],LangFieldID,FALSE)</f>
        <v>Description</v>
      </c>
    </row>
    <row r="11" spans="1:8" x14ac:dyDescent="0.2">
      <c r="A11" s="392" t="str">
        <f>VLOOKUP("T00",tblTranslation[],LangFieldID,FALSE)</f>
        <v>CP01-VessLsts</v>
      </c>
      <c r="B11" s="421" t="str">
        <f>VLOOKUP("T01",tblTranslation[#Data],LangFieldID,FALSE)</f>
        <v>Title</v>
      </c>
      <c r="C11" s="422"/>
      <c r="D11" s="422"/>
      <c r="E11" s="423"/>
      <c r="F11" s="139" t="str">
        <f>VLOOKUP("tVersion",tblTranslation[],LangFieldID,FALSE)</f>
        <v>Version</v>
      </c>
      <c r="G11" s="226" t="str">
        <f>VLOOKUP("tVersion",tblTranslation[#Data],6,FALSE)</f>
        <v>(fixed)</v>
      </c>
      <c r="H11" s="227" t="str">
        <f>VLOOKUP("tVersion",tblTranslation[#Data],LangNameID,FALSE)</f>
        <v>Always use the lastest version of this form.</v>
      </c>
    </row>
    <row r="12" spans="1:8" x14ac:dyDescent="0.2">
      <c r="A12" s="392"/>
      <c r="B12" s="424"/>
      <c r="C12" s="425"/>
      <c r="D12" s="425"/>
      <c r="E12" s="426"/>
      <c r="F12" s="225" t="str">
        <f>VLOOKUP("tLang",tblTranslation[],LangFieldID,FALSE)</f>
        <v>Language</v>
      </c>
      <c r="G12" s="219" t="str">
        <f>VLOOKUP("tLang",tblTranslation[#Data],6,FALSE)</f>
        <v>ICCAT code</v>
      </c>
      <c r="H12" s="222" t="str">
        <f>VLOOKUP("tLang",tblTranslation[#Data],LangNameID,FALSE)</f>
        <v>Choose the language (EN, FR, ES) for form translation</v>
      </c>
    </row>
    <row r="13" spans="1:8" x14ac:dyDescent="0.2">
      <c r="A13" s="392"/>
      <c r="B13" s="392" t="str">
        <f>VLOOKUP("T03",tblTranslation[],LangFieldID,FALSE)</f>
        <v>CP01A</v>
      </c>
      <c r="C13" s="392" t="str">
        <f>VLOOKUP("H00",tblTranslation[],LangFieldID,FALSE)</f>
        <v>Header</v>
      </c>
      <c r="D13" s="415" t="str">
        <f>VLOOKUP("H10",tblTranslation[],LangFieldID,FALSE)</f>
        <v>Flag Correspondent</v>
      </c>
      <c r="E13" s="415"/>
      <c r="F13" s="140" t="str">
        <f>VLOOKUP("hPerson",tblTranslation[],LangFieldID,FALSE)</f>
        <v>Name</v>
      </c>
      <c r="G13" s="229" t="str">
        <f>VLOOKUP("hPerson",tblTranslation[],6,FALSE)</f>
        <v>string</v>
      </c>
      <c r="H13" s="230" t="str">
        <f>VLOOKUP("hPerson",tblTranslation[],LangNameID,FALSE)</f>
        <v>Enter the name of the person to be contacted in the event of enquiries</v>
      </c>
    </row>
    <row r="14" spans="1:8" x14ac:dyDescent="0.2">
      <c r="A14" s="392"/>
      <c r="B14" s="392"/>
      <c r="C14" s="392"/>
      <c r="D14" s="415"/>
      <c r="E14" s="415"/>
      <c r="F14" s="228" t="str">
        <f>VLOOKUP("hAgency",tblTranslation[],LangFieldID,FALSE)</f>
        <v>Reporting Agency</v>
      </c>
      <c r="G14" s="220" t="str">
        <f>VLOOKUP("hAgency",tblTranslation[],6,FALSE)</f>
        <v>string</v>
      </c>
      <c r="H14" s="223" t="str">
        <f>VLOOKUP("hAgency",tblTranslation[],LangNameID,FALSE)</f>
        <v>Enter the name of your ministry, institute or agency</v>
      </c>
    </row>
    <row r="15" spans="1:8" x14ac:dyDescent="0.2">
      <c r="A15" s="392"/>
      <c r="B15" s="392"/>
      <c r="C15" s="392"/>
      <c r="D15" s="415"/>
      <c r="E15" s="415"/>
      <c r="F15" s="228" t="str">
        <f>VLOOKUP("hAddress",tblTranslation[],LangFieldID,FALSE)</f>
        <v>Address</v>
      </c>
      <c r="G15" s="220" t="str">
        <f>VLOOKUP("hAddress",tblTranslation[],6,FALSE)</f>
        <v>string</v>
      </c>
      <c r="H15" s="223" t="str">
        <f>VLOOKUP("hAddress",tblTranslation[],LangNameID,FALSE)</f>
        <v>Enter the street address of your ministry, institute or agency</v>
      </c>
    </row>
    <row r="16" spans="1:8" x14ac:dyDescent="0.2">
      <c r="A16" s="392"/>
      <c r="B16" s="392"/>
      <c r="C16" s="392"/>
      <c r="D16" s="415"/>
      <c r="E16" s="415"/>
      <c r="F16" s="228" t="str">
        <f>VLOOKUP("hEmail",tblTranslation[],LangFieldID,FALSE)</f>
        <v>Email</v>
      </c>
      <c r="G16" s="220" t="str">
        <f>VLOOKUP("hEmail",tblTranslation[],6,FALSE)</f>
        <v>string</v>
      </c>
      <c r="H16" s="223" t="str">
        <f>VLOOKUP("hEmail",tblTranslation[],LangNameID,FALSE)</f>
        <v>Enter the email address of the person to be contacted</v>
      </c>
    </row>
    <row r="17" spans="1:8" x14ac:dyDescent="0.2">
      <c r="A17" s="392"/>
      <c r="B17" s="392"/>
      <c r="C17" s="392"/>
      <c r="D17" s="415"/>
      <c r="E17" s="415"/>
      <c r="F17" s="228" t="str">
        <f>VLOOKUP("hPhone",tblTranslation[],LangFieldID,FALSE)</f>
        <v>Phone</v>
      </c>
      <c r="G17" s="220" t="str">
        <f>VLOOKUP("hPhone",tblTranslation[],6,FALSE)</f>
        <v>string</v>
      </c>
      <c r="H17" s="223" t="str">
        <f>VLOOKUP("hPhone",tblTranslation[],LangNameID,FALSE)</f>
        <v>Enter the telephone number of the person to be contacted</v>
      </c>
    </row>
    <row r="18" spans="1:8" x14ac:dyDescent="0.2">
      <c r="A18" s="392"/>
      <c r="B18" s="392"/>
      <c r="C18" s="392"/>
      <c r="D18" s="415" t="str">
        <f>VLOOKUP("H30",tblTranslation[],LangFieldID,FALSE)</f>
        <v>Data set characteristics</v>
      </c>
      <c r="E18" s="415"/>
      <c r="F18" s="228" t="str">
        <f>VLOOKUP("hFlagRep",tblTranslation[],LangFieldID,FALSE)</f>
        <v>Reporting Flag</v>
      </c>
      <c r="G18" s="220" t="str">
        <f>VLOOKUP("hFlagRep",tblTranslation[],6,FALSE)</f>
        <v>ICCAT code</v>
      </c>
      <c r="H18" s="223" t="str">
        <f>VLOOKUP("hFlagRep",tblTranslation[],LangNameID,FALSE)</f>
        <v>Enter the flag of the CPC (Party, Entity or Fishing Entity) submitting the information</v>
      </c>
    </row>
    <row r="19" spans="1:8" x14ac:dyDescent="0.2">
      <c r="A19" s="392"/>
      <c r="B19" s="392"/>
      <c r="C19" s="392"/>
      <c r="D19" s="415"/>
      <c r="E19" s="415"/>
      <c r="F19" s="228" t="str">
        <f>VLOOKUP("hActions",tblTranslation[],LangFieldID,FALSE)</f>
        <v>Action requested</v>
      </c>
      <c r="G19" s="220" t="str">
        <f>VLOOKUP("hActions",tblTranslation[],6,FALSE)</f>
        <v>ICCAT code</v>
      </c>
      <c r="H19" s="223" t="str">
        <f>VLOOKUP("hActions",tblTranslation[],LangNameID,FALSE)</f>
        <v>Indicate the actions being requested (select one option)</v>
      </c>
    </row>
    <row r="20" spans="1:8" x14ac:dyDescent="0.2">
      <c r="A20" s="392"/>
      <c r="B20" s="392"/>
      <c r="C20" s="392"/>
      <c r="D20" s="416"/>
      <c r="E20" s="416"/>
      <c r="F20" s="228" t="str">
        <f>VLOOKUP("hNotes",tblTranslation[],LangFieldID,FALSE)</f>
        <v>Notes</v>
      </c>
      <c r="G20" s="220" t="str">
        <f>VLOOKUP("hNotes",tblTranslation[],6,FALSE)</f>
        <v>string</v>
      </c>
      <c r="H20" s="223" t="str">
        <f>VLOOKUP("hNotes",tblTranslation[],LangNameID,FALSE)</f>
        <v>For any relevant notes (justification on lack of IMO numbers, etc.)</v>
      </c>
    </row>
    <row r="21" spans="1:8" x14ac:dyDescent="0.2">
      <c r="A21" s="392"/>
      <c r="B21" s="392"/>
      <c r="C21" s="392"/>
      <c r="D21" s="415" t="s">
        <v>539</v>
      </c>
      <c r="E21" s="415"/>
      <c r="F21" s="228" t="str">
        <f>VLOOKUP("hDateRep",tblTranslation[],LangFieldID,FALSE)</f>
        <v>Date reported</v>
      </c>
      <c r="G21" s="220" t="str">
        <f>VLOOKUP("hDateRep",tblTranslation[],6,FALSE)</f>
        <v>date</v>
      </c>
      <c r="H21" s="223" t="str">
        <f>VLOOKUP("hDateRep",tblTranslation[],LangNameID,FALSE)</f>
        <v>Secretariat use only</v>
      </c>
    </row>
    <row r="22" spans="1:8" x14ac:dyDescent="0.2">
      <c r="A22" s="392"/>
      <c r="B22" s="392"/>
      <c r="C22" s="392"/>
      <c r="D22" s="415"/>
      <c r="E22" s="415"/>
      <c r="F22" s="228" t="str">
        <f>VLOOKUP("hRef",tblTranslation[],LangFieldID,FALSE)</f>
        <v>Reference Nº</v>
      </c>
      <c r="G22" s="220" t="str">
        <f>VLOOKUP("hRef",tblTranslation[],6,FALSE)</f>
        <v>ICCAT code</v>
      </c>
      <c r="H22" s="223" t="str">
        <f>VLOOKUP("hRef",tblTranslation[],LangNameID,FALSE)</f>
        <v>Secretariat use only</v>
      </c>
    </row>
    <row r="23" spans="1:8" x14ac:dyDescent="0.2">
      <c r="A23" s="392"/>
      <c r="B23" s="392"/>
      <c r="C23" s="392"/>
      <c r="D23" s="415"/>
      <c r="E23" s="415"/>
      <c r="F23" s="228" t="str">
        <f>VLOOKUP("hFname",tblTranslation[],LangFieldID,FALSE)</f>
        <v>File name (proposed)</v>
      </c>
      <c r="G23" s="220" t="str">
        <f>VLOOKUP("hFName",tblTranslation[],6,FALSE)</f>
        <v>string</v>
      </c>
      <c r="H23" s="223" t="str">
        <f>VLOOKUP("hFName",tblTranslation[],LangNameID,FALSE)</f>
        <v>Send the form to ICCAT with the proposed file name (if required, adding a suffix at the end of the filename: [suffix])</v>
      </c>
    </row>
    <row r="24" spans="1:8" ht="22.5" x14ac:dyDescent="0.2">
      <c r="A24" s="392"/>
      <c r="B24" s="392"/>
      <c r="C24" s="392" t="str">
        <f>VLOOKUP("D00",tblTranslation[],LangFieldID,FALSE)</f>
        <v>Detail</v>
      </c>
      <c r="D24" s="419" t="str">
        <f>VLOOKUP("D10",tblTranslation[],LangFieldID,FALSE)</f>
        <v>Mandatory information (vessels)</v>
      </c>
      <c r="E24" s="412" t="str">
        <f>VLOOKUP("D11",tblTranslation[],LangFieldID,FALSE)</f>
        <v>Identification</v>
      </c>
      <c r="F24" s="141" t="str">
        <f>VLOOKUP("ICCATSerialNo",tblTranslation[],LangFieldID,FALSE)</f>
        <v>ICCAT Serial Number</v>
      </c>
      <c r="G24" s="231" t="str">
        <f>VLOOKUP("ICCATSerialNo",tblTranslation[],6,FALSE)</f>
        <v>ICCAT code</v>
      </c>
      <c r="H24" s="232" t="str">
        <f>VLOOKUP("ICCATSerialNo",tblTranslation[],LangNameID,FALSE)</f>
        <v>If the vessel has previously been registered in the ICCAT Record of Vessels and has therefore been assigned an ICCAT number, this number must be cited. Please check the list of inactive vessels to determine if a number has previously been assigned. If the vessel is being registered with ICCAT for the first time, please leave this field blank</v>
      </c>
    </row>
    <row r="25" spans="1:8" x14ac:dyDescent="0.2">
      <c r="A25" s="392"/>
      <c r="B25" s="392"/>
      <c r="C25" s="392"/>
      <c r="D25" s="419"/>
      <c r="E25" s="412"/>
      <c r="F25" s="203" t="str">
        <f>VLOOKUP("NatRegNo",tblTranslation[],LangFieldID,FALSE)</f>
        <v>Nat. Registry Nº (NRN)</v>
      </c>
      <c r="G25" s="221" t="str">
        <f>VLOOKUP("NatRegNo",tblTranslation[],6,FALSE)</f>
        <v>string</v>
      </c>
      <c r="H25" s="224" t="str">
        <f>VLOOKUP("NatRegNo",tblTranslation[],LangNameID,FALSE)</f>
        <v>The national registry number as it appears in the registry of your CPC</v>
      </c>
    </row>
    <row r="26" spans="1:8" ht="22.5" x14ac:dyDescent="0.2">
      <c r="A26" s="392"/>
      <c r="B26" s="392"/>
      <c r="C26" s="392"/>
      <c r="D26" s="419"/>
      <c r="E26" s="412"/>
      <c r="F26" s="203" t="str">
        <f>VLOOKUP("IntRegNo",tblTranslation[],LangFieldID,FALSE)</f>
        <v>Internat. Registry Nº (IRN)</v>
      </c>
      <c r="G26" s="221" t="str">
        <f>VLOOKUP("IntRegNo",tblTranslation[],6,FALSE)</f>
        <v>integer</v>
      </c>
      <c r="H26" s="224" t="str">
        <f>VLOOKUP("IntRegNo",tblTranslation[],LangNameID,FALSE)</f>
        <v>This should be IMO number or a number in the seven-digit numbering sequence allocated by IHS-Fairplay (LR number). All vessels of 20 m or greater must have an IMO number, except wooden LSFVs that are not authorized to fish on the high seas or LSFVs unable to obtain an IMO/LR number</v>
      </c>
    </row>
    <row r="27" spans="1:8" ht="22.5" x14ac:dyDescent="0.2">
      <c r="A27" s="392"/>
      <c r="B27" s="392"/>
      <c r="C27" s="392"/>
      <c r="D27" s="419"/>
      <c r="E27" s="412"/>
      <c r="F27" s="202" t="str">
        <f>VLOOKUP("IRNoType",tblTranslation[],LangFieldID,FALSE)</f>
        <v>Type of IRN (IMO/LR Nº)</v>
      </c>
      <c r="G27" s="221" t="str">
        <f>VLOOKUP("IRNoType",tblTranslation[],6,FALSE)</f>
        <v>ICCAT code</v>
      </c>
      <c r="H27" s="224" t="str">
        <f>VLOOKUP("IRNoType",tblTranslation[],LangNameID,FALSE)</f>
        <v>If number is provided, type = IMO. If the vessel is wooden and not authorised to operate on the high seas, type = WOD. If unable to obtain an IMO/LR number, then an explanation must accompany the submission, and type = JUS</v>
      </c>
    </row>
    <row r="28" spans="1:8" ht="22.5" x14ac:dyDescent="0.2">
      <c r="A28" s="392"/>
      <c r="B28" s="392"/>
      <c r="C28" s="392"/>
      <c r="D28" s="419"/>
      <c r="E28" s="412"/>
      <c r="F28" s="203" t="str">
        <f>VLOOKUP("IRCS",tblTranslation[],LangFieldID,FALSE)</f>
        <v>Internat. RCS</v>
      </c>
      <c r="G28" s="221" t="str">
        <f>VLOOKUP("IRCS",tblTranslation[],6,FALSE)</f>
        <v>string</v>
      </c>
      <c r="H28" s="224" t="str">
        <f>VLOOKUP("IRCS",tblTranslation[],LangNameID,FALSE)</f>
        <v>International Radio Call Sign. This must comprise only letters and numbers, e.g. 7T2472 (no spaces, "-", ".", or any other special character are allowed. If the vessel is too small to have an IRCS assigned, then "n/a" should be entered</v>
      </c>
    </row>
    <row r="29" spans="1:8" x14ac:dyDescent="0.2">
      <c r="A29" s="392"/>
      <c r="B29" s="392"/>
      <c r="C29" s="392"/>
      <c r="D29" s="419"/>
      <c r="E29" s="412"/>
      <c r="F29" s="203" t="str">
        <f>VLOOKUP("VesselNameCur",tblTranslation[],LangFieldID,FALSE)</f>
        <v>Current Name (Latin)</v>
      </c>
      <c r="G29" s="221" t="str">
        <f>VLOOKUP("VesselNameCur",tblTranslation[],6,FALSE)</f>
        <v>string</v>
      </c>
      <c r="H29" s="224" t="str">
        <f>VLOOKUP("VesselNameCur",tblTranslation[],LangNameID,FALSE)</f>
        <v>Please enter the current name of the vessel (all characters must be in Latin script). The use of characters in other alphabets can cause processing errors</v>
      </c>
    </row>
    <row r="30" spans="1:8" x14ac:dyDescent="0.2">
      <c r="A30" s="392"/>
      <c r="B30" s="392"/>
      <c r="C30" s="392"/>
      <c r="D30" s="419"/>
      <c r="E30" s="412"/>
      <c r="F30" s="203" t="str">
        <f>VLOOKUP("VesselNamePrv",tblTranslation[],LangFieldID,FALSE)</f>
        <v>Previous Name (Latin)</v>
      </c>
      <c r="G30" s="221" t="str">
        <f>VLOOKUP("VesselNamePrv",tblTranslation[],6,FALSE)</f>
        <v>string</v>
      </c>
      <c r="H30" s="224" t="str">
        <f>VLOOKUP("VesselNamePrv",tblTranslation[],LangNameID,FALSE)</f>
        <v>If the vessel had a different name previously, even when under a different flag, this should be reported</v>
      </c>
    </row>
    <row r="31" spans="1:8" x14ac:dyDescent="0.2">
      <c r="A31" s="392"/>
      <c r="B31" s="392"/>
      <c r="C31" s="392"/>
      <c r="D31" s="419"/>
      <c r="E31" s="412"/>
      <c r="F31" s="202" t="str">
        <f>VLOOKUP("FlagCurCd",tblTranslation[],LangFieldID,FALSE)</f>
        <v>Flag (Current)</v>
      </c>
      <c r="G31" s="221" t="str">
        <f>VLOOKUP("FlagCurCd",tblTranslation[],6,FALSE)</f>
        <v>ICCAT code</v>
      </c>
      <c r="H31" s="224" t="str">
        <f>VLOOKUP("FlagCurCd",tblTranslation[],LangNameID,FALSE)</f>
        <v>Select the flag (choose from available flag codes) under which the vessel is operating.</v>
      </c>
    </row>
    <row r="32" spans="1:8" ht="22.5" x14ac:dyDescent="0.2">
      <c r="A32" s="392"/>
      <c r="B32" s="392"/>
      <c r="C32" s="392"/>
      <c r="D32" s="419"/>
      <c r="E32" s="412"/>
      <c r="F32" s="202" t="str">
        <f>VLOOKUP("FlagPrvCd",tblTranslation[],LangFieldID,FALSE)</f>
        <v>Flag (Previous)</v>
      </c>
      <c r="G32" s="221" t="str">
        <f>VLOOKUP("FlagPrvCd",tblTranslation[],6,FALSE)</f>
        <v>ICCAT code</v>
      </c>
      <c r="H32" s="224" t="str">
        <f>VLOOKUP("FlagPrvCd",tblTranslation[],LangNameID,FALSE)</f>
        <v>If the vessel previously operated under a different flag (even with a different name) this should be reported. Select a code from the available flag codes. Failure to report previous name/previous flag can result in duplications and incoherencies both in the ICCAT data base and the CLAV</v>
      </c>
    </row>
    <row r="33" spans="1:8" ht="22.5" x14ac:dyDescent="0.2">
      <c r="A33" s="392"/>
      <c r="B33" s="392"/>
      <c r="C33" s="392"/>
      <c r="D33" s="419"/>
      <c r="E33" s="412" t="str">
        <f>VLOOKUP("D12",tblTranslation[],LangFieldID,FALSE)</f>
        <v>Ownership (CP01C)</v>
      </c>
      <c r="F33" s="202" t="str">
        <f>VLOOKUP("OwnerID",tblTranslation[],LangFieldID,FALSE)</f>
        <v>Owner ID</v>
      </c>
      <c r="G33" s="221" t="str">
        <f>VLOOKUP("OwnerID",tblTranslation[],6,FALSE)</f>
        <v>integer</v>
      </c>
      <c r="H33" s="224" t="str">
        <f>VLOOKUP("OwnerID",tblTranslation[],LangNameID,FALSE)</f>
        <v>Please enter the number which corresponds to the row in Form CP01-C which contains the information on the owner. If the same owner is being reported for several vessels, the information only needs to be entered once on form CP01-C, and the same number can be entered in this field for each vessel owned by that person/company</v>
      </c>
    </row>
    <row r="34" spans="1:8" x14ac:dyDescent="0.2">
      <c r="A34" s="392"/>
      <c r="B34" s="392"/>
      <c r="C34" s="392"/>
      <c r="D34" s="419"/>
      <c r="E34" s="412"/>
      <c r="F34" s="202" t="str">
        <f>VLOOKUP("OperatorID",tblTranslation[],LangFieldID,FALSE)</f>
        <v>Operator ID</v>
      </c>
      <c r="G34" s="221" t="str">
        <f>VLOOKUP("OperatorID",tblTranslation[],6,FALSE)</f>
        <v>integer</v>
      </c>
      <c r="H34" s="224" t="str">
        <f>VLOOKUP("OperatorID",tblTranslation[],LangNameID,FALSE)</f>
        <v>Please enter the number which corresponds to the row in Form CP01C which contains the information on the operator. This may be the same or different from the owner</v>
      </c>
    </row>
    <row r="35" spans="1:8" x14ac:dyDescent="0.2">
      <c r="A35" s="392"/>
      <c r="B35" s="392"/>
      <c r="C35" s="392"/>
      <c r="D35" s="419"/>
      <c r="E35" s="419" t="str">
        <f>VLOOKUP("D13",tblTranslation[],LangFieldID,FALSE)</f>
        <v xml:space="preserve">Characteristics </v>
      </c>
      <c r="F35" s="202" t="str">
        <f>VLOOKUP("IsscfvID",tblTranslation[],LangFieldID,FALSE)</f>
        <v>Vessel type (ISSCFV)</v>
      </c>
      <c r="G35" s="221" t="str">
        <f>VLOOKUP("IsscfvID",tblTranslation[],6,FALSE)</f>
        <v>ICCAT code</v>
      </c>
      <c r="H35" s="224" t="str">
        <f>VLOOKUP("IsscfvID",tblTranslation[],LangNameID,FALSE)</f>
        <v>Please check the code sheet for a list of valid 3 Alpha codes. Only one type can be selected for each vessel (choose from the available vessel type codes)</v>
      </c>
    </row>
    <row r="36" spans="1:8" x14ac:dyDescent="0.2">
      <c r="A36" s="392"/>
      <c r="B36" s="392"/>
      <c r="C36" s="392"/>
      <c r="D36" s="419"/>
      <c r="E36" s="419"/>
      <c r="F36" s="202" t="str">
        <f>VLOOKUP("IsscfgID",tblTranslation[],LangFieldID,FALSE)</f>
        <v>Gear type (ISSCFG)</v>
      </c>
      <c r="G36" s="221" t="str">
        <f>VLOOKUP("IsscfgID",tblTranslation[],6,FALSE)</f>
        <v>ICCAT code</v>
      </c>
      <c r="H36" s="224" t="str">
        <f>VLOOKUP("IsscfgID",tblTranslation[],LangNameID,FALSE)</f>
        <v>Please check the code sheet for a list of valid 3 Alpha codes. Only one type can be selected for each fishing gear (choose from the available fishing gear type codes)</v>
      </c>
    </row>
    <row r="37" spans="1:8" ht="22.5" x14ac:dyDescent="0.2">
      <c r="A37" s="392"/>
      <c r="B37" s="392"/>
      <c r="C37" s="392"/>
      <c r="D37" s="419"/>
      <c r="E37" s="419"/>
      <c r="F37" s="203" t="str">
        <f>VLOOKUP("LengthM",tblTranslation[],LangFieldID,FALSE)</f>
        <v>Length (m)</v>
      </c>
      <c r="G37" s="221" t="str">
        <f>VLOOKUP("LengthM",tblTranslation[],6,FALSE)</f>
        <v>float</v>
      </c>
      <c r="H37" s="224" t="str">
        <f>VLOOKUP("LengthM",tblTranslation[],LangNameID,FALSE)</f>
        <v>Length should be length overall, defined as the distance measured in a straight line between the foremost point of the bow and the aftermost point of the stern. Length should be limited to 1 decimal place (e.g. 23.9)</v>
      </c>
    </row>
    <row r="38" spans="1:8" ht="22.5" x14ac:dyDescent="0.2">
      <c r="A38" s="392"/>
      <c r="B38" s="392"/>
      <c r="C38" s="392"/>
      <c r="D38" s="419"/>
      <c r="E38" s="419"/>
      <c r="F38" s="202" t="str">
        <f>VLOOKUP("LenType",tblTranslation[],LangFieldID,FALSE)</f>
        <v>Length type</v>
      </c>
      <c r="G38" s="221" t="str">
        <f>VLOOKUP("LenType",tblTranslation[],6,FALSE)</f>
        <v>ICCAT code</v>
      </c>
      <c r="H38" s="224" t="str">
        <f>VLOOKUP("LenType",tblTranslation[],LangNameID,FALSE)</f>
        <v>Two codes are available: LOA (length overall) and OTH (other). The length type should be length overall (LOA). If OTH is reported, an explanation should accompany the submission</v>
      </c>
    </row>
    <row r="39" spans="1:8" x14ac:dyDescent="0.2">
      <c r="A39" s="392"/>
      <c r="B39" s="392"/>
      <c r="C39" s="392"/>
      <c r="D39" s="419"/>
      <c r="E39" s="419"/>
      <c r="F39" s="203" t="str">
        <f>VLOOKUP("Tonnage",tblTranslation[],LangFieldID,FALSE)</f>
        <v>Tonnage</v>
      </c>
      <c r="G39" s="221" t="str">
        <f>VLOOKUP("Tonnage",tblTranslation[],6,FALSE)</f>
        <v>float</v>
      </c>
      <c r="H39" s="224" t="str">
        <f>VLOOKUP("Tonnage",tblTranslation[],LangNameID,FALSE)</f>
        <v>This can be GRT or GT. Other types of tonnage are not acceptable. Tonnage should be limited to 1 decimal place (e.g. 159.6)</v>
      </c>
    </row>
    <row r="40" spans="1:8" x14ac:dyDescent="0.2">
      <c r="A40" s="392"/>
      <c r="B40" s="392"/>
      <c r="C40" s="392"/>
      <c r="D40" s="419"/>
      <c r="E40" s="419"/>
      <c r="F40" s="202" t="str">
        <f>VLOOKUP("TonType",tblTranslation[],LangFieldID,FALSE)</f>
        <v>Tonnage type</v>
      </c>
      <c r="G40" s="221" t="str">
        <f>VLOOKUP("TonType",tblTranslation[],6,FALSE)</f>
        <v>ICCAT code</v>
      </c>
      <c r="H40" s="224" t="str">
        <f>VLOOKUP("TonType",tblTranslation[],LangNameID,FALSE)</f>
        <v>Gross Tonnage (GT) or GRT (Gross registered tonnage). Select the tonnage type (choose from the available tonnage type codes)</v>
      </c>
    </row>
    <row r="41" spans="1:8" x14ac:dyDescent="0.2">
      <c r="A41" s="392"/>
      <c r="B41" s="392"/>
      <c r="C41" s="392"/>
      <c r="D41" s="419"/>
      <c r="E41" s="412" t="str">
        <f>VLOOKUP("D14",tblTranslation[],LangFieldID,FALSE)</f>
        <v>For Carrier vessels</v>
      </c>
      <c r="F41" s="203" t="str">
        <f>VLOOKUP("CarCapacity",tblTranslation[],LangFieldID,FALSE)</f>
        <v xml:space="preserve">Carrying Capacity </v>
      </c>
      <c r="G41" s="221" t="str">
        <f>VLOOKUP("CarCapacity",tblTranslation[],6,FALSE)</f>
        <v>float</v>
      </c>
      <c r="H41" s="224" t="str">
        <f>VLOOKUP("CarCapacity",tblTranslation[],LangNameID,FALSE)</f>
        <v>Carrying capacity may be in cubic feet (f3) of dead weight volume (code cf ) or in cubic metres (m3) - dead weight volume (code m3)</v>
      </c>
    </row>
    <row r="42" spans="1:8" x14ac:dyDescent="0.2">
      <c r="A42" s="392"/>
      <c r="B42" s="392"/>
      <c r="C42" s="392"/>
      <c r="D42" s="419"/>
      <c r="E42" s="412"/>
      <c r="F42" s="202" t="str">
        <f>VLOOKUP("CCapUnitCd",tblTranslation[],LangFieldID,FALSE)</f>
        <v>Carr. Capacity unit</v>
      </c>
      <c r="G42" s="221" t="str">
        <f>VLOOKUP("CCapUnitCd",tblTranslation[],6,FALSE)</f>
        <v>ICCAT code</v>
      </c>
      <c r="H42" s="224" t="str">
        <f>VLOOKUP("CCapUnitCd",tblTranslation[],LangNameID,FALSE)</f>
        <v>Please select which of the units has been used to report the capacity (choose from the available unit type codes)</v>
      </c>
    </row>
    <row r="43" spans="1:8" x14ac:dyDescent="0.2">
      <c r="A43" s="392"/>
      <c r="B43" s="392"/>
      <c r="C43" s="392"/>
      <c r="D43" s="417" t="str">
        <f>VLOOKUP("D20",tblTranslation[],LangFieldID,FALSE)</f>
        <v>Optional information (vessels)</v>
      </c>
      <c r="E43" s="418" t="str">
        <f>VLOOKUP("D21",tblTranslation[],LangFieldID,FALSE)</f>
        <v>Various</v>
      </c>
      <c r="F43" s="204" t="str">
        <f>VLOOKUP("ExternalMark",tblTranslation[],LangFieldID,FALSE)</f>
        <v>External mark</v>
      </c>
      <c r="G43" s="221" t="str">
        <f>VLOOKUP("ExternalMark",tblTranslation[],6,FALSE)</f>
        <v>string</v>
      </c>
      <c r="H43" s="224" t="str">
        <f>VLOOKUP("ExternalMark",tblTranslation[],LangNameID,FALSE)</f>
        <v>If there is an external mark different from other characteristics, please insert</v>
      </c>
    </row>
    <row r="44" spans="1:8" x14ac:dyDescent="0.2">
      <c r="A44" s="392"/>
      <c r="B44" s="392"/>
      <c r="C44" s="392"/>
      <c r="D44" s="417"/>
      <c r="E44" s="418"/>
      <c r="F44" s="204" t="str">
        <f>VLOOKUP("YrBuilt",tblTranslation[],LangFieldID,FALSE)</f>
        <v>Year Built</v>
      </c>
      <c r="G44" s="221" t="str">
        <f>VLOOKUP("YrBuilt",tblTranslation[],6,FALSE)</f>
        <v>integer</v>
      </c>
      <c r="H44" s="224" t="str">
        <f>VLOOKUP("YrBuilt",tblTranslation[],LangNameID,FALSE)</f>
        <v>Insert the year in which the vessel was built</v>
      </c>
    </row>
    <row r="45" spans="1:8" ht="22.5" x14ac:dyDescent="0.2">
      <c r="A45" s="392"/>
      <c r="B45" s="392"/>
      <c r="C45" s="392"/>
      <c r="D45" s="417"/>
      <c r="E45" s="418"/>
      <c r="F45" s="204" t="str">
        <f>VLOOKUP("ShipyNat",tblTranslation[],LangFieldID,FALSE)</f>
        <v>Shipyard 
Flag</v>
      </c>
      <c r="G45" s="221" t="str">
        <f>VLOOKUP("ShipyNat",tblTranslation[],6,FALSE)</f>
        <v>ICCAT code</v>
      </c>
      <c r="H45" s="224" t="str">
        <f>VLOOKUP("ShipyNat",tblTranslation[],LangNameID,FALSE)</f>
        <v>Select the country/entity in which the vessel was built (choose from the available flag codes)</v>
      </c>
    </row>
    <row r="46" spans="1:8" x14ac:dyDescent="0.2">
      <c r="A46" s="392"/>
      <c r="B46" s="392"/>
      <c r="C46" s="392"/>
      <c r="D46" s="417"/>
      <c r="E46" s="418"/>
      <c r="F46" s="204" t="str">
        <f>VLOOKUP("HomePort",tblTranslation[],LangFieldID,FALSE)</f>
        <v>Home port</v>
      </c>
      <c r="G46" s="221" t="str">
        <f>VLOOKUP("HomePort",tblTranslation[],6,FALSE)</f>
        <v>string</v>
      </c>
      <c r="H46" s="224" t="str">
        <f>VLOOKUP("HomePort",tblTranslation[],LangNameID,FALSE)</f>
        <v>Home port is the port at which the vessel is based and may differ from port of registry</v>
      </c>
    </row>
    <row r="47" spans="1:8" ht="22.5" x14ac:dyDescent="0.2">
      <c r="A47" s="392"/>
      <c r="B47" s="392"/>
      <c r="C47" s="392"/>
      <c r="D47" s="417"/>
      <c r="E47" s="418"/>
      <c r="F47" s="204" t="str">
        <f>VLOOKUP("DepthM",tblTranslation[],LangFieldID,FALSE)</f>
        <v>Depth 
(m)</v>
      </c>
      <c r="G47" s="221" t="str">
        <f>VLOOKUP("DepthM",tblTranslation[],6,FALSE)</f>
        <v>float</v>
      </c>
      <c r="H47" s="224" t="str">
        <f>VLOOKUP("DepthM",tblTranslation[],LangNameID,FALSE)</f>
        <v>The vessel's depth (in metres, to 1 decimal place) is measured vertically from the lowest point of the hull, ordinarily from the bottom of the keel, to the side of any deck that you may choose as a reference point (preferably upperdeck amidship)</v>
      </c>
    </row>
    <row r="48" spans="1:8" x14ac:dyDescent="0.2">
      <c r="A48" s="392"/>
      <c r="B48" s="392"/>
      <c r="C48" s="392"/>
      <c r="D48" s="417"/>
      <c r="E48" s="418"/>
      <c r="F48" s="204" t="str">
        <f>VLOOKUP("EngineHP",tblTranslation[],LangFieldID,FALSE)</f>
        <v>Engine Power (HP)</v>
      </c>
      <c r="G48" s="221" t="str">
        <f>VLOOKUP("EngineHP",tblTranslation[],6,FALSE)</f>
        <v>float</v>
      </c>
      <c r="H48" s="224" t="str">
        <f>VLOOKUP("EngineHP",tblTranslation[],LangNameID,FALSE)</f>
        <v>Insert horse power of the engine</v>
      </c>
    </row>
    <row r="49" spans="1:8" ht="22.5" x14ac:dyDescent="0.2">
      <c r="A49" s="392"/>
      <c r="B49" s="392"/>
      <c r="C49" s="392"/>
      <c r="D49" s="417"/>
      <c r="E49" s="418"/>
      <c r="F49" s="204" t="str">
        <f>VLOOKUP("VMSSysCd",tblTranslation[],LangFieldID,FALSE)</f>
        <v>VMS 
installed</v>
      </c>
      <c r="G49" s="221" t="str">
        <f>VLOOKUP("VMSSysCd",tblTranslation[],6,FALSE)</f>
        <v>ICCAT code</v>
      </c>
      <c r="H49" s="224" t="str">
        <f>VLOOKUP("VMSSysCd",tblTranslation[],LangNameID,FALSE)</f>
        <v>Type of VMS system installed. Please see code sheet and choose an option. If no VMS is installed, use NO-VMS</v>
      </c>
    </row>
    <row r="50" spans="1:8" x14ac:dyDescent="0.2">
      <c r="A50" s="392"/>
      <c r="B50" s="392" t="str">
        <f>VLOOKUP("T04",tblTranslation[],LangFieldID,FALSE)</f>
        <v>CP01B</v>
      </c>
      <c r="C50" s="388" t="str">
        <f>VLOOKUP("H01",tblTranslation[],LangFieldID,FALSE)</f>
        <v>Header</v>
      </c>
      <c r="D50" s="389"/>
      <c r="E50" s="389"/>
      <c r="F50" s="389"/>
      <c r="G50" s="195" t="str">
        <f>VLOOKUP("H01",tblTranslation[],6,FALSE)</f>
        <v>(auto)</v>
      </c>
      <c r="H50" s="189" t="str">
        <f>VLOOKUP("H01",tblTranslation[],LangNameID,FALSE)</f>
        <v>(automatic completion obtained from CP01A)</v>
      </c>
    </row>
    <row r="51" spans="1:8" ht="22.5" x14ac:dyDescent="0.2">
      <c r="A51" s="392"/>
      <c r="B51" s="392"/>
      <c r="C51" s="392" t="str">
        <f>VLOOKUP("D00",tblTranslation[],LangFieldID,FALSE)</f>
        <v>Detail</v>
      </c>
      <c r="D51" s="408" t="str">
        <f>VLOOKUP("D40",tblTranslation[],LangFieldID,FALSE)</f>
        <v>Authorized periods for inclusion on the ICCAT vessel registry</v>
      </c>
      <c r="E51" s="412" t="str">
        <f>VLOOKUP("D30",tblTranslation[],LangFieldID,FALSE)</f>
        <v>Identification</v>
      </c>
      <c r="F51" s="141" t="str">
        <f>VLOOKUP("ICCATSerialNo",tblTranslation[],LangFieldID,FALSE)</f>
        <v>ICCAT Serial Number</v>
      </c>
      <c r="G51" s="233" t="str">
        <f>VLOOKUP("ICCATSerialNo",tblTranslation[],6,FALSE)</f>
        <v>ICCAT code</v>
      </c>
      <c r="H51" s="227" t="str">
        <f>VLOOKUP("ICCATSerialNo",tblTranslation[],LangNameID,FALSE)</f>
        <v>If the vessel has previously been registered in the ICCAT Record of Vessels and has therefore been assigned an ICCAT number, this number must be cited. Please check the list of inactive vessels to determine if a number has previously been assigned. If the vessel is being registered with ICCAT for the first time, please leave this field blank</v>
      </c>
    </row>
    <row r="52" spans="1:8" x14ac:dyDescent="0.2">
      <c r="A52" s="392"/>
      <c r="B52" s="392"/>
      <c r="C52" s="392"/>
      <c r="D52" s="408"/>
      <c r="E52" s="412"/>
      <c r="F52" s="203" t="str">
        <f>VLOOKUP("NatRegNo",tblTranslation[],LangFieldID,FALSE)</f>
        <v>Nat. Registry Nº (NRN)</v>
      </c>
      <c r="G52" s="234" t="str">
        <f>VLOOKUP("NatRegNo",tblTranslation[],6,FALSE)</f>
        <v>string</v>
      </c>
      <c r="H52" s="222" t="str">
        <f>VLOOKUP("NatRegNo",tblTranslation[],LangNameID,FALSE)</f>
        <v>The national registry number as it appears in the registry of your CPC</v>
      </c>
    </row>
    <row r="53" spans="1:8" ht="22.5" x14ac:dyDescent="0.2">
      <c r="A53" s="392"/>
      <c r="B53" s="392"/>
      <c r="C53" s="392"/>
      <c r="D53" s="408"/>
      <c r="E53" s="413" t="str">
        <f>VLOOKUP("D41",tblTranslation[],LangFieldID,FALSE)</f>
        <v>Positive list (LOA &gt;= 20 meters) AND associated authorisations (Lists)</v>
      </c>
      <c r="F53" s="205" t="str">
        <f>VLOOKUP("P20mDtFr",tblTranslation[],LangFieldID,FALSE)</f>
        <v>From (date)</v>
      </c>
      <c r="G53" s="234" t="str">
        <f>VLOOKUP("P20mDtFr",tblTranslation[],6,FALSE)</f>
        <v>date</v>
      </c>
      <c r="H53" s="222" t="str">
        <f>VLOOKUP("P20mDtFr",tblTranslation[],LangNameID,FALSE)</f>
        <v>If the vessel is 20m or greater and is not a carrier vessel, it must be included on this list. Please insert the start date of the authorisation (which cannot be more than 45 days before date of submission of the form)</v>
      </c>
    </row>
    <row r="54" spans="1:8" x14ac:dyDescent="0.2">
      <c r="A54" s="392"/>
      <c r="B54" s="392"/>
      <c r="C54" s="392"/>
      <c r="D54" s="408"/>
      <c r="E54" s="413"/>
      <c r="F54" s="205" t="str">
        <f>VLOOKUP("P20mDtTo",tblTranslation[],LangFieldID,FALSE)</f>
        <v xml:space="preserve">To (date) </v>
      </c>
      <c r="G54" s="234" t="str">
        <f>VLOOKUP("P20mDtTo",tblTranslation[],6,FALSE)</f>
        <v>date</v>
      </c>
      <c r="H54" s="222" t="str">
        <f>VLOOKUP("P20mDtTo",tblTranslation[],LangNameID,FALSE)</f>
        <v>Please insert the date of end of the authorisation</v>
      </c>
    </row>
    <row r="55" spans="1:8" ht="33.75" x14ac:dyDescent="0.2">
      <c r="A55" s="392"/>
      <c r="B55" s="392"/>
      <c r="C55" s="392"/>
      <c r="D55" s="408"/>
      <c r="E55" s="413"/>
      <c r="F55" s="206" t="str">
        <f>VLOOKUP("P20mRM",tblTranslation[],LangFieldID,FALSE)</f>
        <v>Renewal (mode)</v>
      </c>
      <c r="G55" s="221" t="str">
        <f>VLOOKUP("P20mRM",tblTranslation[],6,FALSE)</f>
        <v>ICCAT code</v>
      </c>
      <c r="H55" s="224" t="str">
        <f>VLOOKUP("P20mRM",tblTranslation[],LangNameID,FALSE)</f>
        <v>If the vessel authorisation does not expire each year, enter AUTO. This will automatically renew the authorisation for your vessel on 1 January each year. If the vessel authorisation cannot be renewed automatically enter EXPL. The authorisation will expire at the end date, and if not renewed by the CPC, the vessel will be deactivated  from the ICCAT Record after 45 days and sent to the inactive list</v>
      </c>
    </row>
    <row r="56" spans="1:8" ht="22.5" x14ac:dyDescent="0.2">
      <c r="A56" s="392"/>
      <c r="B56" s="392"/>
      <c r="C56" s="392"/>
      <c r="D56" s="408"/>
      <c r="E56" s="413"/>
      <c r="F56" s="207" t="str">
        <f>VLOOKUP("SWOn",tblTranslation[],LangFieldID,FALSE)</f>
        <v>SWO-N 
(X)</v>
      </c>
      <c r="G56" s="220" t="str">
        <f>VLOOKUP("SWOn",tblTranslation[],6,FALSE)</f>
        <v>(fixed)</v>
      </c>
      <c r="H56" s="222" t="str">
        <f>VLOOKUP("SWOn",tblTranslation[],LangNameID,FALSE)</f>
        <v>If the vessel 20m or greater is authorised to catch northern swordfish, please mark with an X. If not, please leave blank</v>
      </c>
    </row>
    <row r="57" spans="1:8" ht="22.5" x14ac:dyDescent="0.2">
      <c r="A57" s="392"/>
      <c r="B57" s="392"/>
      <c r="C57" s="392"/>
      <c r="D57" s="408"/>
      <c r="E57" s="413"/>
      <c r="F57" s="207" t="str">
        <f>VLOOKUP("SWOs",tblTranslation[],LangFieldID,FALSE)</f>
        <v>SWO-S 
(X)</v>
      </c>
      <c r="G57" s="220" t="str">
        <f>VLOOKUP("SWOs",tblTranslation[],6,FALSE)</f>
        <v>(fixed)</v>
      </c>
      <c r="H57" s="222" t="str">
        <f>VLOOKUP("SWOs",tblTranslation[],LangNameID,FALSE)</f>
        <v>If the vessel 20m or greater is authorised to catch southern swordfish, please mark with an X. If not, please leave blank</v>
      </c>
    </row>
    <row r="58" spans="1:8" ht="22.5" x14ac:dyDescent="0.2">
      <c r="A58" s="392"/>
      <c r="B58" s="392"/>
      <c r="C58" s="392"/>
      <c r="D58" s="408"/>
      <c r="E58" s="413"/>
      <c r="F58" s="207" t="str">
        <f>VLOOKUP("ALBn",tblTranslation[],LangFieldID,FALSE)</f>
        <v>ALB-N 
(X)</v>
      </c>
      <c r="G58" s="220" t="str">
        <f>VLOOKUP("ALBn",tblTranslation[],6,FALSE)</f>
        <v>(fixed)</v>
      </c>
      <c r="H58" s="222" t="str">
        <f>VLOOKUP("ALBn",tblTranslation[],LangNameID,FALSE)</f>
        <v>If the vessel 20m or greater is authorised to catch northern albacore, please mark with an X. If not, please leave blank</v>
      </c>
    </row>
    <row r="59" spans="1:8" ht="22.5" x14ac:dyDescent="0.2">
      <c r="A59" s="392"/>
      <c r="B59" s="392"/>
      <c r="C59" s="392"/>
      <c r="D59" s="408"/>
      <c r="E59" s="413"/>
      <c r="F59" s="207" t="str">
        <f>VLOOKUP("ALBs",tblTranslation[],LangFieldID,FALSE)</f>
        <v>ALB-S 
(X)</v>
      </c>
      <c r="G59" s="220" t="s">
        <v>1304</v>
      </c>
      <c r="H59" s="222" t="str">
        <f>VLOOKUP("ALBs",tblTranslation[],LangNameID,FALSE)</f>
        <v>If the vessel 20m or greater is authorised to catch southern albacore, please mark with an X. If not, please leave blank</v>
      </c>
    </row>
    <row r="60" spans="1:8" ht="22.5" x14ac:dyDescent="0.2">
      <c r="A60" s="392"/>
      <c r="B60" s="392"/>
      <c r="C60" s="392"/>
      <c r="D60" s="408"/>
      <c r="E60" s="404" t="str">
        <f>VLOOKUP("D42",tblTranslation[],LangFieldID,FALSE)</f>
        <v>TROP vessels</v>
      </c>
      <c r="F60" s="208" t="str">
        <f>VLOOKUP("TropDtFr",tblTranslation[],LangFieldID,FALSE)</f>
        <v>From (date)</v>
      </c>
      <c r="G60" s="234" t="str">
        <f>VLOOKUP("TropDtFr",tblTranslation[],6,FALSE)</f>
        <v>date</v>
      </c>
      <c r="H60" s="222" t="str">
        <f>VLOOKUP("TropDtFr",tblTranslation[],LangNameID,FALSE)</f>
        <v>If the vessel is authorised to catch bigeye, yellowfin and/or skipjack, or to operate as a support vessel in such fisheries, please enter the start date of such authorisation. Start date cannot be more than 45 days before submission of form</v>
      </c>
    </row>
    <row r="61" spans="1:8" x14ac:dyDescent="0.2">
      <c r="A61" s="392"/>
      <c r="B61" s="392"/>
      <c r="C61" s="392"/>
      <c r="D61" s="408"/>
      <c r="E61" s="404"/>
      <c r="F61" s="208" t="str">
        <f>VLOOKUP("TropDtTo",tblTranslation[],LangFieldID,FALSE)</f>
        <v xml:space="preserve">To (date) </v>
      </c>
      <c r="G61" s="234" t="str">
        <f>VLOOKUP("TropDtTo",tblTranslation[],6,FALSE)</f>
        <v>date</v>
      </c>
      <c r="H61" s="222" t="str">
        <f>VLOOKUP("TropDtTo",tblTranslation[],LangNameID,FALSE)</f>
        <v>Please insert the date of end of the authorisation (for BET, YFT, SKJ)</v>
      </c>
    </row>
    <row r="62" spans="1:8" ht="33.75" x14ac:dyDescent="0.2">
      <c r="A62" s="392"/>
      <c r="B62" s="392"/>
      <c r="C62" s="392"/>
      <c r="D62" s="408"/>
      <c r="E62" s="404"/>
      <c r="F62" s="209" t="str">
        <f>VLOOKUP("TropRM",tblTranslation[],LangFieldID,FALSE)</f>
        <v>Renewal (mode)</v>
      </c>
      <c r="G62" s="221" t="str">
        <f>VLOOKUP("TropRM",tblTranslation[],6,FALSE)</f>
        <v>ICCAT code</v>
      </c>
      <c r="H62" s="224" t="str">
        <f>VLOOKUP("TropRM",tblTranslation[],LangNameID,FALSE)</f>
        <v>If the vessel authorisation does not expire each year, enter AUTO. This will automatically renew the authorisation for your vessel on this list on 1 January each year. If the vessel authorisation cannot be renewed automatically enter EXPL. The authorisation will expire at the end date, and if not renewed by the CPC, the vessel will be removed from this list after 45 days</v>
      </c>
    </row>
    <row r="63" spans="1:8" ht="33.75" x14ac:dyDescent="0.2">
      <c r="A63" s="392"/>
      <c r="B63" s="392"/>
      <c r="C63" s="392"/>
      <c r="D63" s="408"/>
      <c r="E63" s="409" t="str">
        <f>VLOOKUP("D43",tblTranslation[],LangFieldID,FALSE)</f>
        <v>SWO-MED vessels</v>
      </c>
      <c r="F63" s="187" t="str">
        <f>VLOOKUP("SWOmDtFr",tblTranslation[],LangFieldID,FALSE)</f>
        <v>From (date)</v>
      </c>
      <c r="G63" s="234" t="str">
        <f>VLOOKUP("SWOmDtFr",tblTranslation[],6,FALSE)</f>
        <v>date</v>
      </c>
      <c r="H63" s="222" t="str">
        <f>VLOOKUP("SWOmDtFr",tblTranslation[],LangNameID,FALSE)</f>
        <v>For any vessel, regardless of length, authorised to catch Mediterranean swordfish. Please enter start date for authorisation. Lists must be provided annually before 15 January. Recreational vessels may be reported separately 15 days before the start of their authorisation (CP01A mandatory field: Name of vessel, National register number, ICCAT Record Number (if any), Previous name (if any), Length overall, and, Name/address of owner(s) and operator(s))</v>
      </c>
    </row>
    <row r="64" spans="1:8" x14ac:dyDescent="0.2">
      <c r="A64" s="392"/>
      <c r="B64" s="392"/>
      <c r="C64" s="392"/>
      <c r="D64" s="408"/>
      <c r="E64" s="410"/>
      <c r="F64" s="187" t="str">
        <f>VLOOKUP("SWOmDtTo",tblTranslation[],LangFieldID,FALSE)</f>
        <v xml:space="preserve">To (date) </v>
      </c>
      <c r="G64" s="234" t="str">
        <f>VLOOKUP("SWOmDtTo",tblTranslation[],6,FALSE)</f>
        <v>date</v>
      </c>
      <c r="H64" s="222" t="str">
        <f>VLOOKUP("SWOmDtTo",tblTranslation[],LangNameID,FALSE)</f>
        <v>Please insert the end date for authoriation on the SWO-MED list</v>
      </c>
    </row>
    <row r="65" spans="1:8" ht="22.5" x14ac:dyDescent="0.2">
      <c r="A65" s="392"/>
      <c r="B65" s="392"/>
      <c r="C65" s="392"/>
      <c r="D65" s="408"/>
      <c r="E65" s="411" t="str">
        <f>VLOOKUP("D44",tblTranslation[],LangFieldID,FALSE)</f>
        <v>ALB-MED vessels</v>
      </c>
      <c r="F65" s="142" t="str">
        <f>VLOOKUP("ALBmDtFr",tblTranslation[],LangFieldID,FALSE)</f>
        <v>From (date)</v>
      </c>
      <c r="G65" s="233" t="str">
        <f>VLOOKUP("ALBmDtFr",tblTranslation[],6,FALSE)</f>
        <v>date</v>
      </c>
      <c r="H65" s="227" t="str">
        <f>VLOOKUP("ALBmDtFr",tblTranslation[],LangNameID,FALSE)</f>
        <v>For any vessel, regardless of length, authorised to catch Mediterranean albacore. Please enter start date for authorisation. Lists must be provided annually before 15 March</v>
      </c>
    </row>
    <row r="66" spans="1:8" x14ac:dyDescent="0.2">
      <c r="A66" s="392"/>
      <c r="B66" s="392"/>
      <c r="C66" s="392"/>
      <c r="D66" s="408"/>
      <c r="E66" s="411"/>
      <c r="F66" s="210" t="str">
        <f>VLOOKUP("ALBmDtTo",tblTranslation[],LangFieldID,FALSE)</f>
        <v xml:space="preserve">To (date) </v>
      </c>
      <c r="G66" s="234" t="str">
        <f>VLOOKUP("ALBmDtTo",tblTranslation[],6,FALSE)</f>
        <v>date</v>
      </c>
      <c r="H66" s="222" t="str">
        <f>VLOOKUP("ALBmDtTo",tblTranslation[],LangNameID,FALSE)</f>
        <v>Please insert the end date for authoriation on the ALB-MED list</v>
      </c>
    </row>
    <row r="67" spans="1:8" ht="33.75" x14ac:dyDescent="0.2">
      <c r="A67" s="392"/>
      <c r="B67" s="392"/>
      <c r="C67" s="392"/>
      <c r="D67" s="408"/>
      <c r="E67" s="405" t="str">
        <f>VLOOKUP("D45",tblTranslation[],LangFieldID,FALSE)</f>
        <v>Carrier vessels</v>
      </c>
      <c r="F67" s="211" t="str">
        <f>VLOOKUP("CarrDtFr",tblTranslation[],LangFieldID,FALSE)</f>
        <v>From (date)</v>
      </c>
      <c r="G67" s="234" t="str">
        <f>VLOOKUP("CarrDtFr",tblTranslation[],6,FALSE)</f>
        <v>date</v>
      </c>
      <c r="H67" s="222" t="str">
        <f>VLOOKUP("CarrDtFr",tblTranslation[],LangNameID,FALSE)</f>
        <v>Please insert the start date of the authorisation for the carrier vessels authorised to receive transhipments of ICCAT species either at-sea or in-port. Lists must be sent each calendar year, but no deadline is specified. Carrier vessels may not receive transhipments of ICCAT species until they appear on the List of Carrier Vessels on the ICCAT Record</v>
      </c>
    </row>
    <row r="68" spans="1:8" x14ac:dyDescent="0.2">
      <c r="A68" s="392"/>
      <c r="B68" s="392"/>
      <c r="C68" s="392"/>
      <c r="D68" s="408"/>
      <c r="E68" s="405"/>
      <c r="F68" s="211" t="str">
        <f>VLOOKUP("CarrDtTo",tblTranslation[],LangFieldID,FALSE)</f>
        <v xml:space="preserve">To (date) </v>
      </c>
      <c r="G68" s="234" t="str">
        <f>VLOOKUP("CarrDtTo",tblTranslation[],6,FALSE)</f>
        <v>date</v>
      </c>
      <c r="H68" s="222" t="str">
        <f>VLOOKUP("CarrDtTo",tblTranslation[],LangNameID,FALSE)</f>
        <v>Insert the date of the end of the authorisation as an ICCAT carrier vessel</v>
      </c>
    </row>
    <row r="69" spans="1:8" ht="33.75" x14ac:dyDescent="0.2">
      <c r="A69" s="392"/>
      <c r="B69" s="392"/>
      <c r="C69" s="392"/>
      <c r="D69" s="408"/>
      <c r="E69" s="406" t="str">
        <f>VLOOKUP("D46",tblTranslation[],LangFieldID,FALSE)</f>
        <v>BFT-E Catching Vessels</v>
      </c>
      <c r="F69" s="212" t="str">
        <f>VLOOKUP("BFEcDtFr",tblTranslation[],LangFieldID,FALSE)</f>
        <v>From (date)</v>
      </c>
      <c r="G69" s="234" t="str">
        <f>VLOOKUP("BFEcDtFr",tblTranslation[],6,FALSE)</f>
        <v>date</v>
      </c>
      <c r="H69" s="222" t="str">
        <f>VLOOKUP("BFEcDtFr",tblTranslation[],LangNameID,FALSE)</f>
        <v>For all eastern Atlantic and Mediterranean catching vessels, regardless of length. Please insert the start date of authorisation of the vessel. Lists should be submitted annually, and at least 15 days before the start of the authorisation. Authorisation periods should be in accordance with the open seasons stipulated in the current Recommendation on BFT-E</v>
      </c>
    </row>
    <row r="70" spans="1:8" x14ac:dyDescent="0.2">
      <c r="A70" s="392"/>
      <c r="B70" s="392"/>
      <c r="C70" s="392"/>
      <c r="D70" s="408"/>
      <c r="E70" s="406"/>
      <c r="F70" s="212" t="str">
        <f>VLOOKUP("BFEcDtTo",tblTranslation[],LangFieldID,FALSE)</f>
        <v xml:space="preserve">To (date) </v>
      </c>
      <c r="G70" s="234" t="str">
        <f>VLOOKUP("BFEcDtTo",tblTranslation[],6,FALSE)</f>
        <v>date</v>
      </c>
      <c r="H70" s="222" t="str">
        <f>VLOOKUP("BFEcDtTo",tblTranslation[],LangNameID,FALSE)</f>
        <v>Insert the date of the end of the authorisation as an ICCAT BFT-E catching vessel</v>
      </c>
    </row>
    <row r="71" spans="1:8" ht="22.5" x14ac:dyDescent="0.2">
      <c r="A71" s="392"/>
      <c r="B71" s="392"/>
      <c r="C71" s="392"/>
      <c r="D71" s="408"/>
      <c r="E71" s="406"/>
      <c r="F71" s="213" t="str">
        <f>VLOOKUP("BFEcFisTyp",tblTranslation[],LangFieldID,FALSE)</f>
        <v>Fishery 
type</v>
      </c>
      <c r="G71" s="221" t="str">
        <f>VLOOKUP("BFEcFisTyp",tblTranslation[],6,FALSE)</f>
        <v>ICCAT code</v>
      </c>
      <c r="H71" s="224" t="str">
        <f>VLOOKUP("BFEcFisTyp",tblTranslation[],LangNameID,FALSE)</f>
        <v>Indicate whether fishery is artisinal, commercial or recreational. Please see Codes sheet for options available</v>
      </c>
    </row>
    <row r="72" spans="1:8" x14ac:dyDescent="0.2">
      <c r="A72" s="392"/>
      <c r="B72" s="392"/>
      <c r="C72" s="392"/>
      <c r="D72" s="408"/>
      <c r="E72" s="406"/>
      <c r="F72" s="213" t="str">
        <f>VLOOKUP("BFEcFisAre",tblTranslation[],LangFieldID,FALSE)</f>
        <v>Fishing area</v>
      </c>
      <c r="G72" s="221" t="str">
        <f>VLOOKUP("BFEcFisAre",tblTranslation[],6,FALSE)</f>
        <v>ICCAT code</v>
      </c>
      <c r="H72" s="224" t="str">
        <f>VLOOKUP("BFEcFisAre",tblTranslation[],LangNameID,FALSE)</f>
        <v>Indicate the area in which the vessel is authorised to fish, using one of the options in the Codes sheet</v>
      </c>
    </row>
    <row r="73" spans="1:8" x14ac:dyDescent="0.2">
      <c r="A73" s="392"/>
      <c r="B73" s="392"/>
      <c r="C73" s="392"/>
      <c r="D73" s="408"/>
      <c r="E73" s="406"/>
      <c r="F73" s="212" t="str">
        <f>VLOOKUP("BFEcAQuoKG",tblTranslation[],LangFieldID,FALSE)</f>
        <v>Assigned quota (kg)</v>
      </c>
      <c r="G73" s="234" t="str">
        <f>VLOOKUP("BFEcAQuoKG",tblTranslation[],6,FALSE)</f>
        <v>integer</v>
      </c>
      <c r="H73" s="222" t="str">
        <f>VLOOKUP("BFEcAQuoKG",tblTranslation[],LangNameID,FALSE)</f>
        <v>Show the quota (in kilos) assigned to the vessel for the current fishing year. Quantities should be limited to 1 decimal place</v>
      </c>
    </row>
    <row r="74" spans="1:8" ht="22.5" x14ac:dyDescent="0.2">
      <c r="A74" s="392"/>
      <c r="B74" s="392"/>
      <c r="C74" s="392"/>
      <c r="D74" s="408"/>
      <c r="E74" s="407" t="str">
        <f>VLOOKUP("D47",tblTranslation[],LangFieldID,FALSE)</f>
        <v>BFT-E Other Vessels</v>
      </c>
      <c r="F74" s="214" t="str">
        <f>VLOOKUP("BFEoDtFr",tblTranslation[],LangFieldID,FALSE)</f>
        <v>From (date)</v>
      </c>
      <c r="G74" s="234" t="str">
        <f>VLOOKUP("BFEoDtFr",tblTranslation[],6,FALSE)</f>
        <v>date</v>
      </c>
      <c r="H74" s="222" t="str">
        <f>VLOOKUP("BFEoDtFr",tblTranslation[],LangNameID,FALSE)</f>
        <v>Insert the start date of authoristion of towing, support, auxiliary vessels, regardless of size. Lists must be submitted annually at least 15 days before the start of authorisations</v>
      </c>
    </row>
    <row r="75" spans="1:8" x14ac:dyDescent="0.2">
      <c r="A75" s="392"/>
      <c r="B75" s="392"/>
      <c r="C75" s="392"/>
      <c r="D75" s="408"/>
      <c r="E75" s="407"/>
      <c r="F75" s="214" t="str">
        <f>VLOOKUP("BFEoDttO",tblTranslation[],LangFieldID,FALSE)</f>
        <v xml:space="preserve">To (date) </v>
      </c>
      <c r="G75" s="234" t="str">
        <f>VLOOKUP("BFEoDttO",tblTranslation[],6,FALSE)</f>
        <v>date</v>
      </c>
      <c r="H75" s="222" t="str">
        <f>VLOOKUP("BFEoDttO",tblTranslation[],LangNameID,FALSE)</f>
        <v>Insert the date of the end of the authorisation as an ICCAT BFT-E other vessel</v>
      </c>
    </row>
    <row r="76" spans="1:8" x14ac:dyDescent="0.2">
      <c r="A76" s="392"/>
      <c r="B76" s="402" t="str">
        <f>VLOOKUP("T05",tblTranslation[],LangFieldID,FALSE)</f>
        <v>CP01C</v>
      </c>
      <c r="C76" s="390" t="str">
        <f>VLOOKUP("H01",tblTranslation[],LangFieldID,FALSE)</f>
        <v>Header</v>
      </c>
      <c r="D76" s="391"/>
      <c r="E76" s="391"/>
      <c r="F76" s="391"/>
      <c r="G76" s="135" t="str">
        <f>VLOOKUP("H01",tblTranslation[],6,FALSE)</f>
        <v>(auto)</v>
      </c>
      <c r="H76" s="188" t="str">
        <f>VLOOKUP("H01",tblTranslation[],LangNameID,FALSE)</f>
        <v>(automatic completion obtained from CP01A)</v>
      </c>
    </row>
    <row r="77" spans="1:8" ht="22.5" x14ac:dyDescent="0.2">
      <c r="A77" s="392"/>
      <c r="B77" s="402"/>
      <c r="C77" s="393" t="str">
        <f>VLOOKUP("D00",tblTranslation[],LangFieldID,FALSE)</f>
        <v>Detail</v>
      </c>
      <c r="D77" s="394" t="str">
        <f>VLOOKUP("D50",tblTranslation[],LangFieldID,FALSE)</f>
        <v>Mandatory information</v>
      </c>
      <c r="E77" s="395"/>
      <c r="F77" s="143" t="str">
        <f>VLOOKUP("OwOpEntityID",tblTranslation[],LangFieldID,FALSE)</f>
        <v>Owner/Operator
Entity ID</v>
      </c>
      <c r="G77" s="231" t="str">
        <f>VLOOKUP("OwOpEntityID",tblTranslation[],6,FALSE)</f>
        <v>number</v>
      </c>
      <c r="H77" s="232" t="str">
        <f>VLOOKUP("OwOpEntityID",tblTranslation[],LangNameID,FALSE)</f>
        <v>Insert consecutive number. This number should be transposed to Form CP01A,  (owner /operator ID fields) for each vessel owned or operated by this person/company</v>
      </c>
    </row>
    <row r="78" spans="1:8" ht="22.5" x14ac:dyDescent="0.2">
      <c r="A78" s="392"/>
      <c r="B78" s="402"/>
      <c r="C78" s="393"/>
      <c r="D78" s="394"/>
      <c r="E78" s="395"/>
      <c r="F78" s="215" t="str">
        <f>VLOOKUP("OwOpName",tblTranslation[],LangFieldID,FALSE)</f>
        <v>Name</v>
      </c>
      <c r="G78" s="221" t="str">
        <f>VLOOKUP("OwOpName",tblTranslation[],6,FALSE)</f>
        <v>string</v>
      </c>
      <c r="H78" s="224" t="str">
        <f>VLOOKUP("OwOpName",tblTranslation[],LangNameID,FALSE)</f>
        <v>Name of person or company who owns or operates the vessel. If a given vessel has more than one owner/operator these should be separated by  the character "|" (vertical bar). This field cannot fit more than 150 characters.</v>
      </c>
    </row>
    <row r="79" spans="1:8" x14ac:dyDescent="0.2">
      <c r="A79" s="392"/>
      <c r="B79" s="402"/>
      <c r="C79" s="393"/>
      <c r="D79" s="394"/>
      <c r="E79" s="395"/>
      <c r="F79" s="215" t="str">
        <f>VLOOKUP("OwOpAddrs",tblTranslation[],LangFieldID,FALSE)</f>
        <v>Address</v>
      </c>
      <c r="G79" s="221" t="str">
        <f>VLOOKUP("OwOpAddrs",tblTranslation[],6,FALSE)</f>
        <v>string</v>
      </c>
      <c r="H79" s="224" t="str">
        <f>VLOOKUP("OwOpAddrs",tblTranslation[],LangNameID,FALSE)</f>
        <v>Street address of person or company who owns or operates the vessel</v>
      </c>
    </row>
    <row r="80" spans="1:8" x14ac:dyDescent="0.2">
      <c r="A80" s="392"/>
      <c r="B80" s="402"/>
      <c r="C80" s="393"/>
      <c r="D80" s="394"/>
      <c r="E80" s="395"/>
      <c r="F80" s="215" t="str">
        <f>VLOOKUP("OwOpCity",tblTranslation[],LangFieldID,FALSE)</f>
        <v>City</v>
      </c>
      <c r="G80" s="221" t="str">
        <f>VLOOKUP("OwOpCity",tblTranslation[],6,FALSE)</f>
        <v>string</v>
      </c>
      <c r="H80" s="224" t="str">
        <f>VLOOKUP("OwOpCity",tblTranslation[],LangNameID,FALSE)</f>
        <v>City in which owner/operator is domiciled</v>
      </c>
    </row>
    <row r="81" spans="1:8" x14ac:dyDescent="0.2">
      <c r="A81" s="392"/>
      <c r="B81" s="402"/>
      <c r="C81" s="393"/>
      <c r="D81" s="394"/>
      <c r="E81" s="395"/>
      <c r="F81" s="215" t="str">
        <f>VLOOKUP("OwOpZipCd",tblTranslation[],LangFieldID,FALSE)</f>
        <v>Zip code</v>
      </c>
      <c r="G81" s="221" t="str">
        <f>VLOOKUP("OwOpZipCd",tblTranslation[],6,FALSE)</f>
        <v>string</v>
      </c>
      <c r="H81" s="224" t="str">
        <f>VLOOKUP("OwOpZipCd",tblTranslation[],LangNameID,FALSE)</f>
        <v>Postal code or zip code of address. Please do not use . - / or other characters between the digits</v>
      </c>
    </row>
    <row r="82" spans="1:8" x14ac:dyDescent="0.2">
      <c r="A82" s="392"/>
      <c r="B82" s="402"/>
      <c r="C82" s="393"/>
      <c r="D82" s="396"/>
      <c r="E82" s="397"/>
      <c r="F82" s="216" t="str">
        <f>VLOOKUP("OwOpCtry",tblTranslation[],LangFieldID,FALSE)</f>
        <v>Country</v>
      </c>
      <c r="G82" s="221" t="str">
        <f>VLOOKUP("OwOpCtry",tblTranslation[],6,FALSE)</f>
        <v>ICCAT code</v>
      </c>
      <c r="H82" s="224" t="str">
        <f>VLOOKUP("OwOpCtry",tblTranslation[],LangNameID,FALSE)</f>
        <v>Country in which owner/operator is domiciled</v>
      </c>
    </row>
    <row r="83" spans="1:8" x14ac:dyDescent="0.2">
      <c r="A83" s="392"/>
      <c r="B83" s="402"/>
      <c r="C83" s="393"/>
      <c r="D83" s="398" t="str">
        <f>VLOOKUP("D60",tblTranslation[],LangFieldID,FALSE)</f>
        <v>Optional information</v>
      </c>
      <c r="E83" s="399"/>
      <c r="F83" s="217" t="str">
        <f>VLOOKUP("OwOpEmail",tblTranslation[],LangFieldID,FALSE)</f>
        <v>Email</v>
      </c>
      <c r="G83" s="231" t="str">
        <f>VLOOKUP("OwOpEmail",tblTranslation[],6,FALSE)</f>
        <v>string</v>
      </c>
      <c r="H83" s="232" t="str">
        <f>VLOOKUP("OwOpEmail",tblTranslation[],LangNameID,FALSE)</f>
        <v>Email of owner/operator</v>
      </c>
    </row>
    <row r="84" spans="1:8" x14ac:dyDescent="0.2">
      <c r="A84" s="392"/>
      <c r="B84" s="403"/>
      <c r="C84" s="393"/>
      <c r="D84" s="400"/>
      <c r="E84" s="401"/>
      <c r="F84" s="218" t="str">
        <f>VLOOKUP("OwOpTel",tblTranslation[],LangFieldID,FALSE)</f>
        <v>Phone</v>
      </c>
      <c r="G84" s="221" t="str">
        <f>VLOOKUP("OwOpTel",tblTranslation[],6,FALSE)</f>
        <v>string</v>
      </c>
      <c r="H84" s="224" t="str">
        <f>VLOOKUP("OwOpTel",tblTranslation[],LangNameID,FALSE)</f>
        <v>Telephone number (include international code)</v>
      </c>
    </row>
  </sheetData>
  <sheetProtection algorithmName="SHA-512" hashValue="RQNPQw4tOq85rSnH2WWlH0g+4qk+0F9talXptJ15R9xfNHLJ7IgyaX3CxPiN6RWJqiXNV01LWAmVpzTzYdF7kQ==" saltValue="sXfZaFQ80wY3m226Q7Q19Q==" spinCount="100000" sheet="1" objects="1" scenarios="1" formatCells="0" autoFilter="0"/>
  <mergeCells count="40">
    <mergeCell ref="E24:E32"/>
    <mergeCell ref="E33:E34"/>
    <mergeCell ref="E35:E40"/>
    <mergeCell ref="A1:H1"/>
    <mergeCell ref="A2:E2"/>
    <mergeCell ref="B3:H3"/>
    <mergeCell ref="B4:H4"/>
    <mergeCell ref="B5:H5"/>
    <mergeCell ref="E53:E59"/>
    <mergeCell ref="B6:H6"/>
    <mergeCell ref="C13:C23"/>
    <mergeCell ref="D13:E17"/>
    <mergeCell ref="D18:E20"/>
    <mergeCell ref="D21:E23"/>
    <mergeCell ref="C24:C49"/>
    <mergeCell ref="B13:B49"/>
    <mergeCell ref="E41:E42"/>
    <mergeCell ref="D43:D49"/>
    <mergeCell ref="E43:E49"/>
    <mergeCell ref="D24:D42"/>
    <mergeCell ref="B7:H7"/>
    <mergeCell ref="A9:E9"/>
    <mergeCell ref="B11:E12"/>
    <mergeCell ref="A11:A84"/>
    <mergeCell ref="C50:F50"/>
    <mergeCell ref="C76:F76"/>
    <mergeCell ref="C51:C75"/>
    <mergeCell ref="B50:B75"/>
    <mergeCell ref="C77:C84"/>
    <mergeCell ref="D77:E82"/>
    <mergeCell ref="D83:E84"/>
    <mergeCell ref="B76:B84"/>
    <mergeCell ref="E60:E62"/>
    <mergeCell ref="E67:E68"/>
    <mergeCell ref="E69:E73"/>
    <mergeCell ref="E74:E75"/>
    <mergeCell ref="D51:D75"/>
    <mergeCell ref="E63:E64"/>
    <mergeCell ref="E65:E66"/>
    <mergeCell ref="E51:E52"/>
  </mergeCells>
  <hyperlinks>
    <hyperlink ref="F33" location="OwOpEntityID" display="OwOpEntityID" xr:uid="{00000000-0004-0000-0400-000000000000}"/>
    <hyperlink ref="F34" location="OwOpEntityID" display="OwOpEntityID" xr:uid="{00000000-0004-0000-0400-000001000000}"/>
    <hyperlink ref="F31" location="FlagCod" display="FlagCod" xr:uid="{00000000-0004-0000-0400-000002000000}"/>
    <hyperlink ref="F32" location="FlagCod" display="FlagCod" xr:uid="{00000000-0004-0000-0400-000003000000}"/>
    <hyperlink ref="F35" location="IsscfvCod" display="IsscfvCod" xr:uid="{00000000-0004-0000-0400-000004000000}"/>
    <hyperlink ref="F36" location="IsscfgCod" display="IsscfgCod" xr:uid="{00000000-0004-0000-0400-000005000000}"/>
    <hyperlink ref="F40" location="TonTypeCod" display="TonTypeCod" xr:uid="{00000000-0004-0000-0400-000006000000}"/>
    <hyperlink ref="F38" location="LenTypeCod" display="LenTypeCod" xr:uid="{00000000-0004-0000-0400-000007000000}"/>
    <hyperlink ref="F42" location="CCapUnitCod" display="CCapUnitCod" xr:uid="{00000000-0004-0000-0400-000008000000}"/>
    <hyperlink ref="F27" location="IRNoTypeCod" display="IRNoTypeCod" xr:uid="{00000000-0004-0000-0400-000009000000}"/>
    <hyperlink ref="F71" location="FisheryType" display="FisheryType" xr:uid="{00000000-0004-0000-0400-00000A000000}"/>
    <hyperlink ref="F72" location="FishingArea" display="FishingArea" xr:uid="{00000000-0004-0000-0400-00000B000000}"/>
    <hyperlink ref="F55" location="RModeCod" display="RModeCod" xr:uid="{00000000-0004-0000-0400-00000C000000}"/>
    <hyperlink ref="F62" location="RModeCod" display="RModeCod" xr:uid="{00000000-0004-0000-0400-00000D000000}"/>
    <hyperlink ref="F82" location="FlagName" display="FlagName" xr:uid="{00000000-0004-0000-0400-00000E000000}"/>
  </hyperlinks>
  <pageMargins left="0.7" right="0.7" top="0.75" bottom="0.75" header="0.3" footer="0.3"/>
  <ignoredErrors>
    <ignoredError sqref="F78"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27"/>
  <sheetViews>
    <sheetView zoomScale="85" zoomScaleNormal="85" workbookViewId="0">
      <pane ySplit="4" topLeftCell="A48" activePane="bottomLeft" state="frozen"/>
      <selection pane="bottomLeft" activeCell="F76" sqref="F76"/>
    </sheetView>
  </sheetViews>
  <sheetFormatPr defaultColWidth="6.42578125" defaultRowHeight="12" x14ac:dyDescent="0.25"/>
  <cols>
    <col min="1" max="1" width="13.42578125" style="159" bestFit="1" customWidth="1"/>
    <col min="2" max="2" width="6.140625" style="159" bestFit="1" customWidth="1"/>
    <col min="3" max="3" width="11.85546875" style="159" customWidth="1"/>
    <col min="4" max="4" width="11.42578125" style="159" bestFit="1" customWidth="1"/>
    <col min="5" max="5" width="9.7109375" style="159" bestFit="1" customWidth="1"/>
    <col min="6" max="6" width="13.28515625" style="159" bestFit="1" customWidth="1"/>
    <col min="7" max="9" width="24.7109375" style="159" customWidth="1"/>
    <col min="10" max="12" width="59.5703125" style="159" customWidth="1"/>
    <col min="13" max="16384" width="6.42578125" style="159"/>
  </cols>
  <sheetData>
    <row r="1" spans="1:12" ht="12.75" x14ac:dyDescent="0.25">
      <c r="A1" s="429" t="s">
        <v>773</v>
      </c>
      <c r="B1" s="429"/>
      <c r="C1" s="429"/>
      <c r="D1" s="429"/>
      <c r="E1" s="429"/>
      <c r="F1" s="160"/>
      <c r="G1" s="161" t="s">
        <v>774</v>
      </c>
      <c r="H1" s="162">
        <f>IF(Idiom="ENG",7,IF(Idiom="FRA",8,9))</f>
        <v>7</v>
      </c>
    </row>
    <row r="2" spans="1:12" x14ac:dyDescent="0.25">
      <c r="A2" s="163"/>
      <c r="B2" s="163"/>
      <c r="C2" s="163"/>
      <c r="D2" s="163"/>
      <c r="E2" s="163"/>
      <c r="F2" s="163"/>
      <c r="G2" s="161" t="s">
        <v>775</v>
      </c>
      <c r="H2" s="162">
        <f>IF(Idiom="ENG",10,IF(Idiom="FRA",11,12))</f>
        <v>10</v>
      </c>
    </row>
    <row r="4" spans="1:12" x14ac:dyDescent="0.25">
      <c r="A4" s="37" t="s">
        <v>503</v>
      </c>
      <c r="B4" s="37" t="s">
        <v>747</v>
      </c>
      <c r="C4" s="37" t="s">
        <v>748</v>
      </c>
      <c r="D4" s="37" t="s">
        <v>495</v>
      </c>
      <c r="E4" s="37" t="s">
        <v>749</v>
      </c>
      <c r="F4" s="123" t="s">
        <v>750</v>
      </c>
      <c r="G4" s="123" t="s">
        <v>751</v>
      </c>
      <c r="H4" s="123" t="s">
        <v>752</v>
      </c>
      <c r="I4" s="123" t="s">
        <v>753</v>
      </c>
      <c r="J4" s="37" t="s">
        <v>1159</v>
      </c>
      <c r="K4" s="37" t="s">
        <v>1160</v>
      </c>
      <c r="L4" s="37" t="s">
        <v>1161</v>
      </c>
    </row>
    <row r="5" spans="1:12" ht="26.25" customHeight="1" x14ac:dyDescent="0.25">
      <c r="A5" s="38" t="s">
        <v>864</v>
      </c>
      <c r="B5" s="38">
        <v>1</v>
      </c>
      <c r="C5" s="38" t="s">
        <v>840</v>
      </c>
      <c r="D5" s="38" t="s">
        <v>497</v>
      </c>
      <c r="E5" s="38" t="s">
        <v>783</v>
      </c>
      <c r="F5" s="38" t="s">
        <v>754</v>
      </c>
      <c r="G5" s="38" t="s">
        <v>1305</v>
      </c>
      <c r="H5" s="38" t="s">
        <v>1305</v>
      </c>
      <c r="I5" s="38" t="s">
        <v>1305</v>
      </c>
      <c r="J5" s="38" t="s">
        <v>975</v>
      </c>
      <c r="K5" s="38" t="s">
        <v>1164</v>
      </c>
      <c r="L5" s="38" t="s">
        <v>976</v>
      </c>
    </row>
    <row r="6" spans="1:12" x14ac:dyDescent="0.25">
      <c r="A6" s="10" t="s">
        <v>524</v>
      </c>
      <c r="B6" s="10">
        <v>2</v>
      </c>
      <c r="C6" s="38" t="s">
        <v>840</v>
      </c>
      <c r="D6" s="38" t="s">
        <v>497</v>
      </c>
      <c r="E6" s="10" t="s">
        <v>790</v>
      </c>
      <c r="F6" s="10" t="s">
        <v>754</v>
      </c>
      <c r="G6" s="10" t="s">
        <v>497</v>
      </c>
      <c r="H6" s="10" t="s">
        <v>844</v>
      </c>
      <c r="I6" s="10" t="s">
        <v>845</v>
      </c>
      <c r="J6" s="10" t="s">
        <v>846</v>
      </c>
      <c r="K6" s="10" t="s">
        <v>847</v>
      </c>
      <c r="L6" s="10" t="s">
        <v>848</v>
      </c>
    </row>
    <row r="7" spans="1:12" ht="22.5" x14ac:dyDescent="0.25">
      <c r="A7" s="94" t="s">
        <v>855</v>
      </c>
      <c r="B7" s="38">
        <v>3</v>
      </c>
      <c r="C7" s="38" t="s">
        <v>840</v>
      </c>
      <c r="D7" s="38" t="s">
        <v>497</v>
      </c>
      <c r="E7" s="10" t="s">
        <v>790</v>
      </c>
      <c r="F7" s="10" t="s">
        <v>754</v>
      </c>
      <c r="G7" s="10" t="s">
        <v>849</v>
      </c>
      <c r="H7" s="10" t="s">
        <v>850</v>
      </c>
      <c r="I7" s="10" t="s">
        <v>851</v>
      </c>
      <c r="J7" s="10" t="s">
        <v>852</v>
      </c>
      <c r="K7" s="10" t="s">
        <v>853</v>
      </c>
      <c r="L7" s="10" t="s">
        <v>854</v>
      </c>
    </row>
    <row r="8" spans="1:12" x14ac:dyDescent="0.2">
      <c r="A8" s="38" t="s">
        <v>859</v>
      </c>
      <c r="B8" s="10">
        <v>4</v>
      </c>
      <c r="C8" s="38" t="s">
        <v>840</v>
      </c>
      <c r="D8" s="38" t="s">
        <v>497</v>
      </c>
      <c r="E8" s="38" t="s">
        <v>783</v>
      </c>
      <c r="F8" s="38" t="s">
        <v>754</v>
      </c>
      <c r="G8" s="38" t="s">
        <v>1020</v>
      </c>
      <c r="H8" s="38" t="s">
        <v>1020</v>
      </c>
      <c r="I8" s="38" t="s">
        <v>1020</v>
      </c>
      <c r="J8" s="38" t="s">
        <v>1301</v>
      </c>
      <c r="K8" s="124" t="s">
        <v>1302</v>
      </c>
      <c r="L8" s="124" t="s">
        <v>1303</v>
      </c>
    </row>
    <row r="9" spans="1:12" s="160" customFormat="1" x14ac:dyDescent="0.2">
      <c r="A9" s="125" t="s">
        <v>865</v>
      </c>
      <c r="B9" s="38">
        <v>5</v>
      </c>
      <c r="C9" s="126" t="s">
        <v>841</v>
      </c>
      <c r="D9" s="38" t="s">
        <v>497</v>
      </c>
      <c r="E9" s="126" t="s">
        <v>783</v>
      </c>
      <c r="F9" s="126" t="s">
        <v>754</v>
      </c>
      <c r="G9" s="126" t="s">
        <v>983</v>
      </c>
      <c r="H9" s="126" t="s">
        <v>983</v>
      </c>
      <c r="I9" s="126" t="s">
        <v>983</v>
      </c>
      <c r="J9" s="38" t="s">
        <v>1162</v>
      </c>
      <c r="K9" s="124" t="s">
        <v>1165</v>
      </c>
      <c r="L9" s="124" t="s">
        <v>1117</v>
      </c>
    </row>
    <row r="10" spans="1:12" s="160" customFormat="1" x14ac:dyDescent="0.2">
      <c r="A10" s="125" t="s">
        <v>867</v>
      </c>
      <c r="B10" s="10">
        <v>6</v>
      </c>
      <c r="C10" s="126" t="s">
        <v>842</v>
      </c>
      <c r="D10" s="38" t="s">
        <v>497</v>
      </c>
      <c r="E10" s="126" t="s">
        <v>783</v>
      </c>
      <c r="F10" s="126" t="s">
        <v>754</v>
      </c>
      <c r="G10" s="126" t="s">
        <v>984</v>
      </c>
      <c r="H10" s="126" t="s">
        <v>984</v>
      </c>
      <c r="I10" s="126" t="s">
        <v>984</v>
      </c>
      <c r="J10" s="38" t="s">
        <v>1021</v>
      </c>
      <c r="K10" s="124" t="s">
        <v>1166</v>
      </c>
      <c r="L10" s="124" t="s">
        <v>1118</v>
      </c>
    </row>
    <row r="11" spans="1:12" x14ac:dyDescent="0.25">
      <c r="A11" s="94" t="s">
        <v>970</v>
      </c>
      <c r="B11" s="38">
        <v>7</v>
      </c>
      <c r="C11" s="38" t="s">
        <v>840</v>
      </c>
      <c r="D11" s="38" t="s">
        <v>497</v>
      </c>
      <c r="E11" s="10" t="s">
        <v>755</v>
      </c>
      <c r="F11" s="10" t="s">
        <v>856</v>
      </c>
      <c r="G11" s="10" t="s">
        <v>542</v>
      </c>
      <c r="H11" s="10" t="s">
        <v>542</v>
      </c>
      <c r="I11" s="10" t="s">
        <v>857</v>
      </c>
      <c r="J11" s="10" t="s">
        <v>858</v>
      </c>
      <c r="K11" s="10" t="s">
        <v>1167</v>
      </c>
      <c r="L11" s="10" t="s">
        <v>1168</v>
      </c>
    </row>
    <row r="12" spans="1:12" x14ac:dyDescent="0.25">
      <c r="A12" s="94" t="s">
        <v>971</v>
      </c>
      <c r="B12" s="10">
        <v>8</v>
      </c>
      <c r="C12" s="38" t="s">
        <v>840</v>
      </c>
      <c r="D12" s="38" t="s">
        <v>497</v>
      </c>
      <c r="E12" s="10" t="s">
        <v>755</v>
      </c>
      <c r="F12" s="10" t="s">
        <v>756</v>
      </c>
      <c r="G12" s="10" t="s">
        <v>860</v>
      </c>
      <c r="H12" s="10" t="s">
        <v>861</v>
      </c>
      <c r="I12" s="10" t="s">
        <v>862</v>
      </c>
      <c r="J12" s="10" t="s">
        <v>863</v>
      </c>
      <c r="K12" s="10" t="s">
        <v>1169</v>
      </c>
      <c r="L12" s="10" t="s">
        <v>1170</v>
      </c>
    </row>
    <row r="13" spans="1:12" x14ac:dyDescent="0.25">
      <c r="A13" s="10" t="s">
        <v>918</v>
      </c>
      <c r="B13" s="38">
        <v>9</v>
      </c>
      <c r="C13" s="38" t="s">
        <v>840</v>
      </c>
      <c r="D13" s="10" t="s">
        <v>13</v>
      </c>
      <c r="E13" s="10" t="s">
        <v>783</v>
      </c>
      <c r="F13" s="10" t="s">
        <v>754</v>
      </c>
      <c r="G13" s="10" t="s">
        <v>13</v>
      </c>
      <c r="H13" s="10" t="s">
        <v>921</v>
      </c>
      <c r="I13" s="10" t="s">
        <v>922</v>
      </c>
      <c r="J13" s="10" t="s">
        <v>754</v>
      </c>
      <c r="K13" s="10" t="s">
        <v>754</v>
      </c>
      <c r="L13" s="10" t="s">
        <v>754</v>
      </c>
    </row>
    <row r="14" spans="1:12" s="160" customFormat="1" x14ac:dyDescent="0.25">
      <c r="A14" s="145" t="s">
        <v>504</v>
      </c>
      <c r="B14" s="10">
        <v>10</v>
      </c>
      <c r="C14" s="49" t="s">
        <v>841</v>
      </c>
      <c r="D14" s="10" t="s">
        <v>13</v>
      </c>
      <c r="E14" s="49" t="s">
        <v>790</v>
      </c>
      <c r="F14" s="49" t="s">
        <v>946</v>
      </c>
      <c r="G14" s="49" t="s">
        <v>13</v>
      </c>
      <c r="H14" s="10" t="s">
        <v>921</v>
      </c>
      <c r="I14" s="10" t="s">
        <v>922</v>
      </c>
      <c r="J14" s="49" t="s">
        <v>978</v>
      </c>
      <c r="K14" s="49" t="s">
        <v>1171</v>
      </c>
      <c r="L14" s="49" t="s">
        <v>979</v>
      </c>
    </row>
    <row r="15" spans="1:12" x14ac:dyDescent="0.25">
      <c r="A15" s="38" t="s">
        <v>919</v>
      </c>
      <c r="B15" s="38">
        <v>11</v>
      </c>
      <c r="C15" s="38" t="s">
        <v>840</v>
      </c>
      <c r="D15" s="38" t="s">
        <v>13</v>
      </c>
      <c r="E15" s="38" t="s">
        <v>866</v>
      </c>
      <c r="F15" s="38" t="s">
        <v>754</v>
      </c>
      <c r="G15" s="10" t="s">
        <v>940</v>
      </c>
      <c r="H15" s="10" t="s">
        <v>944</v>
      </c>
      <c r="I15" s="10" t="s">
        <v>945</v>
      </c>
      <c r="J15" s="10" t="s">
        <v>754</v>
      </c>
      <c r="K15" s="10" t="s">
        <v>754</v>
      </c>
      <c r="L15" s="10" t="s">
        <v>754</v>
      </c>
    </row>
    <row r="16" spans="1:12" x14ac:dyDescent="0.25">
      <c r="A16" s="38" t="s">
        <v>920</v>
      </c>
      <c r="B16" s="10">
        <v>12</v>
      </c>
      <c r="C16" s="38" t="s">
        <v>840</v>
      </c>
      <c r="D16" s="38" t="s">
        <v>13</v>
      </c>
      <c r="E16" s="38" t="s">
        <v>866</v>
      </c>
      <c r="F16" s="38" t="s">
        <v>754</v>
      </c>
      <c r="G16" s="126" t="s">
        <v>539</v>
      </c>
      <c r="H16" s="126" t="s">
        <v>925</v>
      </c>
      <c r="I16" s="126" t="s">
        <v>926</v>
      </c>
      <c r="J16" s="10" t="s">
        <v>754</v>
      </c>
      <c r="K16" s="10" t="s">
        <v>754</v>
      </c>
      <c r="L16" s="10" t="s">
        <v>754</v>
      </c>
    </row>
    <row r="17" spans="1:12" x14ac:dyDescent="0.25">
      <c r="A17" s="38" t="s">
        <v>927</v>
      </c>
      <c r="B17" s="38">
        <v>13</v>
      </c>
      <c r="C17" s="38" t="s">
        <v>840</v>
      </c>
      <c r="D17" s="38" t="s">
        <v>13</v>
      </c>
      <c r="E17" s="38" t="s">
        <v>866</v>
      </c>
      <c r="F17" s="38" t="s">
        <v>754</v>
      </c>
      <c r="G17" s="10" t="s">
        <v>928</v>
      </c>
      <c r="H17" s="10" t="s">
        <v>1158</v>
      </c>
      <c r="I17" s="10" t="s">
        <v>1157</v>
      </c>
      <c r="J17" s="10" t="s">
        <v>754</v>
      </c>
      <c r="K17" s="10" t="s">
        <v>754</v>
      </c>
      <c r="L17" s="10" t="s">
        <v>754</v>
      </c>
    </row>
    <row r="18" spans="1:12" x14ac:dyDescent="0.25">
      <c r="A18" s="39" t="s">
        <v>947</v>
      </c>
      <c r="B18" s="10">
        <v>14</v>
      </c>
      <c r="C18" s="38" t="s">
        <v>840</v>
      </c>
      <c r="D18" s="38" t="s">
        <v>13</v>
      </c>
      <c r="E18" s="38" t="s">
        <v>924</v>
      </c>
      <c r="F18" s="38" t="s">
        <v>754</v>
      </c>
      <c r="G18" s="38" t="s">
        <v>950</v>
      </c>
      <c r="H18" s="38" t="s">
        <v>948</v>
      </c>
      <c r="I18" s="38" t="s">
        <v>949</v>
      </c>
      <c r="J18" s="10" t="s">
        <v>754</v>
      </c>
      <c r="K18" s="10" t="s">
        <v>754</v>
      </c>
      <c r="L18" s="10" t="s">
        <v>754</v>
      </c>
    </row>
    <row r="19" spans="1:12" ht="22.5" x14ac:dyDescent="0.25">
      <c r="A19" s="39" t="s">
        <v>1103</v>
      </c>
      <c r="B19" s="38">
        <v>15</v>
      </c>
      <c r="C19" s="38" t="s">
        <v>841</v>
      </c>
      <c r="D19" s="38" t="s">
        <v>13</v>
      </c>
      <c r="E19" s="38" t="s">
        <v>866</v>
      </c>
      <c r="F19" s="38" t="s">
        <v>754</v>
      </c>
      <c r="G19" s="38" t="s">
        <v>1108</v>
      </c>
      <c r="H19" s="38" t="s">
        <v>1109</v>
      </c>
      <c r="I19" s="38" t="s">
        <v>1110</v>
      </c>
      <c r="J19" s="10" t="s">
        <v>754</v>
      </c>
      <c r="K19" s="10" t="s">
        <v>754</v>
      </c>
      <c r="L19" s="10" t="s">
        <v>754</v>
      </c>
    </row>
    <row r="20" spans="1:12" x14ac:dyDescent="0.25">
      <c r="A20" s="39" t="s">
        <v>1104</v>
      </c>
      <c r="B20" s="10">
        <v>16</v>
      </c>
      <c r="C20" s="38" t="s">
        <v>841</v>
      </c>
      <c r="D20" s="38" t="s">
        <v>13</v>
      </c>
      <c r="E20" s="38" t="s">
        <v>866</v>
      </c>
      <c r="F20" s="38" t="s">
        <v>754</v>
      </c>
      <c r="G20" s="38" t="s">
        <v>1113</v>
      </c>
      <c r="H20" s="38" t="s">
        <v>1111</v>
      </c>
      <c r="I20" s="38" t="s">
        <v>1112</v>
      </c>
      <c r="J20" s="10" t="s">
        <v>754</v>
      </c>
      <c r="K20" s="10" t="s">
        <v>754</v>
      </c>
      <c r="L20" s="10" t="s">
        <v>754</v>
      </c>
    </row>
    <row r="21" spans="1:12" x14ac:dyDescent="0.25">
      <c r="A21" s="39" t="s">
        <v>1105</v>
      </c>
      <c r="B21" s="38">
        <v>17</v>
      </c>
      <c r="C21" s="38" t="s">
        <v>841</v>
      </c>
      <c r="D21" s="38" t="s">
        <v>13</v>
      </c>
      <c r="E21" s="38" t="s">
        <v>866</v>
      </c>
      <c r="F21" s="38" t="s">
        <v>754</v>
      </c>
      <c r="G21" s="38" t="s">
        <v>1107</v>
      </c>
      <c r="H21" s="38" t="s">
        <v>1135</v>
      </c>
      <c r="I21" s="38" t="s">
        <v>1136</v>
      </c>
      <c r="J21" s="10" t="s">
        <v>754</v>
      </c>
      <c r="K21" s="10" t="s">
        <v>754</v>
      </c>
      <c r="L21" s="10" t="s">
        <v>754</v>
      </c>
    </row>
    <row r="22" spans="1:12" ht="22.5" x14ac:dyDescent="0.25">
      <c r="A22" s="39" t="s">
        <v>1106</v>
      </c>
      <c r="B22" s="10">
        <v>18</v>
      </c>
      <c r="C22" s="38" t="s">
        <v>841</v>
      </c>
      <c r="D22" s="38" t="s">
        <v>13</v>
      </c>
      <c r="E22" s="38" t="s">
        <v>866</v>
      </c>
      <c r="F22" s="38" t="s">
        <v>754</v>
      </c>
      <c r="G22" s="38" t="s">
        <v>1114</v>
      </c>
      <c r="H22" s="38" t="s">
        <v>1116</v>
      </c>
      <c r="I22" s="38" t="s">
        <v>1115</v>
      </c>
      <c r="J22" s="10" t="s">
        <v>754</v>
      </c>
      <c r="K22" s="10" t="s">
        <v>754</v>
      </c>
      <c r="L22" s="10" t="s">
        <v>754</v>
      </c>
    </row>
    <row r="23" spans="1:12" x14ac:dyDescent="0.25">
      <c r="A23" s="38" t="s">
        <v>911</v>
      </c>
      <c r="B23" s="38">
        <v>19</v>
      </c>
      <c r="C23" s="38" t="s">
        <v>840</v>
      </c>
      <c r="D23" s="38" t="s">
        <v>13</v>
      </c>
      <c r="E23" s="38" t="s">
        <v>755</v>
      </c>
      <c r="F23" s="38" t="s">
        <v>906</v>
      </c>
      <c r="G23" s="38" t="s">
        <v>4</v>
      </c>
      <c r="H23" s="38" t="s">
        <v>515</v>
      </c>
      <c r="I23" s="38" t="s">
        <v>516</v>
      </c>
      <c r="J23" s="38" t="s">
        <v>1022</v>
      </c>
      <c r="K23" s="38" t="s">
        <v>1172</v>
      </c>
      <c r="L23" s="38" t="s">
        <v>1119</v>
      </c>
    </row>
    <row r="24" spans="1:12" x14ac:dyDescent="0.25">
      <c r="A24" s="38" t="s">
        <v>910</v>
      </c>
      <c r="B24" s="10">
        <v>20</v>
      </c>
      <c r="C24" s="38" t="s">
        <v>840</v>
      </c>
      <c r="D24" s="38" t="s">
        <v>13</v>
      </c>
      <c r="E24" s="38" t="s">
        <v>755</v>
      </c>
      <c r="F24" s="38" t="s">
        <v>906</v>
      </c>
      <c r="G24" s="38" t="s">
        <v>499</v>
      </c>
      <c r="H24" s="38" t="s">
        <v>619</v>
      </c>
      <c r="I24" s="38" t="s">
        <v>541</v>
      </c>
      <c r="J24" s="38" t="s">
        <v>1023</v>
      </c>
      <c r="K24" s="38" t="s">
        <v>1173</v>
      </c>
      <c r="L24" s="38" t="s">
        <v>1120</v>
      </c>
    </row>
    <row r="25" spans="1:12" x14ac:dyDescent="0.25">
      <c r="A25" s="38" t="s">
        <v>914</v>
      </c>
      <c r="B25" s="38">
        <v>21</v>
      </c>
      <c r="C25" s="38" t="s">
        <v>840</v>
      </c>
      <c r="D25" s="38" t="s">
        <v>13</v>
      </c>
      <c r="E25" s="38" t="s">
        <v>755</v>
      </c>
      <c r="F25" s="38" t="s">
        <v>906</v>
      </c>
      <c r="G25" s="38" t="s">
        <v>9</v>
      </c>
      <c r="H25" s="38" t="s">
        <v>517</v>
      </c>
      <c r="I25" s="38" t="s">
        <v>518</v>
      </c>
      <c r="J25" s="38" t="s">
        <v>1024</v>
      </c>
      <c r="K25" s="38" t="s">
        <v>1174</v>
      </c>
      <c r="L25" s="38" t="s">
        <v>1121</v>
      </c>
    </row>
    <row r="26" spans="1:12" x14ac:dyDescent="0.25">
      <c r="A26" s="38" t="s">
        <v>972</v>
      </c>
      <c r="B26" s="10">
        <v>22</v>
      </c>
      <c r="C26" s="38" t="s">
        <v>840</v>
      </c>
      <c r="D26" s="38" t="s">
        <v>13</v>
      </c>
      <c r="E26" s="38" t="s">
        <v>755</v>
      </c>
      <c r="F26" s="38" t="s">
        <v>906</v>
      </c>
      <c r="G26" s="38" t="s">
        <v>8</v>
      </c>
      <c r="H26" s="38" t="s">
        <v>8</v>
      </c>
      <c r="I26" s="38" t="s">
        <v>8</v>
      </c>
      <c r="J26" s="38" t="s">
        <v>1122</v>
      </c>
      <c r="K26" s="38" t="s">
        <v>1175</v>
      </c>
      <c r="L26" s="38" t="s">
        <v>1123</v>
      </c>
    </row>
    <row r="27" spans="1:12" x14ac:dyDescent="0.25">
      <c r="A27" s="38" t="s">
        <v>973</v>
      </c>
      <c r="B27" s="38">
        <v>23</v>
      </c>
      <c r="C27" s="38" t="s">
        <v>840</v>
      </c>
      <c r="D27" s="38" t="s">
        <v>13</v>
      </c>
      <c r="E27" s="38" t="s">
        <v>755</v>
      </c>
      <c r="F27" s="38" t="s">
        <v>906</v>
      </c>
      <c r="G27" s="38" t="s">
        <v>7</v>
      </c>
      <c r="H27" s="38" t="s">
        <v>526</v>
      </c>
      <c r="I27" s="38" t="s">
        <v>527</v>
      </c>
      <c r="J27" s="38" t="s">
        <v>1124</v>
      </c>
      <c r="K27" s="38" t="s">
        <v>1176</v>
      </c>
      <c r="L27" s="38" t="s">
        <v>1125</v>
      </c>
    </row>
    <row r="28" spans="1:12" ht="22.5" x14ac:dyDescent="0.25">
      <c r="A28" s="38" t="s">
        <v>909</v>
      </c>
      <c r="B28" s="10">
        <v>24</v>
      </c>
      <c r="C28" s="38" t="s">
        <v>840</v>
      </c>
      <c r="D28" s="38" t="s">
        <v>13</v>
      </c>
      <c r="E28" s="38" t="s">
        <v>755</v>
      </c>
      <c r="F28" s="38" t="s">
        <v>756</v>
      </c>
      <c r="G28" s="38" t="s">
        <v>498</v>
      </c>
      <c r="H28" s="38" t="s">
        <v>618</v>
      </c>
      <c r="I28" s="38" t="s">
        <v>621</v>
      </c>
      <c r="J28" s="38" t="s">
        <v>1126</v>
      </c>
      <c r="K28" s="38" t="s">
        <v>1177</v>
      </c>
      <c r="L28" s="38" t="s">
        <v>1178</v>
      </c>
    </row>
    <row r="29" spans="1:12" x14ac:dyDescent="0.25">
      <c r="A29" s="38" t="s">
        <v>912</v>
      </c>
      <c r="B29" s="38">
        <v>25</v>
      </c>
      <c r="C29" s="38" t="s">
        <v>840</v>
      </c>
      <c r="D29" s="38" t="s">
        <v>13</v>
      </c>
      <c r="E29" s="38" t="s">
        <v>755</v>
      </c>
      <c r="F29" s="38" t="s">
        <v>756</v>
      </c>
      <c r="G29" s="38" t="s">
        <v>611</v>
      </c>
      <c r="H29" s="38" t="s">
        <v>620</v>
      </c>
      <c r="I29" s="38" t="s">
        <v>612</v>
      </c>
      <c r="J29" s="38" t="s">
        <v>1025</v>
      </c>
      <c r="K29" s="38" t="s">
        <v>1128</v>
      </c>
      <c r="L29" s="38" t="s">
        <v>1127</v>
      </c>
    </row>
    <row r="30" spans="1:12" ht="22.5" x14ac:dyDescent="0.25">
      <c r="A30" s="38" t="s">
        <v>913</v>
      </c>
      <c r="B30" s="10">
        <v>26</v>
      </c>
      <c r="C30" s="38" t="s">
        <v>840</v>
      </c>
      <c r="D30" s="38" t="s">
        <v>13</v>
      </c>
      <c r="E30" s="38" t="s">
        <v>755</v>
      </c>
      <c r="F30" s="38" t="s">
        <v>906</v>
      </c>
      <c r="G30" s="38" t="s">
        <v>563</v>
      </c>
      <c r="H30" s="38" t="s">
        <v>564</v>
      </c>
      <c r="I30" s="38" t="s">
        <v>565</v>
      </c>
      <c r="J30" s="38" t="s">
        <v>1129</v>
      </c>
      <c r="K30" s="38" t="s">
        <v>1179</v>
      </c>
      <c r="L30" s="38" t="s">
        <v>1180</v>
      </c>
    </row>
    <row r="31" spans="1:12" x14ac:dyDescent="0.25">
      <c r="A31" s="125" t="s">
        <v>974</v>
      </c>
      <c r="B31" s="38">
        <v>27</v>
      </c>
      <c r="C31" s="38" t="s">
        <v>840</v>
      </c>
      <c r="D31" s="126" t="s">
        <v>13</v>
      </c>
      <c r="E31" s="126" t="s">
        <v>755</v>
      </c>
      <c r="F31" s="126" t="s">
        <v>929</v>
      </c>
      <c r="G31" s="126" t="s">
        <v>930</v>
      </c>
      <c r="H31" s="126" t="s">
        <v>931</v>
      </c>
      <c r="I31" s="126" t="s">
        <v>932</v>
      </c>
      <c r="J31" s="126" t="s">
        <v>539</v>
      </c>
      <c r="K31" s="126" t="s">
        <v>925</v>
      </c>
      <c r="L31" s="127" t="s">
        <v>933</v>
      </c>
    </row>
    <row r="32" spans="1:12" x14ac:dyDescent="0.25">
      <c r="A32" s="146" t="s">
        <v>934</v>
      </c>
      <c r="B32" s="10">
        <v>28</v>
      </c>
      <c r="C32" s="38" t="s">
        <v>840</v>
      </c>
      <c r="D32" s="126" t="s">
        <v>13</v>
      </c>
      <c r="E32" s="126" t="s">
        <v>755</v>
      </c>
      <c r="F32" s="126" t="s">
        <v>756</v>
      </c>
      <c r="G32" s="126" t="s">
        <v>935</v>
      </c>
      <c r="H32" s="126" t="s">
        <v>936</v>
      </c>
      <c r="I32" s="126" t="s">
        <v>937</v>
      </c>
      <c r="J32" s="126" t="s">
        <v>539</v>
      </c>
      <c r="K32" s="126" t="s">
        <v>925</v>
      </c>
      <c r="L32" s="127" t="s">
        <v>926</v>
      </c>
    </row>
    <row r="33" spans="1:12" ht="22.5" x14ac:dyDescent="0.25">
      <c r="A33" s="125" t="s">
        <v>977</v>
      </c>
      <c r="B33" s="38">
        <v>29</v>
      </c>
      <c r="C33" s="38" t="s">
        <v>840</v>
      </c>
      <c r="D33" s="126" t="s">
        <v>13</v>
      </c>
      <c r="E33" s="126" t="s">
        <v>755</v>
      </c>
      <c r="F33" s="38" t="s">
        <v>906</v>
      </c>
      <c r="G33" s="126" t="s">
        <v>938</v>
      </c>
      <c r="H33" s="126" t="s">
        <v>1132</v>
      </c>
      <c r="I33" s="126" t="s">
        <v>1133</v>
      </c>
      <c r="J33" s="126" t="s">
        <v>1130</v>
      </c>
      <c r="K33" s="126" t="s">
        <v>1181</v>
      </c>
      <c r="L33" s="127" t="s">
        <v>1131</v>
      </c>
    </row>
    <row r="34" spans="1:12" x14ac:dyDescent="0.25">
      <c r="A34" s="38" t="s">
        <v>980</v>
      </c>
      <c r="B34" s="10">
        <v>30</v>
      </c>
      <c r="C34" s="38" t="s">
        <v>840</v>
      </c>
      <c r="D34" s="38" t="s">
        <v>496</v>
      </c>
      <c r="E34" s="38" t="s">
        <v>783</v>
      </c>
      <c r="F34" s="38" t="s">
        <v>754</v>
      </c>
      <c r="G34" s="38" t="s">
        <v>496</v>
      </c>
      <c r="H34" s="38" t="s">
        <v>981</v>
      </c>
      <c r="I34" s="38" t="s">
        <v>982</v>
      </c>
      <c r="J34" s="38" t="s">
        <v>754</v>
      </c>
      <c r="K34" s="38" t="s">
        <v>754</v>
      </c>
      <c r="L34" s="38" t="s">
        <v>754</v>
      </c>
    </row>
    <row r="35" spans="1:12" x14ac:dyDescent="0.25">
      <c r="A35" s="38" t="s">
        <v>985</v>
      </c>
      <c r="B35" s="38">
        <v>31</v>
      </c>
      <c r="C35" s="38" t="s">
        <v>840</v>
      </c>
      <c r="D35" s="38" t="s">
        <v>496</v>
      </c>
      <c r="E35" s="38" t="s">
        <v>866</v>
      </c>
      <c r="F35" s="38" t="s">
        <v>754</v>
      </c>
      <c r="G35" s="38" t="s">
        <v>556</v>
      </c>
      <c r="H35" s="38" t="s">
        <v>557</v>
      </c>
      <c r="I35" s="38" t="s">
        <v>558</v>
      </c>
      <c r="J35" s="38" t="s">
        <v>754</v>
      </c>
      <c r="K35" s="38" t="s">
        <v>754</v>
      </c>
      <c r="L35" s="38" t="s">
        <v>754</v>
      </c>
    </row>
    <row r="36" spans="1:12" x14ac:dyDescent="0.25">
      <c r="A36" s="38" t="s">
        <v>987</v>
      </c>
      <c r="B36" s="10">
        <v>32</v>
      </c>
      <c r="C36" s="38" t="s">
        <v>840</v>
      </c>
      <c r="D36" s="38" t="s">
        <v>496</v>
      </c>
      <c r="E36" s="38" t="s">
        <v>924</v>
      </c>
      <c r="F36" s="38" t="s">
        <v>754</v>
      </c>
      <c r="G36" s="38" t="s">
        <v>0</v>
      </c>
      <c r="H36" s="38" t="s">
        <v>0</v>
      </c>
      <c r="I36" s="38" t="s">
        <v>502</v>
      </c>
      <c r="J36" s="38" t="s">
        <v>754</v>
      </c>
      <c r="K36" s="38" t="s">
        <v>754</v>
      </c>
      <c r="L36" s="38" t="s">
        <v>754</v>
      </c>
    </row>
    <row r="37" spans="1:12" x14ac:dyDescent="0.25">
      <c r="A37" s="38" t="s">
        <v>988</v>
      </c>
      <c r="B37" s="38">
        <v>33</v>
      </c>
      <c r="C37" s="38" t="s">
        <v>840</v>
      </c>
      <c r="D37" s="38" t="s">
        <v>496</v>
      </c>
      <c r="E37" s="38" t="s">
        <v>924</v>
      </c>
      <c r="F37" s="38" t="s">
        <v>754</v>
      </c>
      <c r="G37" s="38" t="s">
        <v>1038</v>
      </c>
      <c r="H37" s="38" t="s">
        <v>1040</v>
      </c>
      <c r="I37" s="38" t="s">
        <v>1039</v>
      </c>
      <c r="J37" s="38" t="s">
        <v>754</v>
      </c>
      <c r="K37" s="38" t="s">
        <v>754</v>
      </c>
      <c r="L37" s="38" t="s">
        <v>754</v>
      </c>
    </row>
    <row r="38" spans="1:12" x14ac:dyDescent="0.25">
      <c r="A38" s="38" t="s">
        <v>989</v>
      </c>
      <c r="B38" s="10">
        <v>34</v>
      </c>
      <c r="C38" s="38" t="s">
        <v>840</v>
      </c>
      <c r="D38" s="38" t="s">
        <v>496</v>
      </c>
      <c r="E38" s="38" t="s">
        <v>924</v>
      </c>
      <c r="F38" s="38" t="s">
        <v>754</v>
      </c>
      <c r="G38" s="38" t="s">
        <v>15</v>
      </c>
      <c r="H38" s="38" t="s">
        <v>500</v>
      </c>
      <c r="I38" s="38" t="s">
        <v>501</v>
      </c>
      <c r="J38" s="38" t="s">
        <v>754</v>
      </c>
      <c r="K38" s="38" t="s">
        <v>754</v>
      </c>
      <c r="L38" s="38" t="s">
        <v>754</v>
      </c>
    </row>
    <row r="39" spans="1:12" x14ac:dyDescent="0.25">
      <c r="A39" s="38" t="s">
        <v>990</v>
      </c>
      <c r="B39" s="38">
        <v>35</v>
      </c>
      <c r="C39" s="38" t="s">
        <v>840</v>
      </c>
      <c r="D39" s="38" t="s">
        <v>496</v>
      </c>
      <c r="E39" s="38" t="s">
        <v>924</v>
      </c>
      <c r="F39" s="38" t="s">
        <v>754</v>
      </c>
      <c r="G39" s="38" t="s">
        <v>583</v>
      </c>
      <c r="H39" s="38" t="s">
        <v>584</v>
      </c>
      <c r="I39" s="38" t="s">
        <v>585</v>
      </c>
      <c r="J39" s="38" t="s">
        <v>754</v>
      </c>
      <c r="K39" s="38" t="s">
        <v>754</v>
      </c>
      <c r="L39" s="38" t="s">
        <v>754</v>
      </c>
    </row>
    <row r="40" spans="1:12" x14ac:dyDescent="0.25">
      <c r="A40" s="38" t="s">
        <v>986</v>
      </c>
      <c r="B40" s="10">
        <v>36</v>
      </c>
      <c r="C40" s="38" t="s">
        <v>840</v>
      </c>
      <c r="D40" s="38" t="s">
        <v>496</v>
      </c>
      <c r="E40" s="38" t="s">
        <v>866</v>
      </c>
      <c r="F40" s="38" t="s">
        <v>754</v>
      </c>
      <c r="G40" s="38" t="s">
        <v>562</v>
      </c>
      <c r="H40" s="38" t="s">
        <v>622</v>
      </c>
      <c r="I40" s="38" t="s">
        <v>559</v>
      </c>
      <c r="J40" s="38" t="s">
        <v>754</v>
      </c>
      <c r="K40" s="38" t="s">
        <v>754</v>
      </c>
      <c r="L40" s="38" t="s">
        <v>754</v>
      </c>
    </row>
    <row r="41" spans="1:12" x14ac:dyDescent="0.25">
      <c r="A41" s="38" t="s">
        <v>991</v>
      </c>
      <c r="B41" s="38">
        <v>37</v>
      </c>
      <c r="C41" s="38" t="s">
        <v>840</v>
      </c>
      <c r="D41" s="38" t="s">
        <v>496</v>
      </c>
      <c r="E41" s="38" t="s">
        <v>924</v>
      </c>
      <c r="F41" s="38" t="s">
        <v>754</v>
      </c>
      <c r="G41" s="38" t="s">
        <v>548</v>
      </c>
      <c r="H41" s="38" t="s">
        <v>546</v>
      </c>
      <c r="I41" s="38" t="s">
        <v>547</v>
      </c>
      <c r="J41" s="38" t="s">
        <v>754</v>
      </c>
      <c r="K41" s="38" t="s">
        <v>754</v>
      </c>
      <c r="L41" s="38" t="s">
        <v>754</v>
      </c>
    </row>
    <row r="42" spans="1:12" ht="56.25" x14ac:dyDescent="0.25">
      <c r="A42" s="38" t="s">
        <v>511</v>
      </c>
      <c r="B42" s="10">
        <v>38</v>
      </c>
      <c r="C42" s="38" t="s">
        <v>840</v>
      </c>
      <c r="D42" s="38" t="s">
        <v>496</v>
      </c>
      <c r="E42" s="38" t="s">
        <v>755</v>
      </c>
      <c r="F42" s="38" t="s">
        <v>756</v>
      </c>
      <c r="G42" s="38" t="s">
        <v>868</v>
      </c>
      <c r="H42" s="38" t="s">
        <v>1182</v>
      </c>
      <c r="I42" s="38" t="s">
        <v>1183</v>
      </c>
      <c r="J42" s="38" t="s">
        <v>1043</v>
      </c>
      <c r="K42" s="128" t="s">
        <v>1184</v>
      </c>
      <c r="L42" s="128" t="s">
        <v>1185</v>
      </c>
    </row>
    <row r="43" spans="1:12" x14ac:dyDescent="0.25">
      <c r="A43" s="38" t="s">
        <v>530</v>
      </c>
      <c r="B43" s="38">
        <v>39</v>
      </c>
      <c r="C43" s="38" t="s">
        <v>840</v>
      </c>
      <c r="D43" s="38" t="s">
        <v>496</v>
      </c>
      <c r="E43" s="38" t="s">
        <v>755</v>
      </c>
      <c r="F43" s="38" t="s">
        <v>906</v>
      </c>
      <c r="G43" s="38" t="s">
        <v>869</v>
      </c>
      <c r="H43" s="38" t="s">
        <v>870</v>
      </c>
      <c r="I43" s="38" t="s">
        <v>871</v>
      </c>
      <c r="J43" s="38" t="s">
        <v>1044</v>
      </c>
      <c r="K43" s="128" t="s">
        <v>1186</v>
      </c>
      <c r="L43" s="128" t="s">
        <v>1187</v>
      </c>
    </row>
    <row r="44" spans="1:12" ht="56.25" x14ac:dyDescent="0.25">
      <c r="A44" s="38" t="s">
        <v>641</v>
      </c>
      <c r="B44" s="10">
        <v>40</v>
      </c>
      <c r="C44" s="38" t="s">
        <v>840</v>
      </c>
      <c r="D44" s="38" t="s">
        <v>496</v>
      </c>
      <c r="E44" s="38" t="s">
        <v>755</v>
      </c>
      <c r="F44" s="38" t="s">
        <v>907</v>
      </c>
      <c r="G44" s="38" t="s">
        <v>872</v>
      </c>
      <c r="H44" s="38" t="s">
        <v>873</v>
      </c>
      <c r="I44" s="38" t="s">
        <v>874</v>
      </c>
      <c r="J44" s="38" t="s">
        <v>1045</v>
      </c>
      <c r="K44" s="128" t="s">
        <v>1188</v>
      </c>
      <c r="L44" s="128" t="s">
        <v>1189</v>
      </c>
    </row>
    <row r="45" spans="1:12" ht="33.75" x14ac:dyDescent="0.25">
      <c r="A45" s="38" t="s">
        <v>642</v>
      </c>
      <c r="B45" s="38">
        <v>41</v>
      </c>
      <c r="C45" s="38" t="s">
        <v>840</v>
      </c>
      <c r="D45" s="38" t="s">
        <v>496</v>
      </c>
      <c r="E45" s="38" t="s">
        <v>755</v>
      </c>
      <c r="F45" s="38" t="s">
        <v>756</v>
      </c>
      <c r="G45" s="38" t="s">
        <v>875</v>
      </c>
      <c r="H45" s="38" t="s">
        <v>876</v>
      </c>
      <c r="I45" s="38" t="s">
        <v>877</v>
      </c>
      <c r="J45" s="38" t="s">
        <v>1046</v>
      </c>
      <c r="K45" s="128" t="s">
        <v>1190</v>
      </c>
      <c r="L45" s="128" t="s">
        <v>1191</v>
      </c>
    </row>
    <row r="46" spans="1:12" ht="45" x14ac:dyDescent="0.25">
      <c r="A46" s="38" t="s">
        <v>505</v>
      </c>
      <c r="B46" s="10">
        <v>42</v>
      </c>
      <c r="C46" s="38" t="s">
        <v>840</v>
      </c>
      <c r="D46" s="38" t="s">
        <v>496</v>
      </c>
      <c r="E46" s="38" t="s">
        <v>755</v>
      </c>
      <c r="F46" s="38" t="s">
        <v>906</v>
      </c>
      <c r="G46" s="38" t="s">
        <v>1306</v>
      </c>
      <c r="H46" s="38" t="s">
        <v>1307</v>
      </c>
      <c r="I46" s="38" t="s">
        <v>1308</v>
      </c>
      <c r="J46" s="38" t="s">
        <v>1047</v>
      </c>
      <c r="K46" s="128" t="s">
        <v>1192</v>
      </c>
      <c r="L46" s="128" t="s">
        <v>764</v>
      </c>
    </row>
    <row r="47" spans="1:12" ht="33.75" x14ac:dyDescent="0.25">
      <c r="A47" s="38" t="s">
        <v>512</v>
      </c>
      <c r="B47" s="38">
        <v>43</v>
      </c>
      <c r="C47" s="38" t="s">
        <v>840</v>
      </c>
      <c r="D47" s="38" t="s">
        <v>496</v>
      </c>
      <c r="E47" s="38" t="s">
        <v>755</v>
      </c>
      <c r="F47" s="38" t="s">
        <v>906</v>
      </c>
      <c r="G47" s="38" t="s">
        <v>10</v>
      </c>
      <c r="H47" s="38" t="s">
        <v>540</v>
      </c>
      <c r="I47" s="38" t="s">
        <v>490</v>
      </c>
      <c r="J47" s="38" t="s">
        <v>1048</v>
      </c>
      <c r="K47" s="128" t="s">
        <v>1193</v>
      </c>
      <c r="L47" s="128" t="s">
        <v>1194</v>
      </c>
    </row>
    <row r="48" spans="1:12" ht="22.5" x14ac:dyDescent="0.25">
      <c r="A48" s="38" t="s">
        <v>531</v>
      </c>
      <c r="B48" s="10">
        <v>44</v>
      </c>
      <c r="C48" s="38" t="s">
        <v>840</v>
      </c>
      <c r="D48" s="38" t="s">
        <v>496</v>
      </c>
      <c r="E48" s="38" t="s">
        <v>755</v>
      </c>
      <c r="F48" s="38" t="s">
        <v>906</v>
      </c>
      <c r="G48" s="38" t="s">
        <v>11</v>
      </c>
      <c r="H48" s="38" t="s">
        <v>560</v>
      </c>
      <c r="I48" s="38" t="s">
        <v>491</v>
      </c>
      <c r="J48" s="38" t="s">
        <v>1049</v>
      </c>
      <c r="K48" s="128" t="s">
        <v>1195</v>
      </c>
      <c r="L48" s="128" t="s">
        <v>1196</v>
      </c>
    </row>
    <row r="49" spans="1:12" ht="22.5" x14ac:dyDescent="0.25">
      <c r="A49" s="38" t="s">
        <v>1031</v>
      </c>
      <c r="B49" s="38">
        <v>45</v>
      </c>
      <c r="C49" s="38" t="s">
        <v>840</v>
      </c>
      <c r="D49" s="38" t="s">
        <v>496</v>
      </c>
      <c r="E49" s="38" t="s">
        <v>755</v>
      </c>
      <c r="F49" s="38" t="s">
        <v>756</v>
      </c>
      <c r="G49" s="38" t="s">
        <v>878</v>
      </c>
      <c r="H49" s="38" t="s">
        <v>879</v>
      </c>
      <c r="I49" s="38" t="s">
        <v>880</v>
      </c>
      <c r="J49" s="38" t="s">
        <v>1050</v>
      </c>
      <c r="K49" s="128" t="s">
        <v>1197</v>
      </c>
      <c r="L49" s="128" t="s">
        <v>1198</v>
      </c>
    </row>
    <row r="50" spans="1:12" ht="56.25" x14ac:dyDescent="0.25">
      <c r="A50" s="38" t="s">
        <v>1041</v>
      </c>
      <c r="B50" s="10">
        <v>46</v>
      </c>
      <c r="C50" s="38" t="s">
        <v>840</v>
      </c>
      <c r="D50" s="38" t="s">
        <v>496</v>
      </c>
      <c r="E50" s="38" t="s">
        <v>755</v>
      </c>
      <c r="F50" s="38" t="s">
        <v>756</v>
      </c>
      <c r="G50" s="38" t="s">
        <v>881</v>
      </c>
      <c r="H50" s="38" t="s">
        <v>882</v>
      </c>
      <c r="I50" s="38" t="s">
        <v>883</v>
      </c>
      <c r="J50" s="38" t="s">
        <v>1051</v>
      </c>
      <c r="K50" s="128" t="s">
        <v>1199</v>
      </c>
      <c r="L50" s="128" t="s">
        <v>1200</v>
      </c>
    </row>
    <row r="51" spans="1:12" ht="56.25" x14ac:dyDescent="0.25">
      <c r="A51" s="38" t="s">
        <v>2</v>
      </c>
      <c r="B51" s="38">
        <v>47</v>
      </c>
      <c r="C51" s="38" t="s">
        <v>840</v>
      </c>
      <c r="D51" s="38" t="s">
        <v>496</v>
      </c>
      <c r="E51" s="38" t="s">
        <v>755</v>
      </c>
      <c r="F51" s="38" t="s">
        <v>907</v>
      </c>
      <c r="G51" s="38" t="s">
        <v>1032</v>
      </c>
      <c r="H51" s="38" t="s">
        <v>1033</v>
      </c>
      <c r="I51" s="38" t="s">
        <v>1034</v>
      </c>
      <c r="J51" s="38" t="s">
        <v>1052</v>
      </c>
      <c r="K51" s="128" t="s">
        <v>1201</v>
      </c>
      <c r="L51" s="128" t="s">
        <v>1202</v>
      </c>
    </row>
    <row r="52" spans="1:12" ht="33.75" x14ac:dyDescent="0.25">
      <c r="A52" s="38" t="s">
        <v>3</v>
      </c>
      <c r="B52" s="10">
        <v>48</v>
      </c>
      <c r="C52" s="38" t="s">
        <v>840</v>
      </c>
      <c r="D52" s="38" t="s">
        <v>496</v>
      </c>
      <c r="E52" s="38" t="s">
        <v>755</v>
      </c>
      <c r="F52" s="38" t="s">
        <v>907</v>
      </c>
      <c r="G52" s="38" t="s">
        <v>1037</v>
      </c>
      <c r="H52" s="38" t="s">
        <v>1036</v>
      </c>
      <c r="I52" s="38" t="s">
        <v>1035</v>
      </c>
      <c r="J52" s="38" t="s">
        <v>1203</v>
      </c>
      <c r="K52" s="128" t="s">
        <v>1204</v>
      </c>
      <c r="L52" s="128" t="s">
        <v>1205</v>
      </c>
    </row>
    <row r="53" spans="1:12" ht="33.75" x14ac:dyDescent="0.25">
      <c r="A53" s="38" t="s">
        <v>506</v>
      </c>
      <c r="B53" s="38">
        <v>53</v>
      </c>
      <c r="C53" s="38" t="s">
        <v>840</v>
      </c>
      <c r="D53" s="38" t="s">
        <v>496</v>
      </c>
      <c r="E53" s="38" t="s">
        <v>755</v>
      </c>
      <c r="F53" s="38" t="s">
        <v>756</v>
      </c>
      <c r="G53" s="38" t="s">
        <v>893</v>
      </c>
      <c r="H53" s="38" t="s">
        <v>894</v>
      </c>
      <c r="I53" s="38" t="s">
        <v>895</v>
      </c>
      <c r="J53" s="192" t="s">
        <v>1053</v>
      </c>
      <c r="K53" s="193" t="s">
        <v>1206</v>
      </c>
      <c r="L53" s="194" t="s">
        <v>1207</v>
      </c>
    </row>
    <row r="54" spans="1:12" ht="33.75" x14ac:dyDescent="0.25">
      <c r="A54" s="38" t="s">
        <v>507</v>
      </c>
      <c r="B54" s="10">
        <v>54</v>
      </c>
      <c r="C54" s="38" t="s">
        <v>840</v>
      </c>
      <c r="D54" s="38" t="s">
        <v>496</v>
      </c>
      <c r="E54" s="38" t="s">
        <v>755</v>
      </c>
      <c r="F54" s="38" t="s">
        <v>756</v>
      </c>
      <c r="G54" s="38" t="s">
        <v>896</v>
      </c>
      <c r="H54" s="38" t="s">
        <v>897</v>
      </c>
      <c r="I54" s="38" t="s">
        <v>898</v>
      </c>
      <c r="J54" s="192" t="s">
        <v>1054</v>
      </c>
      <c r="K54" s="193" t="s">
        <v>1208</v>
      </c>
      <c r="L54" s="194" t="s">
        <v>1209</v>
      </c>
    </row>
    <row r="55" spans="1:12" ht="45" x14ac:dyDescent="0.25">
      <c r="A55" s="38" t="s">
        <v>508</v>
      </c>
      <c r="B55" s="38">
        <v>49</v>
      </c>
      <c r="C55" s="38" t="s">
        <v>840</v>
      </c>
      <c r="D55" s="38" t="s">
        <v>496</v>
      </c>
      <c r="E55" s="38" t="s">
        <v>755</v>
      </c>
      <c r="F55" s="38" t="s">
        <v>908</v>
      </c>
      <c r="G55" s="38" t="s">
        <v>884</v>
      </c>
      <c r="H55" s="38" t="s">
        <v>885</v>
      </c>
      <c r="I55" s="38" t="s">
        <v>886</v>
      </c>
      <c r="J55" s="38" t="s">
        <v>1309</v>
      </c>
      <c r="K55" s="128" t="s">
        <v>765</v>
      </c>
      <c r="L55" s="128" t="s">
        <v>1210</v>
      </c>
    </row>
    <row r="56" spans="1:12" ht="33.75" x14ac:dyDescent="0.25">
      <c r="A56" s="38" t="s">
        <v>528</v>
      </c>
      <c r="B56" s="10">
        <v>50</v>
      </c>
      <c r="C56" s="38" t="s">
        <v>840</v>
      </c>
      <c r="D56" s="38" t="s">
        <v>496</v>
      </c>
      <c r="E56" s="38" t="s">
        <v>755</v>
      </c>
      <c r="F56" s="38" t="s">
        <v>756</v>
      </c>
      <c r="G56" s="38" t="s">
        <v>887</v>
      </c>
      <c r="H56" s="38" t="s">
        <v>888</v>
      </c>
      <c r="I56" s="38" t="s">
        <v>889</v>
      </c>
      <c r="J56" s="38" t="s">
        <v>1055</v>
      </c>
      <c r="K56" s="128" t="s">
        <v>1211</v>
      </c>
      <c r="L56" s="128" t="s">
        <v>1212</v>
      </c>
    </row>
    <row r="57" spans="1:12" ht="22.5" x14ac:dyDescent="0.25">
      <c r="A57" s="38" t="s">
        <v>12</v>
      </c>
      <c r="B57" s="38">
        <v>51</v>
      </c>
      <c r="C57" s="38" t="s">
        <v>840</v>
      </c>
      <c r="D57" s="38" t="s">
        <v>496</v>
      </c>
      <c r="E57" s="38" t="s">
        <v>755</v>
      </c>
      <c r="F57" s="38" t="s">
        <v>908</v>
      </c>
      <c r="G57" s="38" t="s">
        <v>12</v>
      </c>
      <c r="H57" s="38" t="s">
        <v>12</v>
      </c>
      <c r="I57" s="38" t="s">
        <v>492</v>
      </c>
      <c r="J57" s="38" t="s">
        <v>1056</v>
      </c>
      <c r="K57" s="128" t="s">
        <v>766</v>
      </c>
      <c r="L57" s="128" t="s">
        <v>1213</v>
      </c>
    </row>
    <row r="58" spans="1:12" ht="22.5" x14ac:dyDescent="0.25">
      <c r="A58" s="38" t="s">
        <v>529</v>
      </c>
      <c r="B58" s="10">
        <v>52</v>
      </c>
      <c r="C58" s="38" t="s">
        <v>840</v>
      </c>
      <c r="D58" s="38" t="s">
        <v>496</v>
      </c>
      <c r="E58" s="38" t="s">
        <v>755</v>
      </c>
      <c r="F58" s="38" t="s">
        <v>756</v>
      </c>
      <c r="G58" s="38" t="s">
        <v>890</v>
      </c>
      <c r="H58" s="38" t="s">
        <v>891</v>
      </c>
      <c r="I58" s="38" t="s">
        <v>892</v>
      </c>
      <c r="J58" s="38" t="s">
        <v>1057</v>
      </c>
      <c r="K58" s="128" t="s">
        <v>1214</v>
      </c>
      <c r="L58" s="128" t="s">
        <v>1215</v>
      </c>
    </row>
    <row r="59" spans="1:12" ht="22.5" x14ac:dyDescent="0.25">
      <c r="A59" s="38" t="s">
        <v>613</v>
      </c>
      <c r="B59" s="10">
        <v>58</v>
      </c>
      <c r="C59" s="38" t="s">
        <v>840</v>
      </c>
      <c r="D59" s="38" t="s">
        <v>496</v>
      </c>
      <c r="E59" s="38" t="s">
        <v>755</v>
      </c>
      <c r="F59" s="38" t="s">
        <v>906</v>
      </c>
      <c r="G59" s="38" t="s">
        <v>614</v>
      </c>
      <c r="H59" s="38" t="s">
        <v>615</v>
      </c>
      <c r="I59" s="38" t="s">
        <v>616</v>
      </c>
      <c r="J59" s="38" t="s">
        <v>1060</v>
      </c>
      <c r="K59" s="128" t="s">
        <v>1218</v>
      </c>
      <c r="L59" s="128" t="s">
        <v>1219</v>
      </c>
    </row>
    <row r="60" spans="1:12" ht="38.25" x14ac:dyDescent="0.25">
      <c r="A60" s="38" t="s">
        <v>509</v>
      </c>
      <c r="B60" s="38">
        <v>55</v>
      </c>
      <c r="C60" s="38" t="s">
        <v>840</v>
      </c>
      <c r="D60" s="38" t="s">
        <v>496</v>
      </c>
      <c r="E60" s="38" t="s">
        <v>755</v>
      </c>
      <c r="F60" s="38" t="s">
        <v>908</v>
      </c>
      <c r="G60" s="38" t="s">
        <v>899</v>
      </c>
      <c r="H60" s="38" t="s">
        <v>900</v>
      </c>
      <c r="I60" s="38" t="s">
        <v>901</v>
      </c>
      <c r="J60" s="38" t="s">
        <v>1058</v>
      </c>
      <c r="K60" s="128" t="s">
        <v>1216</v>
      </c>
      <c r="L60" s="128" t="s">
        <v>1299</v>
      </c>
    </row>
    <row r="61" spans="1:12" ht="22.5" x14ac:dyDescent="0.25">
      <c r="A61" s="38" t="s">
        <v>1030</v>
      </c>
      <c r="B61" s="10">
        <v>56</v>
      </c>
      <c r="C61" s="38" t="s">
        <v>840</v>
      </c>
      <c r="D61" s="38" t="s">
        <v>496</v>
      </c>
      <c r="E61" s="38" t="s">
        <v>755</v>
      </c>
      <c r="F61" s="38" t="s">
        <v>756</v>
      </c>
      <c r="G61" s="38" t="s">
        <v>902</v>
      </c>
      <c r="H61" s="38" t="s">
        <v>903</v>
      </c>
      <c r="I61" s="38" t="s">
        <v>623</v>
      </c>
      <c r="J61" s="38" t="s">
        <v>1059</v>
      </c>
      <c r="K61" s="128" t="s">
        <v>767</v>
      </c>
      <c r="L61" s="128" t="s">
        <v>1217</v>
      </c>
    </row>
    <row r="62" spans="1:12" x14ac:dyDescent="0.25">
      <c r="A62" s="38" t="s">
        <v>1029</v>
      </c>
      <c r="B62" s="38">
        <v>57</v>
      </c>
      <c r="C62" s="38" t="s">
        <v>840</v>
      </c>
      <c r="D62" s="38" t="s">
        <v>496</v>
      </c>
      <c r="E62" s="38" t="s">
        <v>755</v>
      </c>
      <c r="F62" s="38" t="s">
        <v>907</v>
      </c>
      <c r="G62" s="38" t="s">
        <v>14</v>
      </c>
      <c r="H62" s="38" t="s">
        <v>905</v>
      </c>
      <c r="I62" s="38" t="s">
        <v>904</v>
      </c>
      <c r="J62" s="192" t="s">
        <v>1061</v>
      </c>
      <c r="K62" s="193" t="s">
        <v>1220</v>
      </c>
      <c r="L62" s="194" t="s">
        <v>1221</v>
      </c>
    </row>
    <row r="63" spans="1:12" ht="22.5" x14ac:dyDescent="0.25">
      <c r="A63" s="38" t="s">
        <v>1042</v>
      </c>
      <c r="B63" s="38">
        <v>59</v>
      </c>
      <c r="C63" s="38" t="s">
        <v>840</v>
      </c>
      <c r="D63" s="38" t="s">
        <v>496</v>
      </c>
      <c r="E63" s="38" t="s">
        <v>755</v>
      </c>
      <c r="F63" s="38" t="s">
        <v>756</v>
      </c>
      <c r="G63" s="38" t="s">
        <v>489</v>
      </c>
      <c r="H63" s="38" t="s">
        <v>549</v>
      </c>
      <c r="I63" s="38" t="s">
        <v>550</v>
      </c>
      <c r="J63" s="38" t="s">
        <v>1062</v>
      </c>
      <c r="K63" s="128" t="s">
        <v>1222</v>
      </c>
      <c r="L63" s="128" t="s">
        <v>1223</v>
      </c>
    </row>
    <row r="64" spans="1:12" ht="22.5" x14ac:dyDescent="0.25">
      <c r="A64" s="38" t="s">
        <v>510</v>
      </c>
      <c r="B64" s="10">
        <v>60</v>
      </c>
      <c r="C64" s="38" t="s">
        <v>840</v>
      </c>
      <c r="D64" s="38" t="s">
        <v>496</v>
      </c>
      <c r="E64" s="38" t="s">
        <v>755</v>
      </c>
      <c r="F64" s="38" t="s">
        <v>906</v>
      </c>
      <c r="G64" s="38" t="s">
        <v>1</v>
      </c>
      <c r="H64" s="38" t="s">
        <v>494</v>
      </c>
      <c r="I64" s="38" t="s">
        <v>493</v>
      </c>
      <c r="J64" s="38" t="s">
        <v>1063</v>
      </c>
      <c r="K64" s="128" t="s">
        <v>1224</v>
      </c>
      <c r="L64" s="128" t="s">
        <v>1225</v>
      </c>
    </row>
    <row r="65" spans="1:12" ht="45" x14ac:dyDescent="0.25">
      <c r="A65" s="38" t="s">
        <v>513</v>
      </c>
      <c r="B65" s="38">
        <v>61</v>
      </c>
      <c r="C65" s="38" t="s">
        <v>840</v>
      </c>
      <c r="D65" s="38" t="s">
        <v>496</v>
      </c>
      <c r="E65" s="38" t="s">
        <v>755</v>
      </c>
      <c r="F65" s="38" t="s">
        <v>908</v>
      </c>
      <c r="G65" s="38" t="s">
        <v>552</v>
      </c>
      <c r="H65" s="38" t="s">
        <v>551</v>
      </c>
      <c r="I65" s="38" t="s">
        <v>553</v>
      </c>
      <c r="J65" s="38" t="s">
        <v>1064</v>
      </c>
      <c r="K65" s="128" t="s">
        <v>1226</v>
      </c>
      <c r="L65" s="128" t="s">
        <v>1227</v>
      </c>
    </row>
    <row r="66" spans="1:12" x14ac:dyDescent="0.25">
      <c r="A66" s="38" t="s">
        <v>1028</v>
      </c>
      <c r="B66" s="10">
        <v>62</v>
      </c>
      <c r="C66" s="38" t="s">
        <v>840</v>
      </c>
      <c r="D66" s="38" t="s">
        <v>496</v>
      </c>
      <c r="E66" s="38" t="s">
        <v>755</v>
      </c>
      <c r="F66" s="38" t="s">
        <v>908</v>
      </c>
      <c r="G66" s="38" t="s">
        <v>1228</v>
      </c>
      <c r="H66" s="38" t="s">
        <v>1229</v>
      </c>
      <c r="I66" s="38" t="s">
        <v>1230</v>
      </c>
      <c r="J66" s="38" t="s">
        <v>1065</v>
      </c>
      <c r="K66" s="128" t="s">
        <v>1231</v>
      </c>
      <c r="L66" s="128" t="s">
        <v>1232</v>
      </c>
    </row>
    <row r="67" spans="1:12" ht="22.5" x14ac:dyDescent="0.25">
      <c r="A67" s="38" t="s">
        <v>1027</v>
      </c>
      <c r="B67" s="38">
        <v>63</v>
      </c>
      <c r="C67" s="38" t="s">
        <v>840</v>
      </c>
      <c r="D67" s="38" t="s">
        <v>496</v>
      </c>
      <c r="E67" s="38" t="s">
        <v>755</v>
      </c>
      <c r="F67" s="38" t="s">
        <v>756</v>
      </c>
      <c r="G67" s="38" t="s">
        <v>16</v>
      </c>
      <c r="H67" s="38" t="s">
        <v>554</v>
      </c>
      <c r="I67" s="38" t="s">
        <v>555</v>
      </c>
      <c r="J67" s="38" t="s">
        <v>1066</v>
      </c>
      <c r="K67" s="128" t="s">
        <v>1233</v>
      </c>
      <c r="L67" s="128" t="s">
        <v>1234</v>
      </c>
    </row>
    <row r="68" spans="1:12" x14ac:dyDescent="0.25">
      <c r="A68" s="38" t="s">
        <v>992</v>
      </c>
      <c r="B68" s="10">
        <v>64</v>
      </c>
      <c r="C68" s="38" t="s">
        <v>841</v>
      </c>
      <c r="D68" s="38" t="s">
        <v>496</v>
      </c>
      <c r="E68" s="38" t="s">
        <v>866</v>
      </c>
      <c r="F68" s="38" t="s">
        <v>754</v>
      </c>
      <c r="G68" s="38" t="s">
        <v>0</v>
      </c>
      <c r="H68" s="38" t="s">
        <v>0</v>
      </c>
      <c r="I68" s="38" t="s">
        <v>502</v>
      </c>
      <c r="J68" s="38" t="s">
        <v>754</v>
      </c>
      <c r="K68" s="38" t="s">
        <v>754</v>
      </c>
      <c r="L68" s="38" t="s">
        <v>754</v>
      </c>
    </row>
    <row r="69" spans="1:12" ht="33.75" x14ac:dyDescent="0.25">
      <c r="A69" s="38" t="s">
        <v>993</v>
      </c>
      <c r="B69" s="38">
        <v>65</v>
      </c>
      <c r="C69" s="38" t="s">
        <v>841</v>
      </c>
      <c r="D69" s="38" t="s">
        <v>496</v>
      </c>
      <c r="E69" s="38" t="s">
        <v>866</v>
      </c>
      <c r="F69" s="38" t="s">
        <v>754</v>
      </c>
      <c r="G69" s="38" t="s">
        <v>1235</v>
      </c>
      <c r="H69" s="38" t="s">
        <v>1236</v>
      </c>
      <c r="I69" s="38" t="s">
        <v>1237</v>
      </c>
      <c r="J69" s="38" t="s">
        <v>754</v>
      </c>
      <c r="K69" s="38" t="s">
        <v>754</v>
      </c>
      <c r="L69" s="38" t="s">
        <v>754</v>
      </c>
    </row>
    <row r="70" spans="1:12" ht="33.75" x14ac:dyDescent="0.25">
      <c r="A70" s="38" t="s">
        <v>994</v>
      </c>
      <c r="B70" s="10">
        <v>66</v>
      </c>
      <c r="C70" s="38" t="s">
        <v>841</v>
      </c>
      <c r="D70" s="38" t="s">
        <v>496</v>
      </c>
      <c r="E70" s="38" t="s">
        <v>866</v>
      </c>
      <c r="F70" s="38" t="s">
        <v>754</v>
      </c>
      <c r="G70" s="38" t="s">
        <v>723</v>
      </c>
      <c r="H70" s="38" t="s">
        <v>743</v>
      </c>
      <c r="I70" s="39" t="s">
        <v>744</v>
      </c>
      <c r="J70" s="38" t="s">
        <v>754</v>
      </c>
      <c r="K70" s="38" t="s">
        <v>754</v>
      </c>
      <c r="L70" s="38" t="s">
        <v>754</v>
      </c>
    </row>
    <row r="71" spans="1:12" x14ac:dyDescent="0.25">
      <c r="A71" s="38" t="s">
        <v>995</v>
      </c>
      <c r="B71" s="38">
        <v>67</v>
      </c>
      <c r="C71" s="38" t="s">
        <v>841</v>
      </c>
      <c r="D71" s="38" t="s">
        <v>496</v>
      </c>
      <c r="E71" s="38" t="s">
        <v>866</v>
      </c>
      <c r="F71" s="38" t="s">
        <v>754</v>
      </c>
      <c r="G71" s="38" t="s">
        <v>602</v>
      </c>
      <c r="H71" s="39" t="s">
        <v>603</v>
      </c>
      <c r="I71" s="39" t="s">
        <v>604</v>
      </c>
      <c r="J71" s="38" t="s">
        <v>754</v>
      </c>
      <c r="K71" s="38" t="s">
        <v>754</v>
      </c>
      <c r="L71" s="38" t="s">
        <v>754</v>
      </c>
    </row>
    <row r="72" spans="1:12" x14ac:dyDescent="0.25">
      <c r="A72" s="38" t="s">
        <v>996</v>
      </c>
      <c r="B72" s="10">
        <v>68</v>
      </c>
      <c r="C72" s="38" t="s">
        <v>841</v>
      </c>
      <c r="D72" s="38" t="s">
        <v>496</v>
      </c>
      <c r="E72" s="38" t="s">
        <v>866</v>
      </c>
      <c r="F72" s="38" t="s">
        <v>754</v>
      </c>
      <c r="G72" s="38" t="s">
        <v>605</v>
      </c>
      <c r="H72" s="39" t="s">
        <v>606</v>
      </c>
      <c r="I72" s="39" t="s">
        <v>607</v>
      </c>
      <c r="J72" s="38" t="s">
        <v>754</v>
      </c>
      <c r="K72" s="38" t="s">
        <v>754</v>
      </c>
      <c r="L72" s="38" t="s">
        <v>754</v>
      </c>
    </row>
    <row r="73" spans="1:12" x14ac:dyDescent="0.25">
      <c r="A73" s="38" t="s">
        <v>997</v>
      </c>
      <c r="B73" s="38">
        <v>69</v>
      </c>
      <c r="C73" s="38" t="s">
        <v>841</v>
      </c>
      <c r="D73" s="38" t="s">
        <v>496</v>
      </c>
      <c r="E73" s="38" t="s">
        <v>866</v>
      </c>
      <c r="F73" s="38" t="s">
        <v>754</v>
      </c>
      <c r="G73" s="38" t="s">
        <v>722</v>
      </c>
      <c r="H73" s="39" t="s">
        <v>737</v>
      </c>
      <c r="I73" s="39" t="s">
        <v>738</v>
      </c>
      <c r="J73" s="38" t="s">
        <v>754</v>
      </c>
      <c r="K73" s="38" t="s">
        <v>754</v>
      </c>
      <c r="L73" s="38" t="s">
        <v>754</v>
      </c>
    </row>
    <row r="74" spans="1:12" x14ac:dyDescent="0.25">
      <c r="A74" s="38" t="s">
        <v>998</v>
      </c>
      <c r="B74" s="10">
        <v>70</v>
      </c>
      <c r="C74" s="38" t="s">
        <v>841</v>
      </c>
      <c r="D74" s="38" t="s">
        <v>496</v>
      </c>
      <c r="E74" s="38" t="s">
        <v>866</v>
      </c>
      <c r="F74" s="38" t="s">
        <v>754</v>
      </c>
      <c r="G74" s="38" t="s">
        <v>599</v>
      </c>
      <c r="H74" s="39" t="s">
        <v>600</v>
      </c>
      <c r="I74" s="39" t="s">
        <v>601</v>
      </c>
      <c r="J74" s="38" t="s">
        <v>754</v>
      </c>
      <c r="K74" s="38" t="s">
        <v>754</v>
      </c>
      <c r="L74" s="38" t="s">
        <v>754</v>
      </c>
    </row>
    <row r="75" spans="1:12" x14ac:dyDescent="0.25">
      <c r="A75" s="38" t="s">
        <v>999</v>
      </c>
      <c r="B75" s="38">
        <v>71</v>
      </c>
      <c r="C75" s="38" t="s">
        <v>841</v>
      </c>
      <c r="D75" s="38" t="s">
        <v>496</v>
      </c>
      <c r="E75" s="38" t="s">
        <v>866</v>
      </c>
      <c r="F75" s="38" t="s">
        <v>754</v>
      </c>
      <c r="G75" s="38" t="s">
        <v>1137</v>
      </c>
      <c r="H75" s="39" t="s">
        <v>1139</v>
      </c>
      <c r="I75" s="39" t="s">
        <v>1141</v>
      </c>
      <c r="J75" s="38" t="s">
        <v>754</v>
      </c>
      <c r="K75" s="38" t="s">
        <v>754</v>
      </c>
      <c r="L75" s="38" t="s">
        <v>754</v>
      </c>
    </row>
    <row r="76" spans="1:12" x14ac:dyDescent="0.25">
      <c r="A76" s="38" t="s">
        <v>1000</v>
      </c>
      <c r="B76" s="10">
        <v>72</v>
      </c>
      <c r="C76" s="38" t="s">
        <v>841</v>
      </c>
      <c r="D76" s="38" t="s">
        <v>496</v>
      </c>
      <c r="E76" s="38" t="s">
        <v>866</v>
      </c>
      <c r="F76" s="38" t="s">
        <v>754</v>
      </c>
      <c r="G76" s="38" t="s">
        <v>1138</v>
      </c>
      <c r="H76" s="39" t="s">
        <v>1140</v>
      </c>
      <c r="I76" s="39" t="s">
        <v>1142</v>
      </c>
      <c r="J76" s="38" t="s">
        <v>754</v>
      </c>
      <c r="K76" s="38" t="s">
        <v>754</v>
      </c>
      <c r="L76" s="38" t="s">
        <v>754</v>
      </c>
    </row>
    <row r="77" spans="1:12" ht="56.25" x14ac:dyDescent="0.25">
      <c r="A77" s="38" t="s">
        <v>511</v>
      </c>
      <c r="B77" s="38">
        <v>73</v>
      </c>
      <c r="C77" s="38" t="s">
        <v>841</v>
      </c>
      <c r="D77" s="38" t="s">
        <v>496</v>
      </c>
      <c r="E77" s="38" t="s">
        <v>755</v>
      </c>
      <c r="F77" s="38" t="s">
        <v>906</v>
      </c>
      <c r="G77" s="38" t="s">
        <v>868</v>
      </c>
      <c r="H77" s="38" t="s">
        <v>1144</v>
      </c>
      <c r="I77" s="38" t="s">
        <v>1143</v>
      </c>
      <c r="J77" s="38" t="s">
        <v>1043</v>
      </c>
      <c r="K77" s="38" t="s">
        <v>1184</v>
      </c>
      <c r="L77" s="128" t="s">
        <v>1185</v>
      </c>
    </row>
    <row r="78" spans="1:12" ht="33.75" x14ac:dyDescent="0.25">
      <c r="A78" s="38" t="s">
        <v>530</v>
      </c>
      <c r="B78" s="10">
        <v>74</v>
      </c>
      <c r="C78" s="38" t="s">
        <v>841</v>
      </c>
      <c r="D78" s="38" t="s">
        <v>496</v>
      </c>
      <c r="E78" s="38" t="s">
        <v>755</v>
      </c>
      <c r="F78" s="38" t="s">
        <v>906</v>
      </c>
      <c r="G78" s="38" t="s">
        <v>1145</v>
      </c>
      <c r="H78" s="38" t="s">
        <v>1146</v>
      </c>
      <c r="I78" s="38" t="s">
        <v>1147</v>
      </c>
      <c r="J78" s="38" t="s">
        <v>1067</v>
      </c>
      <c r="K78" s="38" t="s">
        <v>1238</v>
      </c>
      <c r="L78" s="128" t="s">
        <v>1239</v>
      </c>
    </row>
    <row r="79" spans="1:12" ht="45" x14ac:dyDescent="0.25">
      <c r="A79" s="38" t="s">
        <v>1013</v>
      </c>
      <c r="B79" s="38">
        <v>75</v>
      </c>
      <c r="C79" s="38" t="s">
        <v>841</v>
      </c>
      <c r="D79" s="38" t="s">
        <v>496</v>
      </c>
      <c r="E79" s="38" t="s">
        <v>755</v>
      </c>
      <c r="F79" s="38" t="s">
        <v>929</v>
      </c>
      <c r="G79" s="38" t="s">
        <v>1008</v>
      </c>
      <c r="H79" s="38" t="s">
        <v>1007</v>
      </c>
      <c r="I79" s="38" t="s">
        <v>1009</v>
      </c>
      <c r="J79" s="38" t="s">
        <v>1068</v>
      </c>
      <c r="K79" s="38" t="s">
        <v>1240</v>
      </c>
      <c r="L79" s="128" t="s">
        <v>1241</v>
      </c>
    </row>
    <row r="80" spans="1:12" x14ac:dyDescent="0.25">
      <c r="A80" s="38" t="s">
        <v>724</v>
      </c>
      <c r="B80" s="10">
        <v>76</v>
      </c>
      <c r="C80" s="38" t="s">
        <v>841</v>
      </c>
      <c r="D80" s="38" t="s">
        <v>496</v>
      </c>
      <c r="E80" s="38" t="s">
        <v>755</v>
      </c>
      <c r="F80" s="38" t="s">
        <v>929</v>
      </c>
      <c r="G80" s="38" t="s">
        <v>1010</v>
      </c>
      <c r="H80" s="38" t="s">
        <v>1011</v>
      </c>
      <c r="I80" s="38" t="s">
        <v>1012</v>
      </c>
      <c r="J80" s="38" t="s">
        <v>1069</v>
      </c>
      <c r="K80" s="38" t="s">
        <v>768</v>
      </c>
      <c r="L80" s="128" t="s">
        <v>1242</v>
      </c>
    </row>
    <row r="81" spans="1:12" ht="67.5" x14ac:dyDescent="0.25">
      <c r="A81" s="38" t="s">
        <v>727</v>
      </c>
      <c r="B81" s="38">
        <v>77</v>
      </c>
      <c r="C81" s="38" t="s">
        <v>841</v>
      </c>
      <c r="D81" s="38" t="s">
        <v>496</v>
      </c>
      <c r="E81" s="38" t="s">
        <v>755</v>
      </c>
      <c r="F81" s="38" t="s">
        <v>756</v>
      </c>
      <c r="G81" s="38" t="s">
        <v>1102</v>
      </c>
      <c r="H81" s="38" t="s">
        <v>1100</v>
      </c>
      <c r="I81" s="38" t="s">
        <v>1101</v>
      </c>
      <c r="J81" s="38" t="s">
        <v>1070</v>
      </c>
      <c r="K81" s="38" t="s">
        <v>1243</v>
      </c>
      <c r="L81" s="128" t="s">
        <v>1244</v>
      </c>
    </row>
    <row r="82" spans="1:12" ht="22.5" x14ac:dyDescent="0.25">
      <c r="A82" s="38" t="s">
        <v>733</v>
      </c>
      <c r="B82" s="10">
        <v>78</v>
      </c>
      <c r="C82" s="38" t="s">
        <v>841</v>
      </c>
      <c r="D82" s="38" t="s">
        <v>496</v>
      </c>
      <c r="E82" s="38" t="s">
        <v>755</v>
      </c>
      <c r="F82" s="38" t="s">
        <v>856</v>
      </c>
      <c r="G82" s="38" t="s">
        <v>739</v>
      </c>
      <c r="H82" s="38" t="s">
        <v>739</v>
      </c>
      <c r="I82" s="38" t="s">
        <v>739</v>
      </c>
      <c r="J82" s="38" t="s">
        <v>1071</v>
      </c>
      <c r="K82" s="38" t="s">
        <v>1245</v>
      </c>
      <c r="L82" s="128" t="s">
        <v>1246</v>
      </c>
    </row>
    <row r="83" spans="1:12" ht="22.5" x14ac:dyDescent="0.25">
      <c r="A83" s="38" t="s">
        <v>734</v>
      </c>
      <c r="B83" s="38">
        <v>79</v>
      </c>
      <c r="C83" s="38" t="s">
        <v>841</v>
      </c>
      <c r="D83" s="38" t="s">
        <v>496</v>
      </c>
      <c r="E83" s="38" t="s">
        <v>755</v>
      </c>
      <c r="F83" s="38" t="s">
        <v>856</v>
      </c>
      <c r="G83" s="38" t="s">
        <v>740</v>
      </c>
      <c r="H83" s="38" t="s">
        <v>740</v>
      </c>
      <c r="I83" s="38" t="s">
        <v>740</v>
      </c>
      <c r="J83" s="38" t="s">
        <v>1072</v>
      </c>
      <c r="K83" s="38" t="s">
        <v>1247</v>
      </c>
      <c r="L83" s="128" t="s">
        <v>1248</v>
      </c>
    </row>
    <row r="84" spans="1:12" ht="22.5" x14ac:dyDescent="0.25">
      <c r="A84" s="38" t="s">
        <v>735</v>
      </c>
      <c r="B84" s="10">
        <v>80</v>
      </c>
      <c r="C84" s="38" t="s">
        <v>841</v>
      </c>
      <c r="D84" s="38" t="s">
        <v>496</v>
      </c>
      <c r="E84" s="38" t="s">
        <v>755</v>
      </c>
      <c r="F84" s="38" t="s">
        <v>856</v>
      </c>
      <c r="G84" s="38" t="s">
        <v>741</v>
      </c>
      <c r="H84" s="38" t="s">
        <v>741</v>
      </c>
      <c r="I84" s="38" t="s">
        <v>741</v>
      </c>
      <c r="J84" s="38" t="s">
        <v>1073</v>
      </c>
      <c r="K84" s="38" t="s">
        <v>1249</v>
      </c>
      <c r="L84" s="128" t="s">
        <v>1250</v>
      </c>
    </row>
    <row r="85" spans="1:12" ht="22.5" x14ac:dyDescent="0.25">
      <c r="A85" s="38" t="s">
        <v>736</v>
      </c>
      <c r="B85" s="38">
        <v>81</v>
      </c>
      <c r="C85" s="38" t="s">
        <v>841</v>
      </c>
      <c r="D85" s="38" t="s">
        <v>496</v>
      </c>
      <c r="E85" s="38" t="s">
        <v>755</v>
      </c>
      <c r="F85" s="38" t="s">
        <v>856</v>
      </c>
      <c r="G85" s="38" t="s">
        <v>742</v>
      </c>
      <c r="H85" s="38" t="s">
        <v>742</v>
      </c>
      <c r="I85" s="38" t="s">
        <v>742</v>
      </c>
      <c r="J85" s="38" t="s">
        <v>1074</v>
      </c>
      <c r="K85" s="38" t="s">
        <v>1251</v>
      </c>
      <c r="L85" s="128" t="s">
        <v>1252</v>
      </c>
    </row>
    <row r="86" spans="1:12" ht="45" x14ac:dyDescent="0.25">
      <c r="A86" s="38" t="s">
        <v>1014</v>
      </c>
      <c r="B86" s="10">
        <v>82</v>
      </c>
      <c r="C86" s="38" t="s">
        <v>841</v>
      </c>
      <c r="D86" s="38" t="s">
        <v>496</v>
      </c>
      <c r="E86" s="38" t="s">
        <v>755</v>
      </c>
      <c r="F86" s="38" t="s">
        <v>929</v>
      </c>
      <c r="G86" s="38" t="s">
        <v>1008</v>
      </c>
      <c r="H86" s="38" t="s">
        <v>1007</v>
      </c>
      <c r="I86" s="38" t="s">
        <v>1009</v>
      </c>
      <c r="J86" s="38" t="s">
        <v>1075</v>
      </c>
      <c r="K86" s="38" t="s">
        <v>1253</v>
      </c>
      <c r="L86" s="128" t="s">
        <v>1254</v>
      </c>
    </row>
    <row r="87" spans="1:12" x14ac:dyDescent="0.25">
      <c r="A87" s="38" t="s">
        <v>731</v>
      </c>
      <c r="B87" s="38">
        <v>83</v>
      </c>
      <c r="C87" s="38" t="s">
        <v>841</v>
      </c>
      <c r="D87" s="38" t="s">
        <v>496</v>
      </c>
      <c r="E87" s="38" t="s">
        <v>755</v>
      </c>
      <c r="F87" s="38" t="s">
        <v>929</v>
      </c>
      <c r="G87" s="38" t="s">
        <v>1010</v>
      </c>
      <c r="H87" s="38" t="s">
        <v>1011</v>
      </c>
      <c r="I87" s="38" t="s">
        <v>1012</v>
      </c>
      <c r="J87" s="38" t="s">
        <v>1076</v>
      </c>
      <c r="K87" s="38" t="s">
        <v>769</v>
      </c>
      <c r="L87" s="128" t="s">
        <v>1255</v>
      </c>
    </row>
    <row r="88" spans="1:12" ht="56.25" x14ac:dyDescent="0.25">
      <c r="A88" s="38" t="s">
        <v>728</v>
      </c>
      <c r="B88" s="10">
        <v>84</v>
      </c>
      <c r="C88" s="38" t="s">
        <v>841</v>
      </c>
      <c r="D88" s="38" t="s">
        <v>496</v>
      </c>
      <c r="E88" s="38" t="s">
        <v>755</v>
      </c>
      <c r="F88" s="38" t="s">
        <v>756</v>
      </c>
      <c r="G88" s="38" t="s">
        <v>1102</v>
      </c>
      <c r="H88" s="38" t="s">
        <v>1100</v>
      </c>
      <c r="I88" s="38" t="s">
        <v>1101</v>
      </c>
      <c r="J88" s="38" t="s">
        <v>1077</v>
      </c>
      <c r="K88" s="38" t="s">
        <v>1256</v>
      </c>
      <c r="L88" s="128" t="s">
        <v>1257</v>
      </c>
    </row>
    <row r="89" spans="1:12" ht="78.75" x14ac:dyDescent="0.25">
      <c r="A89" s="38" t="s">
        <v>1015</v>
      </c>
      <c r="B89" s="38">
        <v>85</v>
      </c>
      <c r="C89" s="38" t="s">
        <v>841</v>
      </c>
      <c r="D89" s="38" t="s">
        <v>496</v>
      </c>
      <c r="E89" s="38" t="s">
        <v>755</v>
      </c>
      <c r="F89" s="38" t="s">
        <v>929</v>
      </c>
      <c r="G89" s="38" t="s">
        <v>1008</v>
      </c>
      <c r="H89" s="38" t="s">
        <v>1007</v>
      </c>
      <c r="I89" s="38" t="s">
        <v>1009</v>
      </c>
      <c r="J89" s="38" t="s">
        <v>1163</v>
      </c>
      <c r="K89" s="38" t="s">
        <v>1258</v>
      </c>
      <c r="L89" s="128" t="s">
        <v>1259</v>
      </c>
    </row>
    <row r="90" spans="1:12" ht="22.5" x14ac:dyDescent="0.25">
      <c r="A90" s="38" t="s">
        <v>730</v>
      </c>
      <c r="B90" s="10">
        <v>86</v>
      </c>
      <c r="C90" s="38" t="s">
        <v>841</v>
      </c>
      <c r="D90" s="38" t="s">
        <v>496</v>
      </c>
      <c r="E90" s="38" t="s">
        <v>755</v>
      </c>
      <c r="F90" s="38" t="s">
        <v>929</v>
      </c>
      <c r="G90" s="38" t="s">
        <v>1010</v>
      </c>
      <c r="H90" s="38" t="s">
        <v>1011</v>
      </c>
      <c r="I90" s="38" t="s">
        <v>1012</v>
      </c>
      <c r="J90" s="38" t="s">
        <v>1078</v>
      </c>
      <c r="K90" s="38" t="s">
        <v>770</v>
      </c>
      <c r="L90" s="128" t="s">
        <v>1260</v>
      </c>
    </row>
    <row r="91" spans="1:12" ht="33.75" x14ac:dyDescent="0.25">
      <c r="A91" s="38" t="s">
        <v>1016</v>
      </c>
      <c r="B91" s="38">
        <v>87</v>
      </c>
      <c r="C91" s="38" t="s">
        <v>841</v>
      </c>
      <c r="D91" s="38" t="s">
        <v>496</v>
      </c>
      <c r="E91" s="38" t="s">
        <v>755</v>
      </c>
      <c r="F91" s="38" t="s">
        <v>929</v>
      </c>
      <c r="G91" s="38" t="s">
        <v>1008</v>
      </c>
      <c r="H91" s="38" t="s">
        <v>1007</v>
      </c>
      <c r="I91" s="38" t="s">
        <v>1009</v>
      </c>
      <c r="J91" s="38" t="s">
        <v>1079</v>
      </c>
      <c r="K91" s="38" t="s">
        <v>1261</v>
      </c>
      <c r="L91" s="128" t="s">
        <v>771</v>
      </c>
    </row>
    <row r="92" spans="1:12" ht="22.5" x14ac:dyDescent="0.25">
      <c r="A92" s="38" t="s">
        <v>729</v>
      </c>
      <c r="B92" s="10">
        <v>88</v>
      </c>
      <c r="C92" s="38" t="s">
        <v>841</v>
      </c>
      <c r="D92" s="38" t="s">
        <v>496</v>
      </c>
      <c r="E92" s="38" t="s">
        <v>755</v>
      </c>
      <c r="F92" s="38" t="s">
        <v>929</v>
      </c>
      <c r="G92" s="38" t="s">
        <v>1010</v>
      </c>
      <c r="H92" s="38" t="s">
        <v>1011</v>
      </c>
      <c r="I92" s="38" t="s">
        <v>1012</v>
      </c>
      <c r="J92" s="38" t="s">
        <v>1080</v>
      </c>
      <c r="K92" s="38" t="s">
        <v>1262</v>
      </c>
      <c r="L92" s="128" t="s">
        <v>1263</v>
      </c>
    </row>
    <row r="93" spans="1:12" ht="67.5" x14ac:dyDescent="0.25">
      <c r="A93" s="38" t="s">
        <v>1017</v>
      </c>
      <c r="B93" s="38">
        <v>89</v>
      </c>
      <c r="C93" s="38" t="s">
        <v>841</v>
      </c>
      <c r="D93" s="38" t="s">
        <v>496</v>
      </c>
      <c r="E93" s="38" t="s">
        <v>755</v>
      </c>
      <c r="F93" s="38" t="s">
        <v>929</v>
      </c>
      <c r="G93" s="38" t="s">
        <v>1008</v>
      </c>
      <c r="H93" s="38" t="s">
        <v>1007</v>
      </c>
      <c r="I93" s="38" t="s">
        <v>1009</v>
      </c>
      <c r="J93" s="38" t="s">
        <v>1081</v>
      </c>
      <c r="K93" s="38" t="s">
        <v>1264</v>
      </c>
      <c r="L93" s="128" t="s">
        <v>1265</v>
      </c>
    </row>
    <row r="94" spans="1:12" ht="22.5" x14ac:dyDescent="0.25">
      <c r="A94" s="38" t="s">
        <v>732</v>
      </c>
      <c r="B94" s="10">
        <v>90</v>
      </c>
      <c r="C94" s="38" t="s">
        <v>841</v>
      </c>
      <c r="D94" s="38" t="s">
        <v>496</v>
      </c>
      <c r="E94" s="38" t="s">
        <v>755</v>
      </c>
      <c r="F94" s="38" t="s">
        <v>929</v>
      </c>
      <c r="G94" s="38" t="s">
        <v>1010</v>
      </c>
      <c r="H94" s="38" t="s">
        <v>1011</v>
      </c>
      <c r="I94" s="38" t="s">
        <v>1012</v>
      </c>
      <c r="J94" s="38" t="s">
        <v>1082</v>
      </c>
      <c r="K94" s="38" t="s">
        <v>1266</v>
      </c>
      <c r="L94" s="128" t="s">
        <v>1267</v>
      </c>
    </row>
    <row r="95" spans="1:12" ht="67.5" x14ac:dyDescent="0.25">
      <c r="A95" s="38" t="s">
        <v>1018</v>
      </c>
      <c r="B95" s="38">
        <v>91</v>
      </c>
      <c r="C95" s="38" t="s">
        <v>841</v>
      </c>
      <c r="D95" s="38" t="s">
        <v>496</v>
      </c>
      <c r="E95" s="38" t="s">
        <v>755</v>
      </c>
      <c r="F95" s="38" t="s">
        <v>929</v>
      </c>
      <c r="G95" s="38" t="s">
        <v>1008</v>
      </c>
      <c r="H95" s="38" t="s">
        <v>1007</v>
      </c>
      <c r="I95" s="38" t="s">
        <v>1009</v>
      </c>
      <c r="J95" s="38" t="s">
        <v>1099</v>
      </c>
      <c r="K95" s="38" t="s">
        <v>1098</v>
      </c>
      <c r="L95" s="128" t="s">
        <v>1268</v>
      </c>
    </row>
    <row r="96" spans="1:12" ht="22.5" x14ac:dyDescent="0.25">
      <c r="A96" s="38" t="s">
        <v>745</v>
      </c>
      <c r="B96" s="10">
        <v>92</v>
      </c>
      <c r="C96" s="38" t="s">
        <v>841</v>
      </c>
      <c r="D96" s="38" t="s">
        <v>496</v>
      </c>
      <c r="E96" s="38" t="s">
        <v>755</v>
      </c>
      <c r="F96" s="38" t="s">
        <v>929</v>
      </c>
      <c r="G96" s="38" t="s">
        <v>1010</v>
      </c>
      <c r="H96" s="38" t="s">
        <v>1011</v>
      </c>
      <c r="I96" s="38" t="s">
        <v>1012</v>
      </c>
      <c r="J96" s="38" t="s">
        <v>1093</v>
      </c>
      <c r="K96" s="38" t="s">
        <v>1095</v>
      </c>
      <c r="L96" s="128" t="s">
        <v>1096</v>
      </c>
    </row>
    <row r="97" spans="1:12" ht="22.5" x14ac:dyDescent="0.25">
      <c r="A97" s="38" t="s">
        <v>1149</v>
      </c>
      <c r="B97" s="38">
        <v>93</v>
      </c>
      <c r="C97" s="38" t="s">
        <v>841</v>
      </c>
      <c r="D97" s="38" t="s">
        <v>496</v>
      </c>
      <c r="E97" s="38" t="s">
        <v>755</v>
      </c>
      <c r="F97" s="38" t="s">
        <v>756</v>
      </c>
      <c r="G97" s="38" t="s">
        <v>608</v>
      </c>
      <c r="H97" s="38" t="s">
        <v>609</v>
      </c>
      <c r="I97" s="38" t="s">
        <v>610</v>
      </c>
      <c r="J97" s="38" t="s">
        <v>1083</v>
      </c>
      <c r="K97" s="38" t="s">
        <v>1269</v>
      </c>
      <c r="L97" s="128" t="s">
        <v>1270</v>
      </c>
    </row>
    <row r="98" spans="1:12" ht="22.5" x14ac:dyDescent="0.25">
      <c r="A98" s="38" t="s">
        <v>1148</v>
      </c>
      <c r="B98" s="10">
        <v>94</v>
      </c>
      <c r="C98" s="38" t="s">
        <v>841</v>
      </c>
      <c r="D98" s="38" t="s">
        <v>496</v>
      </c>
      <c r="E98" s="38" t="s">
        <v>755</v>
      </c>
      <c r="F98" s="38" t="s">
        <v>756</v>
      </c>
      <c r="G98" s="38" t="s">
        <v>1151</v>
      </c>
      <c r="H98" s="38" t="s">
        <v>1152</v>
      </c>
      <c r="I98" s="38" t="s">
        <v>1153</v>
      </c>
      <c r="J98" s="38" t="s">
        <v>1084</v>
      </c>
      <c r="K98" s="38" t="s">
        <v>1271</v>
      </c>
      <c r="L98" s="128" t="s">
        <v>772</v>
      </c>
    </row>
    <row r="99" spans="1:12" ht="22.5" x14ac:dyDescent="0.25">
      <c r="A99" s="38" t="s">
        <v>1150</v>
      </c>
      <c r="B99" s="38">
        <v>95</v>
      </c>
      <c r="C99" s="38" t="s">
        <v>841</v>
      </c>
      <c r="D99" s="38" t="s">
        <v>496</v>
      </c>
      <c r="E99" s="38" t="s">
        <v>755</v>
      </c>
      <c r="F99" s="38" t="s">
        <v>907</v>
      </c>
      <c r="G99" s="38" t="s">
        <v>1156</v>
      </c>
      <c r="H99" s="38" t="s">
        <v>1155</v>
      </c>
      <c r="I99" s="38" t="s">
        <v>1154</v>
      </c>
      <c r="J99" s="38" t="s">
        <v>1085</v>
      </c>
      <c r="K99" s="38" t="s">
        <v>1272</v>
      </c>
      <c r="L99" s="128" t="s">
        <v>1273</v>
      </c>
    </row>
    <row r="100" spans="1:12" ht="33.75" x14ac:dyDescent="0.25">
      <c r="A100" s="38" t="s">
        <v>1019</v>
      </c>
      <c r="B100" s="10">
        <v>96</v>
      </c>
      <c r="C100" s="38" t="s">
        <v>841</v>
      </c>
      <c r="D100" s="38" t="s">
        <v>496</v>
      </c>
      <c r="E100" s="38" t="s">
        <v>755</v>
      </c>
      <c r="F100" s="38" t="s">
        <v>929</v>
      </c>
      <c r="G100" s="38" t="s">
        <v>1008</v>
      </c>
      <c r="H100" s="38" t="s">
        <v>1007</v>
      </c>
      <c r="I100" s="38" t="s">
        <v>1009</v>
      </c>
      <c r="J100" s="38" t="s">
        <v>1086</v>
      </c>
      <c r="K100" s="38" t="s">
        <v>1274</v>
      </c>
      <c r="L100" s="128" t="s">
        <v>1275</v>
      </c>
    </row>
    <row r="101" spans="1:12" ht="22.5" x14ac:dyDescent="0.25">
      <c r="A101" s="38" t="s">
        <v>746</v>
      </c>
      <c r="B101" s="38">
        <v>97</v>
      </c>
      <c r="C101" s="38" t="s">
        <v>841</v>
      </c>
      <c r="D101" s="38" t="s">
        <v>496</v>
      </c>
      <c r="E101" s="38" t="s">
        <v>755</v>
      </c>
      <c r="F101" s="38" t="s">
        <v>929</v>
      </c>
      <c r="G101" s="38" t="s">
        <v>1010</v>
      </c>
      <c r="H101" s="38" t="s">
        <v>1011</v>
      </c>
      <c r="I101" s="38" t="s">
        <v>1012</v>
      </c>
      <c r="J101" s="38" t="s">
        <v>1094</v>
      </c>
      <c r="K101" s="38" t="s">
        <v>1097</v>
      </c>
      <c r="L101" s="128" t="s">
        <v>1276</v>
      </c>
    </row>
    <row r="102" spans="1:12" x14ac:dyDescent="0.25">
      <c r="A102" s="38" t="s">
        <v>1001</v>
      </c>
      <c r="B102" s="10">
        <v>98</v>
      </c>
      <c r="C102" s="38" t="s">
        <v>842</v>
      </c>
      <c r="D102" s="38" t="s">
        <v>496</v>
      </c>
      <c r="E102" s="38" t="s">
        <v>866</v>
      </c>
      <c r="F102" s="38" t="s">
        <v>754</v>
      </c>
      <c r="G102" s="38" t="s">
        <v>538</v>
      </c>
      <c r="H102" s="38" t="s">
        <v>543</v>
      </c>
      <c r="I102" s="38" t="s">
        <v>544</v>
      </c>
      <c r="J102" s="38" t="s">
        <v>754</v>
      </c>
      <c r="K102" s="38" t="s">
        <v>754</v>
      </c>
      <c r="L102" s="38" t="s">
        <v>754</v>
      </c>
    </row>
    <row r="103" spans="1:12" x14ac:dyDescent="0.25">
      <c r="A103" s="38" t="s">
        <v>1002</v>
      </c>
      <c r="B103" s="38">
        <v>99</v>
      </c>
      <c r="C103" s="38" t="s">
        <v>842</v>
      </c>
      <c r="D103" s="38" t="s">
        <v>496</v>
      </c>
      <c r="E103" s="38" t="s">
        <v>866</v>
      </c>
      <c r="F103" s="38" t="s">
        <v>754</v>
      </c>
      <c r="G103" s="38" t="s">
        <v>561</v>
      </c>
      <c r="H103" s="38" t="s">
        <v>624</v>
      </c>
      <c r="I103" s="38" t="s">
        <v>545</v>
      </c>
      <c r="J103" s="38" t="s">
        <v>754</v>
      </c>
      <c r="K103" s="38" t="s">
        <v>754</v>
      </c>
      <c r="L103" s="38" t="s">
        <v>754</v>
      </c>
    </row>
    <row r="104" spans="1:12" ht="33.75" x14ac:dyDescent="0.25">
      <c r="A104" s="38" t="s">
        <v>570</v>
      </c>
      <c r="B104" s="10">
        <v>100</v>
      </c>
      <c r="C104" s="38" t="s">
        <v>842</v>
      </c>
      <c r="D104" s="38" t="s">
        <v>496</v>
      </c>
      <c r="E104" s="38" t="s">
        <v>755</v>
      </c>
      <c r="F104" s="38" t="s">
        <v>763</v>
      </c>
      <c r="G104" s="38" t="s">
        <v>571</v>
      </c>
      <c r="H104" s="38" t="s">
        <v>572</v>
      </c>
      <c r="I104" s="38" t="s">
        <v>573</v>
      </c>
      <c r="J104" s="38" t="s">
        <v>1134</v>
      </c>
      <c r="K104" s="38" t="s">
        <v>1277</v>
      </c>
      <c r="L104" s="128" t="s">
        <v>1278</v>
      </c>
    </row>
    <row r="105" spans="1:12" ht="45" x14ac:dyDescent="0.25">
      <c r="A105" s="38" t="s">
        <v>566</v>
      </c>
      <c r="B105" s="38">
        <v>101</v>
      </c>
      <c r="C105" s="38" t="s">
        <v>842</v>
      </c>
      <c r="D105" s="38" t="s">
        <v>496</v>
      </c>
      <c r="E105" s="38" t="s">
        <v>755</v>
      </c>
      <c r="F105" s="38" t="s">
        <v>906</v>
      </c>
      <c r="G105" s="38" t="s">
        <v>4</v>
      </c>
      <c r="H105" s="38" t="s">
        <v>515</v>
      </c>
      <c r="I105" s="38" t="s">
        <v>516</v>
      </c>
      <c r="J105" s="38" t="s">
        <v>1279</v>
      </c>
      <c r="K105" s="38" t="s">
        <v>1280</v>
      </c>
      <c r="L105" s="128" t="s">
        <v>1281</v>
      </c>
    </row>
    <row r="106" spans="1:12" ht="22.5" x14ac:dyDescent="0.25">
      <c r="A106" s="38" t="s">
        <v>1005</v>
      </c>
      <c r="B106" s="10">
        <v>102</v>
      </c>
      <c r="C106" s="38" t="s">
        <v>842</v>
      </c>
      <c r="D106" s="38" t="s">
        <v>496</v>
      </c>
      <c r="E106" s="38" t="s">
        <v>755</v>
      </c>
      <c r="F106" s="38" t="s">
        <v>906</v>
      </c>
      <c r="G106" s="38" t="s">
        <v>9</v>
      </c>
      <c r="H106" s="38" t="s">
        <v>517</v>
      </c>
      <c r="I106" s="38" t="s">
        <v>518</v>
      </c>
      <c r="J106" s="38" t="s">
        <v>1087</v>
      </c>
      <c r="K106" s="38" t="s">
        <v>1282</v>
      </c>
      <c r="L106" s="128" t="s">
        <v>757</v>
      </c>
    </row>
    <row r="107" spans="1:12" x14ac:dyDescent="0.25">
      <c r="A107" s="38" t="s">
        <v>567</v>
      </c>
      <c r="B107" s="38">
        <v>103</v>
      </c>
      <c r="C107" s="38" t="s">
        <v>842</v>
      </c>
      <c r="D107" s="38" t="s">
        <v>496</v>
      </c>
      <c r="E107" s="38" t="s">
        <v>755</v>
      </c>
      <c r="F107" s="38" t="s">
        <v>906</v>
      </c>
      <c r="G107" s="38" t="s">
        <v>5</v>
      </c>
      <c r="H107" s="38" t="s">
        <v>519</v>
      </c>
      <c r="I107" s="38" t="s">
        <v>520</v>
      </c>
      <c r="J107" s="38" t="s">
        <v>1088</v>
      </c>
      <c r="K107" s="38" t="s">
        <v>1283</v>
      </c>
      <c r="L107" s="128" t="s">
        <v>758</v>
      </c>
    </row>
    <row r="108" spans="1:12" ht="22.5" x14ac:dyDescent="0.25">
      <c r="A108" s="38" t="s">
        <v>1003</v>
      </c>
      <c r="B108" s="10">
        <v>104</v>
      </c>
      <c r="C108" s="38" t="s">
        <v>842</v>
      </c>
      <c r="D108" s="38" t="s">
        <v>496</v>
      </c>
      <c r="E108" s="38" t="s">
        <v>755</v>
      </c>
      <c r="F108" s="38" t="s">
        <v>906</v>
      </c>
      <c r="G108" s="38" t="s">
        <v>514</v>
      </c>
      <c r="H108" s="38" t="s">
        <v>521</v>
      </c>
      <c r="I108" s="38" t="s">
        <v>525</v>
      </c>
      <c r="J108" s="38" t="s">
        <v>1089</v>
      </c>
      <c r="K108" s="38" t="s">
        <v>1284</v>
      </c>
      <c r="L108" s="128" t="s">
        <v>759</v>
      </c>
    </row>
    <row r="109" spans="1:12" x14ac:dyDescent="0.25">
      <c r="A109" s="38" t="s">
        <v>1004</v>
      </c>
      <c r="B109" s="38">
        <v>105</v>
      </c>
      <c r="C109" s="38" t="s">
        <v>842</v>
      </c>
      <c r="D109" s="38" t="s">
        <v>496</v>
      </c>
      <c r="E109" s="38" t="s">
        <v>755</v>
      </c>
      <c r="F109" s="38" t="s">
        <v>756</v>
      </c>
      <c r="G109" s="38" t="s">
        <v>6</v>
      </c>
      <c r="H109" s="38" t="s">
        <v>522</v>
      </c>
      <c r="I109" s="38" t="s">
        <v>523</v>
      </c>
      <c r="J109" s="38" t="s">
        <v>1090</v>
      </c>
      <c r="K109" s="38" t="s">
        <v>1285</v>
      </c>
      <c r="L109" s="128" t="s">
        <v>760</v>
      </c>
    </row>
    <row r="110" spans="1:12" x14ac:dyDescent="0.25">
      <c r="A110" s="38" t="s">
        <v>569</v>
      </c>
      <c r="B110" s="38">
        <v>107</v>
      </c>
      <c r="C110" s="38" t="s">
        <v>842</v>
      </c>
      <c r="D110" s="38" t="s">
        <v>496</v>
      </c>
      <c r="E110" s="38" t="s">
        <v>755</v>
      </c>
      <c r="F110" s="38" t="s">
        <v>906</v>
      </c>
      <c r="G110" s="38" t="s">
        <v>8</v>
      </c>
      <c r="H110" s="38" t="s">
        <v>8</v>
      </c>
      <c r="I110" s="38" t="s">
        <v>8</v>
      </c>
      <c r="J110" s="38" t="s">
        <v>1092</v>
      </c>
      <c r="K110" s="38" t="s">
        <v>1287</v>
      </c>
      <c r="L110" s="128" t="s">
        <v>762</v>
      </c>
    </row>
    <row r="111" spans="1:12" x14ac:dyDescent="0.25">
      <c r="A111" s="38" t="s">
        <v>568</v>
      </c>
      <c r="B111" s="10">
        <v>106</v>
      </c>
      <c r="C111" s="38" t="s">
        <v>842</v>
      </c>
      <c r="D111" s="38" t="s">
        <v>496</v>
      </c>
      <c r="E111" s="38" t="s">
        <v>755</v>
      </c>
      <c r="F111" s="38" t="s">
        <v>906</v>
      </c>
      <c r="G111" s="38" t="s">
        <v>7</v>
      </c>
      <c r="H111" s="38" t="s">
        <v>526</v>
      </c>
      <c r="I111" s="38" t="s">
        <v>527</v>
      </c>
      <c r="J111" s="38" t="s">
        <v>1091</v>
      </c>
      <c r="K111" s="38" t="s">
        <v>1286</v>
      </c>
      <c r="L111" s="128" t="s">
        <v>761</v>
      </c>
    </row>
    <row r="112" spans="1:12" x14ac:dyDescent="0.25">
      <c r="A112" s="38" t="s">
        <v>781</v>
      </c>
      <c r="B112" s="10">
        <v>108</v>
      </c>
      <c r="C112" s="38" t="s">
        <v>843</v>
      </c>
      <c r="D112" s="38" t="s">
        <v>782</v>
      </c>
      <c r="E112" s="38" t="s">
        <v>783</v>
      </c>
      <c r="F112" s="38" t="s">
        <v>754</v>
      </c>
      <c r="G112" s="38" t="s">
        <v>784</v>
      </c>
      <c r="H112" s="38" t="s">
        <v>784</v>
      </c>
      <c r="I112" s="38" t="s">
        <v>785</v>
      </c>
      <c r="J112" s="38" t="s">
        <v>786</v>
      </c>
      <c r="K112" s="38" t="s">
        <v>787</v>
      </c>
      <c r="L112" s="38" t="s">
        <v>788</v>
      </c>
    </row>
    <row r="113" spans="1:12" x14ac:dyDescent="0.25">
      <c r="A113" s="38" t="s">
        <v>789</v>
      </c>
      <c r="B113" s="38">
        <v>109</v>
      </c>
      <c r="C113" s="38" t="s">
        <v>843</v>
      </c>
      <c r="D113" s="38" t="s">
        <v>782</v>
      </c>
      <c r="E113" s="38" t="s">
        <v>790</v>
      </c>
      <c r="F113" s="38" t="s">
        <v>754</v>
      </c>
      <c r="G113" s="38" t="s">
        <v>782</v>
      </c>
      <c r="H113" s="38" t="s">
        <v>782</v>
      </c>
      <c r="I113" s="38" t="s">
        <v>782</v>
      </c>
      <c r="J113" s="38" t="s">
        <v>754</v>
      </c>
      <c r="K113" s="38" t="s">
        <v>754</v>
      </c>
      <c r="L113" s="38" t="s">
        <v>754</v>
      </c>
    </row>
    <row r="114" spans="1:12" ht="33.75" x14ac:dyDescent="0.25">
      <c r="A114" s="38" t="s">
        <v>791</v>
      </c>
      <c r="B114" s="10">
        <v>110</v>
      </c>
      <c r="C114" s="38" t="s">
        <v>843</v>
      </c>
      <c r="D114" s="38" t="s">
        <v>782</v>
      </c>
      <c r="E114" s="38" t="s">
        <v>792</v>
      </c>
      <c r="F114" s="38" t="s">
        <v>754</v>
      </c>
      <c r="G114" s="38" t="s">
        <v>793</v>
      </c>
      <c r="H114" s="38" t="s">
        <v>793</v>
      </c>
      <c r="I114" s="38" t="s">
        <v>793</v>
      </c>
      <c r="J114" s="38" t="s">
        <v>794</v>
      </c>
      <c r="K114" s="38" t="s">
        <v>1288</v>
      </c>
      <c r="L114" s="38" t="s">
        <v>1289</v>
      </c>
    </row>
    <row r="115" spans="1:12" ht="33.75" x14ac:dyDescent="0.25">
      <c r="A115" s="38" t="s">
        <v>795</v>
      </c>
      <c r="B115" s="38">
        <v>111</v>
      </c>
      <c r="C115" s="38" t="s">
        <v>843</v>
      </c>
      <c r="D115" s="38" t="s">
        <v>782</v>
      </c>
      <c r="E115" s="38" t="s">
        <v>792</v>
      </c>
      <c r="F115" s="38" t="s">
        <v>754</v>
      </c>
      <c r="G115" s="38" t="s">
        <v>796</v>
      </c>
      <c r="H115" s="38" t="s">
        <v>796</v>
      </c>
      <c r="I115" s="38" t="s">
        <v>796</v>
      </c>
      <c r="J115" s="38" t="s">
        <v>797</v>
      </c>
      <c r="K115" s="38" t="s">
        <v>1290</v>
      </c>
      <c r="L115" s="38" t="s">
        <v>1291</v>
      </c>
    </row>
    <row r="116" spans="1:12" ht="33.75" x14ac:dyDescent="0.25">
      <c r="A116" s="38" t="s">
        <v>798</v>
      </c>
      <c r="B116" s="10">
        <v>112</v>
      </c>
      <c r="C116" s="38" t="s">
        <v>843</v>
      </c>
      <c r="D116" s="38" t="s">
        <v>782</v>
      </c>
      <c r="E116" s="38" t="s">
        <v>792</v>
      </c>
      <c r="F116" s="38" t="s">
        <v>754</v>
      </c>
      <c r="G116" s="38" t="s">
        <v>799</v>
      </c>
      <c r="H116" s="38" t="s">
        <v>799</v>
      </c>
      <c r="I116" s="38" t="s">
        <v>799</v>
      </c>
      <c r="J116" s="38" t="s">
        <v>800</v>
      </c>
      <c r="K116" s="38" t="s">
        <v>1292</v>
      </c>
      <c r="L116" s="38" t="s">
        <v>1293</v>
      </c>
    </row>
    <row r="117" spans="1:12" ht="33.75" x14ac:dyDescent="0.25">
      <c r="A117" s="38" t="s">
        <v>801</v>
      </c>
      <c r="B117" s="38">
        <v>113</v>
      </c>
      <c r="C117" s="38" t="s">
        <v>843</v>
      </c>
      <c r="D117" s="38" t="s">
        <v>782</v>
      </c>
      <c r="E117" s="38" t="s">
        <v>792</v>
      </c>
      <c r="F117" s="38" t="s">
        <v>754</v>
      </c>
      <c r="G117" s="38" t="s">
        <v>802</v>
      </c>
      <c r="H117" s="38" t="s">
        <v>802</v>
      </c>
      <c r="I117" s="38" t="s">
        <v>802</v>
      </c>
      <c r="J117" s="38" t="s">
        <v>1294</v>
      </c>
      <c r="K117" s="38" t="s">
        <v>1295</v>
      </c>
      <c r="L117" s="38" t="s">
        <v>1296</v>
      </c>
    </row>
    <row r="118" spans="1:12" x14ac:dyDescent="0.25">
      <c r="A118" s="38" t="s">
        <v>803</v>
      </c>
      <c r="B118" s="10">
        <v>114</v>
      </c>
      <c r="C118" s="38" t="s">
        <v>843</v>
      </c>
      <c r="D118" s="38" t="s">
        <v>782</v>
      </c>
      <c r="E118" s="38" t="s">
        <v>792</v>
      </c>
      <c r="F118" s="38" t="s">
        <v>754</v>
      </c>
      <c r="G118" s="38" t="s">
        <v>804</v>
      </c>
      <c r="H118" s="38" t="s">
        <v>804</v>
      </c>
      <c r="I118" s="38" t="s">
        <v>804</v>
      </c>
      <c r="J118" s="38" t="s">
        <v>805</v>
      </c>
      <c r="K118" s="38" t="s">
        <v>1297</v>
      </c>
      <c r="L118" s="38" t="s">
        <v>1298</v>
      </c>
    </row>
    <row r="119" spans="1:12" x14ac:dyDescent="0.25">
      <c r="A119" s="38" t="s">
        <v>806</v>
      </c>
      <c r="B119" s="38">
        <v>115</v>
      </c>
      <c r="C119" s="38" t="s">
        <v>843</v>
      </c>
      <c r="D119" s="38" t="s">
        <v>807</v>
      </c>
      <c r="E119" s="38" t="s">
        <v>790</v>
      </c>
      <c r="F119" s="38" t="s">
        <v>754</v>
      </c>
      <c r="G119" s="38" t="s">
        <v>808</v>
      </c>
      <c r="H119" s="38" t="s">
        <v>809</v>
      </c>
      <c r="I119" s="38" t="s">
        <v>810</v>
      </c>
      <c r="J119" s="38" t="s">
        <v>754</v>
      </c>
      <c r="K119" s="38" t="s">
        <v>754</v>
      </c>
      <c r="L119" s="38" t="s">
        <v>754</v>
      </c>
    </row>
    <row r="120" spans="1:12" x14ac:dyDescent="0.25">
      <c r="A120" s="38" t="s">
        <v>811</v>
      </c>
      <c r="B120" s="10">
        <v>116</v>
      </c>
      <c r="C120" s="38" t="s">
        <v>843</v>
      </c>
      <c r="D120" s="38" t="s">
        <v>807</v>
      </c>
      <c r="E120" s="38" t="s">
        <v>792</v>
      </c>
      <c r="F120" s="38" t="s">
        <v>754</v>
      </c>
      <c r="G120" s="38" t="s">
        <v>812</v>
      </c>
      <c r="H120" s="38" t="s">
        <v>813</v>
      </c>
      <c r="I120" s="38" t="s">
        <v>814</v>
      </c>
      <c r="J120" s="38" t="s">
        <v>754</v>
      </c>
      <c r="K120" s="38" t="s">
        <v>754</v>
      </c>
      <c r="L120" s="38" t="s">
        <v>754</v>
      </c>
    </row>
    <row r="121" spans="1:12" x14ac:dyDescent="0.25">
      <c r="A121" s="38" t="s">
        <v>815</v>
      </c>
      <c r="B121" s="38">
        <v>117</v>
      </c>
      <c r="C121" s="38" t="s">
        <v>843</v>
      </c>
      <c r="D121" s="38" t="s">
        <v>807</v>
      </c>
      <c r="E121" s="38" t="s">
        <v>792</v>
      </c>
      <c r="F121" s="38" t="s">
        <v>754</v>
      </c>
      <c r="G121" s="38" t="s">
        <v>816</v>
      </c>
      <c r="H121" s="38" t="s">
        <v>817</v>
      </c>
      <c r="I121" s="38" t="s">
        <v>818</v>
      </c>
      <c r="J121" s="38" t="s">
        <v>754</v>
      </c>
      <c r="K121" s="38" t="s">
        <v>754</v>
      </c>
      <c r="L121" s="38" t="s">
        <v>754</v>
      </c>
    </row>
    <row r="122" spans="1:12" x14ac:dyDescent="0.25">
      <c r="A122" s="38" t="s">
        <v>819</v>
      </c>
      <c r="B122" s="10">
        <v>118</v>
      </c>
      <c r="C122" s="38" t="s">
        <v>843</v>
      </c>
      <c r="D122" s="38" t="s">
        <v>807</v>
      </c>
      <c r="E122" s="38" t="s">
        <v>792</v>
      </c>
      <c r="F122" s="38" t="s">
        <v>754</v>
      </c>
      <c r="G122" s="38" t="s">
        <v>820</v>
      </c>
      <c r="H122" s="38" t="s">
        <v>821</v>
      </c>
      <c r="I122" s="38" t="s">
        <v>822</v>
      </c>
      <c r="J122" s="38" t="s">
        <v>754</v>
      </c>
      <c r="K122" s="38" t="s">
        <v>754</v>
      </c>
      <c r="L122" s="38" t="s">
        <v>754</v>
      </c>
    </row>
    <row r="123" spans="1:12" x14ac:dyDescent="0.25">
      <c r="A123" s="38" t="s">
        <v>823</v>
      </c>
      <c r="B123" s="38">
        <v>119</v>
      </c>
      <c r="C123" s="38" t="s">
        <v>843</v>
      </c>
      <c r="D123" s="38" t="s">
        <v>807</v>
      </c>
      <c r="E123" s="38" t="s">
        <v>792</v>
      </c>
      <c r="F123" s="38" t="s">
        <v>754</v>
      </c>
      <c r="G123" s="38" t="s">
        <v>495</v>
      </c>
      <c r="H123" s="38" t="s">
        <v>824</v>
      </c>
      <c r="I123" s="38" t="s">
        <v>825</v>
      </c>
      <c r="J123" s="38" t="s">
        <v>754</v>
      </c>
      <c r="K123" s="38" t="s">
        <v>754</v>
      </c>
      <c r="L123" s="38" t="s">
        <v>754</v>
      </c>
    </row>
    <row r="124" spans="1:12" x14ac:dyDescent="0.25">
      <c r="A124" s="38" t="s">
        <v>826</v>
      </c>
      <c r="B124" s="10">
        <v>120</v>
      </c>
      <c r="C124" s="38" t="s">
        <v>843</v>
      </c>
      <c r="D124" s="38" t="s">
        <v>807</v>
      </c>
      <c r="E124" s="38" t="s">
        <v>792</v>
      </c>
      <c r="F124" s="38" t="s">
        <v>754</v>
      </c>
      <c r="G124" s="38" t="s">
        <v>827</v>
      </c>
      <c r="H124" s="38" t="s">
        <v>828</v>
      </c>
      <c r="I124" s="38" t="s">
        <v>829</v>
      </c>
      <c r="J124" s="38" t="s">
        <v>754</v>
      </c>
      <c r="K124" s="38" t="s">
        <v>754</v>
      </c>
      <c r="L124" s="38" t="s">
        <v>754</v>
      </c>
    </row>
    <row r="125" spans="1:12" x14ac:dyDescent="0.25">
      <c r="A125" s="38" t="s">
        <v>830</v>
      </c>
      <c r="B125" s="38">
        <v>121</v>
      </c>
      <c r="C125" s="38" t="s">
        <v>843</v>
      </c>
      <c r="D125" s="38" t="s">
        <v>807</v>
      </c>
      <c r="E125" s="38" t="s">
        <v>792</v>
      </c>
      <c r="F125" s="38" t="s">
        <v>754</v>
      </c>
      <c r="G125" s="38" t="s">
        <v>831</v>
      </c>
      <c r="H125" s="38" t="s">
        <v>832</v>
      </c>
      <c r="I125" s="38" t="s">
        <v>833</v>
      </c>
      <c r="J125" s="38" t="s">
        <v>754</v>
      </c>
      <c r="K125" s="38" t="s">
        <v>754</v>
      </c>
      <c r="L125" s="38" t="s">
        <v>754</v>
      </c>
    </row>
    <row r="126" spans="1:12" x14ac:dyDescent="0.25">
      <c r="A126" s="38" t="s">
        <v>834</v>
      </c>
      <c r="B126" s="10">
        <v>122</v>
      </c>
      <c r="C126" s="38" t="s">
        <v>843</v>
      </c>
      <c r="D126" s="38" t="s">
        <v>807</v>
      </c>
      <c r="E126" s="38" t="s">
        <v>792</v>
      </c>
      <c r="F126" s="38" t="s">
        <v>754</v>
      </c>
      <c r="G126" s="38" t="s">
        <v>835</v>
      </c>
      <c r="H126" s="38" t="s">
        <v>836</v>
      </c>
      <c r="I126" s="38" t="s">
        <v>837</v>
      </c>
      <c r="J126" s="38" t="s">
        <v>754</v>
      </c>
      <c r="K126" s="38" t="s">
        <v>754</v>
      </c>
      <c r="L126" s="38" t="s">
        <v>754</v>
      </c>
    </row>
    <row r="127" spans="1:12" x14ac:dyDescent="0.25">
      <c r="A127" s="38" t="s">
        <v>838</v>
      </c>
      <c r="B127" s="38">
        <v>123</v>
      </c>
      <c r="C127" s="38" t="s">
        <v>843</v>
      </c>
      <c r="D127" s="38" t="s">
        <v>807</v>
      </c>
      <c r="E127" s="38" t="s">
        <v>792</v>
      </c>
      <c r="F127" s="38" t="s">
        <v>754</v>
      </c>
      <c r="G127" s="38" t="s">
        <v>689</v>
      </c>
      <c r="H127" s="38" t="s">
        <v>689</v>
      </c>
      <c r="I127" s="38" t="s">
        <v>839</v>
      </c>
      <c r="J127" s="38" t="s">
        <v>754</v>
      </c>
      <c r="K127" s="38" t="s">
        <v>754</v>
      </c>
      <c r="L127" s="38" t="s">
        <v>754</v>
      </c>
    </row>
  </sheetData>
  <sheetProtection algorithmName="SHA-512" hashValue="gpIeLl+KJ9DcDtb2vBOlumv0B/5P2ltImQc/Niul4dQdrwcQvg7zcji/Z5TS6l/2KM9EjMbFjY08nX5rMLDdVQ==" saltValue="0ybwsZtPqzcDt5WkLBeCtg==" spinCount="100000" sheet="1" objects="1" scenarios="1" formatCells="0" autoFilter="0"/>
  <mergeCells count="1">
    <mergeCell ref="A1:E1"/>
  </mergeCells>
  <pageMargins left="0.23622047244094488" right="0.23622047244094488" top="0.39370078740157483" bottom="0.3543307086614173" header="0.19685039370078741" footer="0.11811023622047244"/>
  <pageSetup paperSize="9" scale="91"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21</vt:i4>
      </vt:variant>
    </vt:vector>
  </HeadingPairs>
  <TitlesOfParts>
    <vt:vector size="27" baseType="lpstr">
      <vt:lpstr>CP01A (Vessels)</vt:lpstr>
      <vt:lpstr>CP01B (Authorizations)</vt:lpstr>
      <vt:lpstr>CP01C (Ownership)</vt:lpstr>
      <vt:lpstr>Codes</vt:lpstr>
      <vt:lpstr>Instructions</vt:lpstr>
      <vt:lpstr>Translation</vt:lpstr>
      <vt:lpstr>ActionTrans</vt:lpstr>
      <vt:lpstr>CCapUnitCod</vt:lpstr>
      <vt:lpstr>FisheryType</vt:lpstr>
      <vt:lpstr>FishingArea</vt:lpstr>
      <vt:lpstr>FlagA2ISO</vt:lpstr>
      <vt:lpstr>FlagCod</vt:lpstr>
      <vt:lpstr>FlagName</vt:lpstr>
      <vt:lpstr>ICCATSerialNo</vt:lpstr>
      <vt:lpstr>Idiom</vt:lpstr>
      <vt:lpstr>IRNoTypeCod</vt:lpstr>
      <vt:lpstr>IsscfgCod</vt:lpstr>
      <vt:lpstr>IsscfvCod</vt:lpstr>
      <vt:lpstr>LangFieldID</vt:lpstr>
      <vt:lpstr>LangNameID</vt:lpstr>
      <vt:lpstr>LenTypeCod</vt:lpstr>
      <vt:lpstr>NatRegNo</vt:lpstr>
      <vt:lpstr>OwOpEntityID</vt:lpstr>
      <vt:lpstr>RModeCod</vt:lpstr>
      <vt:lpstr>Status</vt:lpstr>
      <vt:lpstr>TonTypeCod</vt:lpstr>
      <vt:lpstr>VmsComSysCod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Cheatle</dc:creator>
  <cp:lastModifiedBy>Alberto Thais Parrilla Moruno</cp:lastModifiedBy>
  <cp:lastPrinted>2014-01-21T11:28:28Z</cp:lastPrinted>
  <dcterms:created xsi:type="dcterms:W3CDTF">2011-12-05T10:28:25Z</dcterms:created>
  <dcterms:modified xsi:type="dcterms:W3CDTF">2024-01-12T08:27:40Z</dcterms:modified>
</cp:coreProperties>
</file>