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versitypretoria-my.sharepoint.com/personal/u20669870_up_ac_za/Documents/4th year/First semester/MTV410/Practicals/3/"/>
    </mc:Choice>
  </mc:AlternateContent>
  <xr:revisionPtr revIDLastSave="407" documentId="11_F25DC773A252ABDACC1048E1B1D87A8A5BDE58F0" xr6:coauthVersionLast="47" xr6:coauthVersionMax="47" xr10:uidLastSave="{41C92F07-4CD3-4781-825B-6298DBFF73C0}"/>
  <bookViews>
    <workbookView xWindow="28680" yWindow="-120" windowWidth="29040" windowHeight="15840" activeTab="1" xr2:uid="{00000000-000D-0000-FFFF-FFFF00000000}"/>
  </bookViews>
  <sheets>
    <sheet name="Plate " sheetId="5" r:id="rId1"/>
    <sheet name="Tub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4" l="1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2" i="4"/>
  <c r="BG2" i="5"/>
  <c r="BF2" i="5"/>
  <c r="BV3" i="5"/>
  <c r="BV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2" i="5"/>
  <c r="BR3" i="5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72" i="5"/>
  <c r="BR73" i="5"/>
  <c r="BR74" i="5"/>
  <c r="BR75" i="5"/>
  <c r="BR76" i="5"/>
  <c r="BR77" i="5"/>
  <c r="BR78" i="5"/>
  <c r="BR79" i="5"/>
  <c r="BR80" i="5"/>
  <c r="BR81" i="5"/>
  <c r="BR2" i="5"/>
  <c r="BU3" i="5"/>
  <c r="BU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Q72" i="5"/>
  <c r="BQ73" i="5"/>
  <c r="BQ74" i="5"/>
  <c r="BQ75" i="5"/>
  <c r="BQ76" i="5"/>
  <c r="BQ77" i="5"/>
  <c r="BQ78" i="5"/>
  <c r="BQ79" i="5"/>
  <c r="BQ80" i="5"/>
  <c r="BQ81" i="5"/>
  <c r="BP3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P78" i="5"/>
  <c r="BP79" i="5"/>
  <c r="BP80" i="5"/>
  <c r="BP81" i="5"/>
  <c r="BQ2" i="5"/>
  <c r="BP2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2" i="5"/>
  <c r="BN3" i="5"/>
  <c r="BN4" i="5"/>
  <c r="BN5" i="5"/>
  <c r="BN6" i="5"/>
  <c r="BN7" i="5"/>
  <c r="BN8" i="5"/>
  <c r="AR8" i="5" s="1"/>
  <c r="AJ8" i="5" s="1"/>
  <c r="BN9" i="5"/>
  <c r="BN10" i="5"/>
  <c r="AR10" i="5" s="1"/>
  <c r="BN11" i="5"/>
  <c r="BN12" i="5"/>
  <c r="BN13" i="5"/>
  <c r="BN14" i="5"/>
  <c r="BN15" i="5"/>
  <c r="BN16" i="5"/>
  <c r="AR16" i="5" s="1"/>
  <c r="BN17" i="5"/>
  <c r="BN18" i="5"/>
  <c r="AS18" i="5" s="1"/>
  <c r="BN19" i="5"/>
  <c r="BN20" i="5"/>
  <c r="BN21" i="5"/>
  <c r="BN22" i="5"/>
  <c r="BN23" i="5"/>
  <c r="BN24" i="5"/>
  <c r="BN25" i="5"/>
  <c r="BN26" i="5"/>
  <c r="AS26" i="5" s="1"/>
  <c r="BN27" i="5"/>
  <c r="BN28" i="5"/>
  <c r="BN29" i="5"/>
  <c r="BN30" i="5"/>
  <c r="BN31" i="5"/>
  <c r="BN32" i="5"/>
  <c r="AR32" i="5" s="1"/>
  <c r="BN33" i="5"/>
  <c r="BN34" i="5"/>
  <c r="BN35" i="5"/>
  <c r="BN36" i="5"/>
  <c r="BN37" i="5"/>
  <c r="BN38" i="5"/>
  <c r="BN39" i="5"/>
  <c r="BN40" i="5"/>
  <c r="AS40" i="5" s="1"/>
  <c r="BN41" i="5"/>
  <c r="BN42" i="5"/>
  <c r="BN43" i="5"/>
  <c r="BN44" i="5"/>
  <c r="BN45" i="5"/>
  <c r="BN46" i="5"/>
  <c r="BN47" i="5"/>
  <c r="BN48" i="5"/>
  <c r="AS48" i="5" s="1"/>
  <c r="BN49" i="5"/>
  <c r="BN50" i="5"/>
  <c r="AR50" i="5" s="1"/>
  <c r="BN51" i="5"/>
  <c r="BN52" i="5"/>
  <c r="BN53" i="5"/>
  <c r="BN54" i="5"/>
  <c r="BN55" i="5"/>
  <c r="BN56" i="5"/>
  <c r="AR56" i="5" s="1"/>
  <c r="BN57" i="5"/>
  <c r="BN58" i="5"/>
  <c r="BN59" i="5"/>
  <c r="BN60" i="5"/>
  <c r="BN61" i="5"/>
  <c r="BN62" i="5"/>
  <c r="BN63" i="5"/>
  <c r="BN64" i="5"/>
  <c r="AS64" i="5" s="1"/>
  <c r="BN65" i="5"/>
  <c r="BN66" i="5"/>
  <c r="BN67" i="5"/>
  <c r="BN68" i="5"/>
  <c r="BN69" i="5"/>
  <c r="BN70" i="5"/>
  <c r="BN71" i="5"/>
  <c r="BN72" i="5"/>
  <c r="AR72" i="5" s="1"/>
  <c r="BN73" i="5"/>
  <c r="BN74" i="5"/>
  <c r="BN75" i="5"/>
  <c r="BN76" i="5"/>
  <c r="BN77" i="5"/>
  <c r="BN78" i="5"/>
  <c r="BN79" i="5"/>
  <c r="BN80" i="5"/>
  <c r="AR80" i="5" s="1"/>
  <c r="BN81" i="5"/>
  <c r="BN2" i="5"/>
  <c r="BG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2" i="4"/>
  <c r="BE6" i="4"/>
  <c r="BE2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3" i="4"/>
  <c r="BE4" i="4"/>
  <c r="BE5" i="4"/>
  <c r="BE7" i="4"/>
  <c r="BE8" i="4"/>
  <c r="BE9" i="4"/>
  <c r="BE10" i="4"/>
  <c r="BE11" i="4"/>
  <c r="BE12" i="4"/>
  <c r="BE13" i="4"/>
  <c r="BE14" i="4"/>
  <c r="BE15" i="4"/>
  <c r="BE16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2" i="4"/>
  <c r="AV2" i="4"/>
  <c r="AT3" i="5"/>
  <c r="AT2" i="5"/>
  <c r="BT2" i="5"/>
  <c r="BT3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AN2" i="4"/>
  <c r="AP2" i="4"/>
  <c r="AO2" i="5"/>
  <c r="BK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2" i="5"/>
  <c r="BJ3" i="5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J78" i="5"/>
  <c r="BJ79" i="5"/>
  <c r="BJ80" i="5"/>
  <c r="BJ81" i="5"/>
  <c r="BJ2" i="5"/>
  <c r="R2" i="5"/>
  <c r="T2" i="5"/>
  <c r="V2" i="5"/>
  <c r="W2" i="5"/>
  <c r="X2" i="5"/>
  <c r="Z2" i="5"/>
  <c r="AA2" i="5"/>
  <c r="AB2" i="5"/>
  <c r="AN2" i="5"/>
  <c r="AQ2" i="5"/>
  <c r="AR2" i="5"/>
  <c r="AS2" i="5"/>
  <c r="AV2" i="5"/>
  <c r="AW2" i="5"/>
  <c r="AX2" i="5"/>
  <c r="AY2" i="5"/>
  <c r="AZ2" i="5"/>
  <c r="BA2" i="5"/>
  <c r="BC2" i="5"/>
  <c r="BS2" i="5"/>
  <c r="R3" i="5"/>
  <c r="T3" i="5"/>
  <c r="V3" i="5"/>
  <c r="W3" i="5" s="1"/>
  <c r="AB3" i="5" s="1"/>
  <c r="X3" i="5"/>
  <c r="U3" i="5" s="1"/>
  <c r="Y3" i="5"/>
  <c r="AC3" i="5" s="1"/>
  <c r="Z3" i="5"/>
  <c r="AA3" i="5"/>
  <c r="AN3" i="5"/>
  <c r="AQ3" i="5"/>
  <c r="AV3" i="5"/>
  <c r="BA3" i="5" s="1"/>
  <c r="AW3" i="5"/>
  <c r="AX3" i="5"/>
  <c r="AY3" i="5"/>
  <c r="AZ3" i="5"/>
  <c r="BB3" i="5"/>
  <c r="BC3" i="5"/>
  <c r="BF3" i="5"/>
  <c r="BG3" i="5"/>
  <c r="BL3" i="5"/>
  <c r="AR3" i="5"/>
  <c r="BS3" i="5"/>
  <c r="BM3" i="5" s="1"/>
  <c r="R4" i="5"/>
  <c r="U4" i="5"/>
  <c r="V4" i="5"/>
  <c r="T4" i="5" s="1"/>
  <c r="W4" i="5"/>
  <c r="AB4" i="5" s="1"/>
  <c r="X4" i="5"/>
  <c r="Y4" i="5"/>
  <c r="Z4" i="5"/>
  <c r="AA4" i="5"/>
  <c r="AC4" i="5"/>
  <c r="AN4" i="5"/>
  <c r="AQ4" i="5"/>
  <c r="AS4" i="5"/>
  <c r="AV4" i="5"/>
  <c r="AW4" i="5"/>
  <c r="BA4" i="5" s="1"/>
  <c r="AX4" i="5"/>
  <c r="AY4" i="5"/>
  <c r="AZ4" i="5"/>
  <c r="BC4" i="5"/>
  <c r="BF4" i="5"/>
  <c r="BG4" i="5"/>
  <c r="AR4" i="5"/>
  <c r="BS4" i="5"/>
  <c r="R5" i="5"/>
  <c r="T5" i="5"/>
  <c r="V5" i="5"/>
  <c r="W5" i="5"/>
  <c r="X5" i="5"/>
  <c r="Z5" i="5"/>
  <c r="AA5" i="5"/>
  <c r="AB5" i="5"/>
  <c r="AD5" i="5" s="1"/>
  <c r="AH5" i="5"/>
  <c r="AN5" i="5"/>
  <c r="AQ5" i="5"/>
  <c r="AR5" i="5"/>
  <c r="AS5" i="5"/>
  <c r="AV5" i="5"/>
  <c r="BA5" i="5" s="1"/>
  <c r="AT5" i="5" s="1"/>
  <c r="BD5" i="5" s="1"/>
  <c r="AW5" i="5"/>
  <c r="AX5" i="5"/>
  <c r="AY5" i="5"/>
  <c r="AZ5" i="5"/>
  <c r="BB5" i="5"/>
  <c r="BC5" i="5"/>
  <c r="BF5" i="5"/>
  <c r="BG5" i="5"/>
  <c r="BL5" i="5"/>
  <c r="BM5" i="5"/>
  <c r="BS5" i="5"/>
  <c r="R6" i="5"/>
  <c r="Z6" i="5" s="1"/>
  <c r="T6" i="5"/>
  <c r="U6" i="5"/>
  <c r="V6" i="5"/>
  <c r="W6" i="5"/>
  <c r="AB6" i="5" s="1"/>
  <c r="X6" i="5"/>
  <c r="Y6" i="5" s="1"/>
  <c r="AA6" i="5"/>
  <c r="AC6" i="5"/>
  <c r="AN6" i="5"/>
  <c r="AQ6" i="5"/>
  <c r="AR6" i="5"/>
  <c r="AS6" i="5"/>
  <c r="AV6" i="5"/>
  <c r="AW6" i="5"/>
  <c r="AX6" i="5"/>
  <c r="AY6" i="5"/>
  <c r="BB6" i="5" s="1"/>
  <c r="AZ6" i="5"/>
  <c r="BC6" i="5"/>
  <c r="BF6" i="5"/>
  <c r="BG6" i="5"/>
  <c r="BM6" i="5"/>
  <c r="BS6" i="5"/>
  <c r="BL6" i="5" s="1"/>
  <c r="AL6" i="5" s="1"/>
  <c r="R7" i="5"/>
  <c r="V7" i="5"/>
  <c r="X7" i="5"/>
  <c r="Z7" i="5"/>
  <c r="AA7" i="5"/>
  <c r="AN7" i="5"/>
  <c r="AQ7" i="5"/>
  <c r="AV7" i="5"/>
  <c r="BA7" i="5" s="1"/>
  <c r="AW7" i="5"/>
  <c r="AX7" i="5"/>
  <c r="BB7" i="5" s="1"/>
  <c r="AY7" i="5"/>
  <c r="AZ7" i="5"/>
  <c r="BC7" i="5"/>
  <c r="BF7" i="5"/>
  <c r="BG7" i="5"/>
  <c r="AS7" i="5"/>
  <c r="BS7" i="5"/>
  <c r="BL7" i="5" s="1"/>
  <c r="R8" i="5"/>
  <c r="Z8" i="5" s="1"/>
  <c r="U8" i="5"/>
  <c r="V8" i="5"/>
  <c r="T8" i="5" s="1"/>
  <c r="X8" i="5"/>
  <c r="Y8" i="5"/>
  <c r="AC8" i="5" s="1"/>
  <c r="AE8" i="5" s="1"/>
  <c r="AA8" i="5"/>
  <c r="AN8" i="5"/>
  <c r="AQ8" i="5"/>
  <c r="AV8" i="5"/>
  <c r="AW8" i="5"/>
  <c r="AX8" i="5"/>
  <c r="AY8" i="5"/>
  <c r="AZ8" i="5"/>
  <c r="BA8" i="5"/>
  <c r="BB8" i="5"/>
  <c r="BC8" i="5"/>
  <c r="AU8" i="5" s="1"/>
  <c r="BE8" i="5" s="1"/>
  <c r="BF8" i="5"/>
  <c r="BG8" i="5"/>
  <c r="BM8" i="5"/>
  <c r="BS8" i="5"/>
  <c r="BL8" i="5" s="1"/>
  <c r="R9" i="5"/>
  <c r="Z9" i="5" s="1"/>
  <c r="V9" i="5"/>
  <c r="W9" i="5" s="1"/>
  <c r="X9" i="5"/>
  <c r="Y9" i="5" s="1"/>
  <c r="AC9" i="5" s="1"/>
  <c r="AA9" i="5"/>
  <c r="AB9" i="5"/>
  <c r="AN9" i="5"/>
  <c r="AQ9" i="5"/>
  <c r="AV9" i="5"/>
  <c r="BA9" i="5" s="1"/>
  <c r="AW9" i="5"/>
  <c r="AX9" i="5"/>
  <c r="BB9" i="5" s="1"/>
  <c r="AY9" i="5"/>
  <c r="AZ9" i="5"/>
  <c r="BC9" i="5"/>
  <c r="BF9" i="5"/>
  <c r="BG9" i="5"/>
  <c r="BL9" i="5"/>
  <c r="BM9" i="5"/>
  <c r="BS9" i="5"/>
  <c r="R10" i="5"/>
  <c r="Z10" i="5" s="1"/>
  <c r="T10" i="5"/>
  <c r="V10" i="5"/>
  <c r="W10" i="5"/>
  <c r="AB10" i="5" s="1"/>
  <c r="X10" i="5"/>
  <c r="U10" i="5" s="1"/>
  <c r="Y10" i="5"/>
  <c r="AC10" i="5" s="1"/>
  <c r="AU10" i="5" s="1"/>
  <c r="AA10" i="5"/>
  <c r="AE10" i="5"/>
  <c r="AN10" i="5"/>
  <c r="AQ10" i="5"/>
  <c r="AS10" i="5"/>
  <c r="AV10" i="5"/>
  <c r="AW10" i="5"/>
  <c r="AX10" i="5"/>
  <c r="BB10" i="5" s="1"/>
  <c r="AY10" i="5"/>
  <c r="AZ10" i="5"/>
  <c r="BA10" i="5"/>
  <c r="BC10" i="5"/>
  <c r="BF10" i="5"/>
  <c r="BG10" i="5"/>
  <c r="BS10" i="5"/>
  <c r="R11" i="5"/>
  <c r="T11" i="5"/>
  <c r="V11" i="5"/>
  <c r="W11" i="5" s="1"/>
  <c r="X11" i="5"/>
  <c r="U11" i="5" s="1"/>
  <c r="Z11" i="5"/>
  <c r="AA11" i="5"/>
  <c r="AB11" i="5"/>
  <c r="AN11" i="5"/>
  <c r="AQ11" i="5"/>
  <c r="AV11" i="5"/>
  <c r="BA11" i="5" s="1"/>
  <c r="AW11" i="5"/>
  <c r="AX11" i="5"/>
  <c r="AY11" i="5"/>
  <c r="AZ11" i="5"/>
  <c r="BB11" i="5"/>
  <c r="BC11" i="5"/>
  <c r="BF11" i="5"/>
  <c r="BG11" i="5"/>
  <c r="BL11" i="5"/>
  <c r="AR11" i="5"/>
  <c r="BS11" i="5"/>
  <c r="BM11" i="5" s="1"/>
  <c r="R12" i="5"/>
  <c r="U12" i="5"/>
  <c r="V12" i="5"/>
  <c r="T12" i="5" s="1"/>
  <c r="W12" i="5"/>
  <c r="AB12" i="5" s="1"/>
  <c r="X12" i="5"/>
  <c r="Y12" i="5"/>
  <c r="Z12" i="5"/>
  <c r="AA12" i="5"/>
  <c r="AC12" i="5"/>
  <c r="AE12" i="5" s="1"/>
  <c r="AN12" i="5"/>
  <c r="AQ12" i="5"/>
  <c r="AS12" i="5"/>
  <c r="AV12" i="5"/>
  <c r="AW12" i="5"/>
  <c r="BA12" i="5" s="1"/>
  <c r="AX12" i="5"/>
  <c r="AY12" i="5"/>
  <c r="AZ12" i="5"/>
  <c r="BC12" i="5"/>
  <c r="BF12" i="5"/>
  <c r="BG12" i="5"/>
  <c r="AR12" i="5"/>
  <c r="BS12" i="5"/>
  <c r="BL12" i="5" s="1"/>
  <c r="R13" i="5"/>
  <c r="T13" i="5"/>
  <c r="V13" i="5"/>
  <c r="W13" i="5" s="1"/>
  <c r="AB13" i="5" s="1"/>
  <c r="X13" i="5"/>
  <c r="Z13" i="5"/>
  <c r="AA13" i="5"/>
  <c r="AN13" i="5"/>
  <c r="AQ13" i="5"/>
  <c r="AR13" i="5"/>
  <c r="AS13" i="5"/>
  <c r="AV13" i="5"/>
  <c r="BA13" i="5" s="1"/>
  <c r="AW13" i="5"/>
  <c r="AX13" i="5"/>
  <c r="AY13" i="5"/>
  <c r="AZ13" i="5"/>
  <c r="BB13" i="5"/>
  <c r="BC13" i="5"/>
  <c r="BF13" i="5"/>
  <c r="BG13" i="5"/>
  <c r="BL13" i="5"/>
  <c r="BM13" i="5"/>
  <c r="BS13" i="5"/>
  <c r="R14" i="5"/>
  <c r="Z14" i="5" s="1"/>
  <c r="T14" i="5"/>
  <c r="U14" i="5"/>
  <c r="AE14" i="5" s="1"/>
  <c r="V14" i="5"/>
  <c r="W14" i="5"/>
  <c r="AB14" i="5" s="1"/>
  <c r="X14" i="5"/>
  <c r="Y14" i="5" s="1"/>
  <c r="AA14" i="5"/>
  <c r="AC14" i="5"/>
  <c r="AN14" i="5"/>
  <c r="AQ14" i="5"/>
  <c r="AR14" i="5"/>
  <c r="AS14" i="5"/>
  <c r="AV14" i="5"/>
  <c r="AW14" i="5"/>
  <c r="AX14" i="5"/>
  <c r="AY14" i="5"/>
  <c r="BB14" i="5" s="1"/>
  <c r="AZ14" i="5"/>
  <c r="BC14" i="5"/>
  <c r="BF14" i="5"/>
  <c r="BG14" i="5"/>
  <c r="BS14" i="5"/>
  <c r="BL14" i="5" s="1"/>
  <c r="R15" i="5"/>
  <c r="V15" i="5"/>
  <c r="X15" i="5"/>
  <c r="Z15" i="5"/>
  <c r="AA15" i="5"/>
  <c r="AN15" i="5"/>
  <c r="AQ15" i="5"/>
  <c r="AV15" i="5"/>
  <c r="BA15" i="5" s="1"/>
  <c r="AW15" i="5"/>
  <c r="AX15" i="5"/>
  <c r="BB15" i="5" s="1"/>
  <c r="AY15" i="5"/>
  <c r="AZ15" i="5"/>
  <c r="BC15" i="5"/>
  <c r="BF15" i="5"/>
  <c r="BG15" i="5"/>
  <c r="BS15" i="5"/>
  <c r="BL15" i="5" s="1"/>
  <c r="R16" i="5"/>
  <c r="U16" i="5"/>
  <c r="V16" i="5"/>
  <c r="T16" i="5" s="1"/>
  <c r="X16" i="5"/>
  <c r="Y16" i="5"/>
  <c r="AC16" i="5" s="1"/>
  <c r="Z16" i="5"/>
  <c r="AA16" i="5"/>
  <c r="AN16" i="5"/>
  <c r="AQ16" i="5"/>
  <c r="AV16" i="5"/>
  <c r="AW16" i="5"/>
  <c r="AX16" i="5"/>
  <c r="AY16" i="5"/>
  <c r="AZ16" i="5"/>
  <c r="BA16" i="5"/>
  <c r="BB16" i="5"/>
  <c r="BC16" i="5"/>
  <c r="BF16" i="5"/>
  <c r="BG16" i="5"/>
  <c r="BM16" i="5"/>
  <c r="BS16" i="5"/>
  <c r="BL16" i="5" s="1"/>
  <c r="R17" i="5"/>
  <c r="V17" i="5"/>
  <c r="X17" i="5"/>
  <c r="Y17" i="5" s="1"/>
  <c r="AC17" i="5" s="1"/>
  <c r="Z17" i="5"/>
  <c r="AA17" i="5"/>
  <c r="AN17" i="5"/>
  <c r="AQ17" i="5"/>
  <c r="AV17" i="5"/>
  <c r="AW17" i="5"/>
  <c r="AX17" i="5"/>
  <c r="BB17" i="5" s="1"/>
  <c r="AY17" i="5"/>
  <c r="AZ17" i="5"/>
  <c r="BC17" i="5"/>
  <c r="BF17" i="5"/>
  <c r="BG17" i="5"/>
  <c r="BL17" i="5"/>
  <c r="AL17" i="5" s="1"/>
  <c r="BM17" i="5"/>
  <c r="BS17" i="5"/>
  <c r="R18" i="5"/>
  <c r="Z18" i="5" s="1"/>
  <c r="T18" i="5"/>
  <c r="V18" i="5"/>
  <c r="W18" i="5"/>
  <c r="AB18" i="5" s="1"/>
  <c r="X18" i="5"/>
  <c r="AA18" i="5"/>
  <c r="AN18" i="5"/>
  <c r="AQ18" i="5"/>
  <c r="AR18" i="5"/>
  <c r="AV18" i="5"/>
  <c r="AW18" i="5"/>
  <c r="AX18" i="5"/>
  <c r="BB18" i="5" s="1"/>
  <c r="AY18" i="5"/>
  <c r="AZ18" i="5"/>
  <c r="BA18" i="5"/>
  <c r="BC18" i="5"/>
  <c r="BF18" i="5"/>
  <c r="BG18" i="5"/>
  <c r="BS18" i="5"/>
  <c r="R19" i="5"/>
  <c r="Z19" i="5" s="1"/>
  <c r="T19" i="5"/>
  <c r="V19" i="5"/>
  <c r="W19" i="5"/>
  <c r="X19" i="5"/>
  <c r="U19" i="5" s="1"/>
  <c r="AA19" i="5"/>
  <c r="AB19" i="5"/>
  <c r="AT19" i="5" s="1"/>
  <c r="BD19" i="5" s="1"/>
  <c r="AD19" i="5"/>
  <c r="AN19" i="5"/>
  <c r="AQ19" i="5"/>
  <c r="AR19" i="5"/>
  <c r="AV19" i="5"/>
  <c r="BA19" i="5" s="1"/>
  <c r="AW19" i="5"/>
  <c r="AX19" i="5"/>
  <c r="AY19" i="5"/>
  <c r="BB19" i="5" s="1"/>
  <c r="AZ19" i="5"/>
  <c r="BC19" i="5"/>
  <c r="BF19" i="5"/>
  <c r="BG19" i="5"/>
  <c r="BL19" i="5"/>
  <c r="AS19" i="5"/>
  <c r="BS19" i="5"/>
  <c r="BM19" i="5" s="1"/>
  <c r="R20" i="5"/>
  <c r="Z20" i="5" s="1"/>
  <c r="U20" i="5"/>
  <c r="V20" i="5"/>
  <c r="T20" i="5" s="1"/>
  <c r="W20" i="5"/>
  <c r="AB20" i="5" s="1"/>
  <c r="X20" i="5"/>
  <c r="Y20" i="5"/>
  <c r="AC20" i="5" s="1"/>
  <c r="AE20" i="5" s="1"/>
  <c r="AA20" i="5"/>
  <c r="AN20" i="5"/>
  <c r="AQ20" i="5"/>
  <c r="AU20" i="5"/>
  <c r="BE20" i="5" s="1"/>
  <c r="AV20" i="5"/>
  <c r="AW20" i="5"/>
  <c r="BA20" i="5" s="1"/>
  <c r="AX20" i="5"/>
  <c r="AY20" i="5"/>
  <c r="AZ20" i="5"/>
  <c r="BB20" i="5"/>
  <c r="BC20" i="5"/>
  <c r="BF20" i="5"/>
  <c r="BG20" i="5"/>
  <c r="BS20" i="5"/>
  <c r="BL20" i="5" s="1"/>
  <c r="R21" i="5"/>
  <c r="V21" i="5"/>
  <c r="W21" i="5" s="1"/>
  <c r="X21" i="5"/>
  <c r="U21" i="5" s="1"/>
  <c r="Z21" i="5"/>
  <c r="AA21" i="5"/>
  <c r="AB21" i="5"/>
  <c r="AN21" i="5"/>
  <c r="AQ21" i="5"/>
  <c r="AV21" i="5"/>
  <c r="BA21" i="5" s="1"/>
  <c r="AW21" i="5"/>
  <c r="AX21" i="5"/>
  <c r="BB21" i="5" s="1"/>
  <c r="AY21" i="5"/>
  <c r="AZ21" i="5"/>
  <c r="BC21" i="5"/>
  <c r="BF21" i="5"/>
  <c r="BG21" i="5"/>
  <c r="BL21" i="5"/>
  <c r="BM21" i="5"/>
  <c r="BS21" i="5"/>
  <c r="R22" i="5"/>
  <c r="Z22" i="5" s="1"/>
  <c r="T22" i="5"/>
  <c r="V22" i="5"/>
  <c r="W22" i="5"/>
  <c r="X22" i="5"/>
  <c r="U22" i="5" s="1"/>
  <c r="Y22" i="5"/>
  <c r="AC22" i="5" s="1"/>
  <c r="AA22" i="5"/>
  <c r="AB22" i="5"/>
  <c r="AN22" i="5"/>
  <c r="AQ22" i="5"/>
  <c r="AR22" i="5"/>
  <c r="AS22" i="5"/>
  <c r="AV22" i="5"/>
  <c r="BA22" i="5" s="1"/>
  <c r="AW22" i="5"/>
  <c r="AX22" i="5"/>
  <c r="AY22" i="5"/>
  <c r="AZ22" i="5"/>
  <c r="BB22" i="5"/>
  <c r="BC22" i="5"/>
  <c r="BF22" i="5"/>
  <c r="BG22" i="5"/>
  <c r="BL22" i="5"/>
  <c r="BM22" i="5"/>
  <c r="BS22" i="5"/>
  <c r="R23" i="5"/>
  <c r="U23" i="5"/>
  <c r="V23" i="5"/>
  <c r="T23" i="5" s="1"/>
  <c r="W23" i="5"/>
  <c r="AB23" i="5" s="1"/>
  <c r="X23" i="5"/>
  <c r="Y23" i="5" s="1"/>
  <c r="AC23" i="5" s="1"/>
  <c r="Z23" i="5"/>
  <c r="AA23" i="5"/>
  <c r="AN23" i="5"/>
  <c r="AQ23" i="5"/>
  <c r="AV23" i="5"/>
  <c r="BA23" i="5" s="1"/>
  <c r="AT23" i="5" s="1"/>
  <c r="BD23" i="5" s="1"/>
  <c r="AW23" i="5"/>
  <c r="AX23" i="5"/>
  <c r="AY23" i="5"/>
  <c r="AZ23" i="5"/>
  <c r="BB23" i="5"/>
  <c r="BC23" i="5"/>
  <c r="BF23" i="5"/>
  <c r="BG23" i="5"/>
  <c r="BL23" i="5"/>
  <c r="BM23" i="5"/>
  <c r="BS23" i="5"/>
  <c r="R24" i="5"/>
  <c r="V24" i="5"/>
  <c r="T24" i="5" s="1"/>
  <c r="X24" i="5"/>
  <c r="Z24" i="5"/>
  <c r="AA24" i="5"/>
  <c r="AN24" i="5"/>
  <c r="AQ24" i="5"/>
  <c r="AV24" i="5"/>
  <c r="AW24" i="5"/>
  <c r="AX24" i="5"/>
  <c r="AY24" i="5"/>
  <c r="AZ24" i="5"/>
  <c r="BA24" i="5"/>
  <c r="BB24" i="5"/>
  <c r="BC24" i="5"/>
  <c r="BF24" i="5"/>
  <c r="BG24" i="5"/>
  <c r="BM24" i="5"/>
  <c r="BS24" i="5"/>
  <c r="BL24" i="5" s="1"/>
  <c r="R25" i="5"/>
  <c r="V25" i="5"/>
  <c r="W25" i="5" s="1"/>
  <c r="AB25" i="5" s="1"/>
  <c r="AT25" i="5" s="1"/>
  <c r="BD25" i="5" s="1"/>
  <c r="X25" i="5"/>
  <c r="Z25" i="5"/>
  <c r="AA25" i="5"/>
  <c r="AN25" i="5"/>
  <c r="AQ25" i="5"/>
  <c r="AR25" i="5"/>
  <c r="AV25" i="5"/>
  <c r="AW25" i="5"/>
  <c r="AX25" i="5"/>
  <c r="AY25" i="5"/>
  <c r="AZ25" i="5"/>
  <c r="BA25" i="5"/>
  <c r="BB25" i="5"/>
  <c r="BC25" i="5"/>
  <c r="BF25" i="5"/>
  <c r="BG25" i="5"/>
  <c r="AS25" i="5"/>
  <c r="BS25" i="5"/>
  <c r="BL25" i="5" s="1"/>
  <c r="R26" i="5"/>
  <c r="Z26" i="5" s="1"/>
  <c r="T26" i="5"/>
  <c r="U26" i="5"/>
  <c r="V26" i="5"/>
  <c r="W26" i="5" s="1"/>
  <c r="AB26" i="5" s="1"/>
  <c r="X26" i="5"/>
  <c r="Y26" i="5"/>
  <c r="AA26" i="5"/>
  <c r="AC26" i="5"/>
  <c r="AN26" i="5"/>
  <c r="AQ26" i="5"/>
  <c r="AR26" i="5"/>
  <c r="AV26" i="5"/>
  <c r="AW26" i="5"/>
  <c r="BA26" i="5" s="1"/>
  <c r="AX26" i="5"/>
  <c r="AY26" i="5"/>
  <c r="AZ26" i="5"/>
  <c r="BB26" i="5"/>
  <c r="BC26" i="5"/>
  <c r="AU26" i="5" s="1"/>
  <c r="BE26" i="5" s="1"/>
  <c r="BF26" i="5"/>
  <c r="BG26" i="5"/>
  <c r="BL26" i="5"/>
  <c r="BM26" i="5"/>
  <c r="BS26" i="5"/>
  <c r="R27" i="5"/>
  <c r="Z27" i="5" s="1"/>
  <c r="V27" i="5"/>
  <c r="X27" i="5"/>
  <c r="AA27" i="5"/>
  <c r="AN27" i="5"/>
  <c r="AQ27" i="5"/>
  <c r="AR27" i="5"/>
  <c r="AV27" i="5"/>
  <c r="BA27" i="5" s="1"/>
  <c r="AW27" i="5"/>
  <c r="AX27" i="5"/>
  <c r="BB27" i="5" s="1"/>
  <c r="AY27" i="5"/>
  <c r="AZ27" i="5"/>
  <c r="BC27" i="5"/>
  <c r="BF27" i="5"/>
  <c r="BG27" i="5"/>
  <c r="BL27" i="5"/>
  <c r="AS27" i="5"/>
  <c r="BS27" i="5"/>
  <c r="BM27" i="5" s="1"/>
  <c r="R28" i="5"/>
  <c r="Z28" i="5" s="1"/>
  <c r="V28" i="5"/>
  <c r="T28" i="5" s="1"/>
  <c r="W28" i="5"/>
  <c r="AB28" i="5" s="1"/>
  <c r="X28" i="5"/>
  <c r="U28" i="5" s="1"/>
  <c r="Y28" i="5"/>
  <c r="AC28" i="5" s="1"/>
  <c r="AA28" i="5"/>
  <c r="AN28" i="5"/>
  <c r="AQ28" i="5"/>
  <c r="AR28" i="5"/>
  <c r="AS28" i="5"/>
  <c r="AV28" i="5"/>
  <c r="AW28" i="5"/>
  <c r="AX28" i="5"/>
  <c r="AY28" i="5"/>
  <c r="BB28" i="5" s="1"/>
  <c r="AU28" i="5" s="1"/>
  <c r="BE28" i="5" s="1"/>
  <c r="AZ28" i="5"/>
  <c r="BA28" i="5"/>
  <c r="BC28" i="5"/>
  <c r="BF28" i="5"/>
  <c r="BG28" i="5"/>
  <c r="BS28" i="5"/>
  <c r="BL28" i="5" s="1"/>
  <c r="R29" i="5"/>
  <c r="T29" i="5"/>
  <c r="U29" i="5"/>
  <c r="V29" i="5"/>
  <c r="W29" i="5" s="1"/>
  <c r="AB29" i="5" s="1"/>
  <c r="X29" i="5"/>
  <c r="Y29" i="5"/>
  <c r="Z29" i="5"/>
  <c r="AA29" i="5"/>
  <c r="AC29" i="5"/>
  <c r="AE29" i="5" s="1"/>
  <c r="AN29" i="5"/>
  <c r="AQ29" i="5"/>
  <c r="AV29" i="5"/>
  <c r="BA29" i="5" s="1"/>
  <c r="AW29" i="5"/>
  <c r="AX29" i="5"/>
  <c r="BB29" i="5" s="1"/>
  <c r="AY29" i="5"/>
  <c r="AZ29" i="5"/>
  <c r="BC29" i="5"/>
  <c r="BF29" i="5"/>
  <c r="BG29" i="5"/>
  <c r="BL29" i="5"/>
  <c r="BM29" i="5"/>
  <c r="BS29" i="5"/>
  <c r="R30" i="5"/>
  <c r="Z30" i="5" s="1"/>
  <c r="U30" i="5"/>
  <c r="V30" i="5"/>
  <c r="T30" i="5" s="1"/>
  <c r="W30" i="5"/>
  <c r="AB30" i="5" s="1"/>
  <c r="X30" i="5"/>
  <c r="Y30" i="5"/>
  <c r="AC30" i="5" s="1"/>
  <c r="AA30" i="5"/>
  <c r="AN30" i="5"/>
  <c r="AQ30" i="5"/>
  <c r="AR30" i="5"/>
  <c r="AS30" i="5"/>
  <c r="AV30" i="5"/>
  <c r="AW30" i="5"/>
  <c r="AX30" i="5"/>
  <c r="BB30" i="5" s="1"/>
  <c r="AY30" i="5"/>
  <c r="AZ30" i="5"/>
  <c r="BA30" i="5"/>
  <c r="BC30" i="5"/>
  <c r="BF30" i="5"/>
  <c r="BG30" i="5"/>
  <c r="BS30" i="5"/>
  <c r="R31" i="5"/>
  <c r="T31" i="5"/>
  <c r="V31" i="5"/>
  <c r="W31" i="5"/>
  <c r="X31" i="5"/>
  <c r="U31" i="5" s="1"/>
  <c r="Z31" i="5"/>
  <c r="AA31" i="5"/>
  <c r="AB31" i="5"/>
  <c r="AD31" i="5" s="1"/>
  <c r="AN31" i="5"/>
  <c r="AQ31" i="5"/>
  <c r="AR31" i="5"/>
  <c r="AS31" i="5"/>
  <c r="AT31" i="5"/>
  <c r="AV31" i="5"/>
  <c r="BA31" i="5" s="1"/>
  <c r="AW31" i="5"/>
  <c r="AX31" i="5"/>
  <c r="AY31" i="5"/>
  <c r="AZ31" i="5"/>
  <c r="BB31" i="5"/>
  <c r="BC31" i="5"/>
  <c r="BD31" i="5"/>
  <c r="BF31" i="5"/>
  <c r="BG31" i="5"/>
  <c r="BL31" i="5"/>
  <c r="BS31" i="5"/>
  <c r="BM31" i="5" s="1"/>
  <c r="R32" i="5"/>
  <c r="Z32" i="5" s="1"/>
  <c r="U32" i="5"/>
  <c r="V32" i="5"/>
  <c r="T32" i="5" s="1"/>
  <c r="W32" i="5"/>
  <c r="AB32" i="5" s="1"/>
  <c r="X32" i="5"/>
  <c r="Y32" i="5" s="1"/>
  <c r="AA32" i="5"/>
  <c r="AC32" i="5"/>
  <c r="AN32" i="5"/>
  <c r="AQ32" i="5"/>
  <c r="AV32" i="5"/>
  <c r="BA32" i="5" s="1"/>
  <c r="AW32" i="5"/>
  <c r="AX32" i="5"/>
  <c r="BB32" i="5" s="1"/>
  <c r="AY32" i="5"/>
  <c r="AZ32" i="5"/>
  <c r="BC32" i="5"/>
  <c r="BF32" i="5"/>
  <c r="BG32" i="5"/>
  <c r="BM32" i="5"/>
  <c r="BS32" i="5"/>
  <c r="BL32" i="5" s="1"/>
  <c r="R33" i="5"/>
  <c r="V33" i="5"/>
  <c r="X33" i="5"/>
  <c r="U33" i="5" s="1"/>
  <c r="Y33" i="5"/>
  <c r="AC33" i="5" s="1"/>
  <c r="Z33" i="5"/>
  <c r="AA33" i="5"/>
  <c r="AN33" i="5"/>
  <c r="AQ33" i="5"/>
  <c r="AR33" i="5"/>
  <c r="AV33" i="5"/>
  <c r="AW33" i="5"/>
  <c r="AX33" i="5"/>
  <c r="BB33" i="5" s="1"/>
  <c r="AY33" i="5"/>
  <c r="AZ33" i="5"/>
  <c r="BA33" i="5"/>
  <c r="BC33" i="5"/>
  <c r="BF33" i="5"/>
  <c r="BG33" i="5"/>
  <c r="AS33" i="5"/>
  <c r="BS33" i="5"/>
  <c r="BL33" i="5" s="1"/>
  <c r="R34" i="5"/>
  <c r="Z34" i="5" s="1"/>
  <c r="T34" i="5"/>
  <c r="U34" i="5"/>
  <c r="V34" i="5"/>
  <c r="W34" i="5" s="1"/>
  <c r="AB34" i="5" s="1"/>
  <c r="X34" i="5"/>
  <c r="Y34" i="5"/>
  <c r="AA34" i="5"/>
  <c r="AC34" i="5"/>
  <c r="AE34" i="5" s="1"/>
  <c r="AN34" i="5"/>
  <c r="AQ34" i="5"/>
  <c r="AR34" i="5"/>
  <c r="AS34" i="5"/>
  <c r="AV34" i="5"/>
  <c r="AW34" i="5"/>
  <c r="AX34" i="5"/>
  <c r="AY34" i="5"/>
  <c r="AZ34" i="5"/>
  <c r="BA34" i="5"/>
  <c r="BB34" i="5"/>
  <c r="BC34" i="5"/>
  <c r="AU34" i="5" s="1"/>
  <c r="BE34" i="5" s="1"/>
  <c r="BF34" i="5"/>
  <c r="BG34" i="5"/>
  <c r="BL34" i="5"/>
  <c r="BM34" i="5"/>
  <c r="BS34" i="5"/>
  <c r="R35" i="5"/>
  <c r="Z35" i="5" s="1"/>
  <c r="T35" i="5"/>
  <c r="V35" i="5"/>
  <c r="W35" i="5"/>
  <c r="AB35" i="5" s="1"/>
  <c r="X35" i="5"/>
  <c r="AA35" i="5"/>
  <c r="AN35" i="5"/>
  <c r="AQ35" i="5"/>
  <c r="AR35" i="5"/>
  <c r="AV35" i="5"/>
  <c r="BA35" i="5" s="1"/>
  <c r="AW35" i="5"/>
  <c r="AX35" i="5"/>
  <c r="BB35" i="5" s="1"/>
  <c r="AY35" i="5"/>
  <c r="AZ35" i="5"/>
  <c r="BC35" i="5"/>
  <c r="BF35" i="5"/>
  <c r="BG35" i="5"/>
  <c r="BL35" i="5"/>
  <c r="AS35" i="5"/>
  <c r="BS35" i="5"/>
  <c r="BM35" i="5" s="1"/>
  <c r="R36" i="5"/>
  <c r="V36" i="5"/>
  <c r="T36" i="5" s="1"/>
  <c r="W36" i="5"/>
  <c r="AB36" i="5" s="1"/>
  <c r="X36" i="5"/>
  <c r="U36" i="5" s="1"/>
  <c r="Y36" i="5"/>
  <c r="AC36" i="5" s="1"/>
  <c r="Z36" i="5"/>
  <c r="AA36" i="5"/>
  <c r="AE36" i="5"/>
  <c r="AN36" i="5"/>
  <c r="AQ36" i="5"/>
  <c r="AS36" i="5"/>
  <c r="AV36" i="5"/>
  <c r="AW36" i="5"/>
  <c r="AX36" i="5"/>
  <c r="AY36" i="5"/>
  <c r="AZ36" i="5"/>
  <c r="BA36" i="5"/>
  <c r="BB36" i="5"/>
  <c r="BC36" i="5"/>
  <c r="AU36" i="5" s="1"/>
  <c r="BE36" i="5" s="1"/>
  <c r="BF36" i="5"/>
  <c r="BG36" i="5"/>
  <c r="AR36" i="5"/>
  <c r="BS36" i="5"/>
  <c r="R37" i="5"/>
  <c r="T37" i="5"/>
  <c r="U37" i="5"/>
  <c r="V37" i="5"/>
  <c r="W37" i="5" s="1"/>
  <c r="AB37" i="5" s="1"/>
  <c r="X37" i="5"/>
  <c r="Y37" i="5"/>
  <c r="AC37" i="5" s="1"/>
  <c r="Z37" i="5"/>
  <c r="AA37" i="5"/>
  <c r="AN37" i="5"/>
  <c r="AQ37" i="5"/>
  <c r="AS37" i="5"/>
  <c r="AV37" i="5"/>
  <c r="BA37" i="5" s="1"/>
  <c r="AW37" i="5"/>
  <c r="AX37" i="5"/>
  <c r="BB37" i="5" s="1"/>
  <c r="AY37" i="5"/>
  <c r="AZ37" i="5"/>
  <c r="BC37" i="5"/>
  <c r="BF37" i="5"/>
  <c r="BG37" i="5"/>
  <c r="BL37" i="5"/>
  <c r="BM37" i="5"/>
  <c r="AR37" i="5"/>
  <c r="BS37" i="5"/>
  <c r="R38" i="5"/>
  <c r="T38" i="5"/>
  <c r="V38" i="5"/>
  <c r="W38" i="5" s="1"/>
  <c r="AB38" i="5" s="1"/>
  <c r="X38" i="5"/>
  <c r="Z38" i="5"/>
  <c r="AA38" i="5"/>
  <c r="AN38" i="5"/>
  <c r="AQ38" i="5"/>
  <c r="AS38" i="5"/>
  <c r="AV38" i="5"/>
  <c r="BA38" i="5" s="1"/>
  <c r="AW38" i="5"/>
  <c r="AX38" i="5"/>
  <c r="AY38" i="5"/>
  <c r="AZ38" i="5"/>
  <c r="BB38" i="5"/>
  <c r="BC38" i="5"/>
  <c r="BF38" i="5"/>
  <c r="BG38" i="5"/>
  <c r="BL38" i="5"/>
  <c r="AR38" i="5"/>
  <c r="BS38" i="5"/>
  <c r="BM38" i="5" s="1"/>
  <c r="R39" i="5"/>
  <c r="U39" i="5"/>
  <c r="V39" i="5"/>
  <c r="T39" i="5" s="1"/>
  <c r="W39" i="5"/>
  <c r="AB39" i="5" s="1"/>
  <c r="X39" i="5"/>
  <c r="Y39" i="5"/>
  <c r="Z39" i="5"/>
  <c r="AA39" i="5"/>
  <c r="AC39" i="5"/>
  <c r="AN39" i="5"/>
  <c r="AQ39" i="5"/>
  <c r="AS39" i="5"/>
  <c r="AV39" i="5"/>
  <c r="AW39" i="5"/>
  <c r="BA39" i="5" s="1"/>
  <c r="AX39" i="5"/>
  <c r="AY39" i="5"/>
  <c r="BB39" i="5" s="1"/>
  <c r="AZ39" i="5"/>
  <c r="BC39" i="5"/>
  <c r="BF39" i="5"/>
  <c r="BG39" i="5"/>
  <c r="AR39" i="5"/>
  <c r="BS39" i="5"/>
  <c r="R40" i="5"/>
  <c r="T40" i="5"/>
  <c r="V40" i="5"/>
  <c r="W40" i="5" s="1"/>
  <c r="AB40" i="5" s="1"/>
  <c r="AD40" i="5" s="1"/>
  <c r="X40" i="5"/>
  <c r="Z40" i="5"/>
  <c r="AA40" i="5"/>
  <c r="AN40" i="5"/>
  <c r="AQ40" i="5"/>
  <c r="AR40" i="5"/>
  <c r="AH40" i="5" s="1"/>
  <c r="AT40" i="5"/>
  <c r="BD40" i="5" s="1"/>
  <c r="AV40" i="5"/>
  <c r="BA40" i="5" s="1"/>
  <c r="AW40" i="5"/>
  <c r="AX40" i="5"/>
  <c r="AY40" i="5"/>
  <c r="AZ40" i="5"/>
  <c r="BB40" i="5"/>
  <c r="BC40" i="5"/>
  <c r="BF40" i="5"/>
  <c r="BG40" i="5"/>
  <c r="BL40" i="5"/>
  <c r="AL40" i="5" s="1"/>
  <c r="BM40" i="5"/>
  <c r="BS40" i="5"/>
  <c r="R41" i="5"/>
  <c r="Z41" i="5" s="1"/>
  <c r="T41" i="5"/>
  <c r="U41" i="5"/>
  <c r="V41" i="5"/>
  <c r="W41" i="5"/>
  <c r="AB41" i="5" s="1"/>
  <c r="X41" i="5"/>
  <c r="Y41" i="5" s="1"/>
  <c r="AC41" i="5" s="1"/>
  <c r="AE41" i="5" s="1"/>
  <c r="AA41" i="5"/>
  <c r="AN41" i="5"/>
  <c r="AQ41" i="5"/>
  <c r="AR41" i="5"/>
  <c r="AS41" i="5"/>
  <c r="AV41" i="5"/>
  <c r="BA41" i="5" s="1"/>
  <c r="AW41" i="5"/>
  <c r="AX41" i="5"/>
  <c r="AY41" i="5"/>
  <c r="BB41" i="5" s="1"/>
  <c r="AZ41" i="5"/>
  <c r="BC41" i="5"/>
  <c r="BF41" i="5"/>
  <c r="BG41" i="5"/>
  <c r="BM41" i="5"/>
  <c r="BS41" i="5"/>
  <c r="BL41" i="5" s="1"/>
  <c r="R42" i="5"/>
  <c r="V42" i="5"/>
  <c r="X42" i="5"/>
  <c r="Z42" i="5"/>
  <c r="AA42" i="5"/>
  <c r="AN42" i="5"/>
  <c r="AQ42" i="5"/>
  <c r="AR42" i="5"/>
  <c r="AV42" i="5"/>
  <c r="BA42" i="5" s="1"/>
  <c r="AW42" i="5"/>
  <c r="AX42" i="5"/>
  <c r="BB42" i="5" s="1"/>
  <c r="AY42" i="5"/>
  <c r="AZ42" i="5"/>
  <c r="BC42" i="5"/>
  <c r="BF42" i="5"/>
  <c r="BG42" i="5"/>
  <c r="AS42" i="5"/>
  <c r="BS42" i="5"/>
  <c r="BL42" i="5" s="1"/>
  <c r="R43" i="5"/>
  <c r="Z43" i="5" s="1"/>
  <c r="U43" i="5"/>
  <c r="V43" i="5"/>
  <c r="T43" i="5" s="1"/>
  <c r="X43" i="5"/>
  <c r="Y43" i="5"/>
  <c r="AC43" i="5" s="1"/>
  <c r="AA43" i="5"/>
  <c r="AN43" i="5"/>
  <c r="AQ43" i="5"/>
  <c r="AS43" i="5"/>
  <c r="AV43" i="5"/>
  <c r="AW43" i="5"/>
  <c r="AX43" i="5"/>
  <c r="BB43" i="5" s="1"/>
  <c r="AY43" i="5"/>
  <c r="AZ43" i="5"/>
  <c r="BA43" i="5"/>
  <c r="BC43" i="5"/>
  <c r="BF43" i="5"/>
  <c r="BG43" i="5"/>
  <c r="BM43" i="5"/>
  <c r="AR43" i="5"/>
  <c r="BS43" i="5"/>
  <c r="BL43" i="5" s="1"/>
  <c r="AL43" i="5" s="1"/>
  <c r="R44" i="5"/>
  <c r="V44" i="5"/>
  <c r="X44" i="5"/>
  <c r="Y44" i="5" s="1"/>
  <c r="AC44" i="5" s="1"/>
  <c r="Z44" i="5"/>
  <c r="AA44" i="5"/>
  <c r="AN44" i="5"/>
  <c r="AQ44" i="5"/>
  <c r="AV44" i="5"/>
  <c r="BA44" i="5" s="1"/>
  <c r="AW44" i="5"/>
  <c r="AX44" i="5"/>
  <c r="BB44" i="5" s="1"/>
  <c r="AY44" i="5"/>
  <c r="AZ44" i="5"/>
  <c r="BC44" i="5"/>
  <c r="BF44" i="5"/>
  <c r="BG44" i="5"/>
  <c r="BL44" i="5"/>
  <c r="BM44" i="5"/>
  <c r="BS44" i="5"/>
  <c r="R45" i="5"/>
  <c r="Z45" i="5" s="1"/>
  <c r="T45" i="5"/>
  <c r="U45" i="5"/>
  <c r="V45" i="5"/>
  <c r="W45" i="5"/>
  <c r="AB45" i="5" s="1"/>
  <c r="X45" i="5"/>
  <c r="Y45" i="5"/>
  <c r="AC45" i="5" s="1"/>
  <c r="AA45" i="5"/>
  <c r="AE45" i="5"/>
  <c r="AN45" i="5"/>
  <c r="AQ45" i="5"/>
  <c r="AR45" i="5"/>
  <c r="AS45" i="5"/>
  <c r="AV45" i="5"/>
  <c r="AW45" i="5"/>
  <c r="AX45" i="5"/>
  <c r="AY45" i="5"/>
  <c r="AZ45" i="5"/>
  <c r="BA45" i="5"/>
  <c r="BC45" i="5"/>
  <c r="BF45" i="5"/>
  <c r="BG45" i="5"/>
  <c r="BS45" i="5"/>
  <c r="R46" i="5"/>
  <c r="T46" i="5"/>
  <c r="V46" i="5"/>
  <c r="W46" i="5" s="1"/>
  <c r="AB46" i="5" s="1"/>
  <c r="X46" i="5"/>
  <c r="U46" i="5" s="1"/>
  <c r="Z46" i="5"/>
  <c r="AA46" i="5"/>
  <c r="AN46" i="5"/>
  <c r="AQ46" i="5"/>
  <c r="AV46" i="5"/>
  <c r="BA46" i="5" s="1"/>
  <c r="AW46" i="5"/>
  <c r="AX46" i="5"/>
  <c r="AY46" i="5"/>
  <c r="AZ46" i="5"/>
  <c r="BB46" i="5"/>
  <c r="BC46" i="5"/>
  <c r="BF46" i="5"/>
  <c r="BG46" i="5"/>
  <c r="BL46" i="5"/>
  <c r="AR46" i="5"/>
  <c r="BS46" i="5"/>
  <c r="BM46" i="5" s="1"/>
  <c r="R47" i="5"/>
  <c r="U47" i="5"/>
  <c r="V47" i="5"/>
  <c r="T47" i="5" s="1"/>
  <c r="W47" i="5"/>
  <c r="AB47" i="5" s="1"/>
  <c r="X47" i="5"/>
  <c r="Y47" i="5"/>
  <c r="Z47" i="5"/>
  <c r="AA47" i="5"/>
  <c r="AC47" i="5"/>
  <c r="AE47" i="5" s="1"/>
  <c r="AN47" i="5"/>
  <c r="AQ47" i="5"/>
  <c r="AS47" i="5"/>
  <c r="AV47" i="5"/>
  <c r="AW47" i="5"/>
  <c r="BA47" i="5" s="1"/>
  <c r="AX47" i="5"/>
  <c r="AY47" i="5"/>
  <c r="BB47" i="5" s="1"/>
  <c r="AZ47" i="5"/>
  <c r="BC47" i="5"/>
  <c r="BF47" i="5"/>
  <c r="BG47" i="5"/>
  <c r="AR47" i="5"/>
  <c r="BS47" i="5"/>
  <c r="BL47" i="5" s="1"/>
  <c r="R48" i="5"/>
  <c r="T48" i="5"/>
  <c r="V48" i="5"/>
  <c r="W48" i="5" s="1"/>
  <c r="AB48" i="5" s="1"/>
  <c r="X48" i="5"/>
  <c r="Z48" i="5"/>
  <c r="AA48" i="5"/>
  <c r="AN48" i="5"/>
  <c r="AQ48" i="5"/>
  <c r="AR48" i="5"/>
  <c r="AV48" i="5"/>
  <c r="BA48" i="5" s="1"/>
  <c r="AW48" i="5"/>
  <c r="AX48" i="5"/>
  <c r="AY48" i="5"/>
  <c r="AZ48" i="5"/>
  <c r="BB48" i="5"/>
  <c r="BC48" i="5"/>
  <c r="BF48" i="5"/>
  <c r="BG48" i="5"/>
  <c r="BL48" i="5"/>
  <c r="BM48" i="5"/>
  <c r="BS48" i="5"/>
  <c r="R49" i="5"/>
  <c r="Z49" i="5" s="1"/>
  <c r="T49" i="5"/>
  <c r="U49" i="5"/>
  <c r="V49" i="5"/>
  <c r="W49" i="5"/>
  <c r="AB49" i="5" s="1"/>
  <c r="X49" i="5"/>
  <c r="Y49" i="5" s="1"/>
  <c r="AA49" i="5"/>
  <c r="AC49" i="5"/>
  <c r="AN49" i="5"/>
  <c r="AQ49" i="5"/>
  <c r="AR49" i="5"/>
  <c r="AS49" i="5"/>
  <c r="AV49" i="5"/>
  <c r="AW49" i="5"/>
  <c r="BA49" i="5" s="1"/>
  <c r="AX49" i="5"/>
  <c r="AY49" i="5"/>
  <c r="BB49" i="5" s="1"/>
  <c r="AZ49" i="5"/>
  <c r="BC49" i="5"/>
  <c r="BF49" i="5"/>
  <c r="BG49" i="5"/>
  <c r="BM49" i="5"/>
  <c r="BS49" i="5"/>
  <c r="BL49" i="5" s="1"/>
  <c r="R50" i="5"/>
  <c r="V50" i="5"/>
  <c r="X50" i="5"/>
  <c r="Z50" i="5"/>
  <c r="AA50" i="5"/>
  <c r="AN50" i="5"/>
  <c r="AQ50" i="5"/>
  <c r="AV50" i="5"/>
  <c r="BA50" i="5" s="1"/>
  <c r="AW50" i="5"/>
  <c r="AX50" i="5"/>
  <c r="AY50" i="5"/>
  <c r="AZ50" i="5"/>
  <c r="BB50" i="5"/>
  <c r="BC50" i="5"/>
  <c r="BF50" i="5"/>
  <c r="BG50" i="5"/>
  <c r="BL50" i="5"/>
  <c r="AL50" i="5" s="1"/>
  <c r="BS50" i="5"/>
  <c r="BM50" i="5" s="1"/>
  <c r="R51" i="5"/>
  <c r="Z51" i="5" s="1"/>
  <c r="U51" i="5"/>
  <c r="V51" i="5"/>
  <c r="X51" i="5"/>
  <c r="Y51" i="5"/>
  <c r="AA51" i="5"/>
  <c r="AC51" i="5"/>
  <c r="AN51" i="5"/>
  <c r="AQ51" i="5"/>
  <c r="AS51" i="5"/>
  <c r="AV51" i="5"/>
  <c r="AW51" i="5"/>
  <c r="BA51" i="5" s="1"/>
  <c r="AX51" i="5"/>
  <c r="BB51" i="5" s="1"/>
  <c r="AU51" i="5" s="1"/>
  <c r="BE51" i="5" s="1"/>
  <c r="AY51" i="5"/>
  <c r="AZ51" i="5"/>
  <c r="BC51" i="5"/>
  <c r="BF51" i="5"/>
  <c r="BG51" i="5"/>
  <c r="AR51" i="5"/>
  <c r="BS51" i="5"/>
  <c r="BL51" i="5" s="1"/>
  <c r="R52" i="5"/>
  <c r="V52" i="5"/>
  <c r="X52" i="5"/>
  <c r="U52" i="5" s="1"/>
  <c r="Y52" i="5"/>
  <c r="AC52" i="5" s="1"/>
  <c r="Z52" i="5"/>
  <c r="AA52" i="5"/>
  <c r="AN52" i="5"/>
  <c r="AQ52" i="5"/>
  <c r="AV52" i="5"/>
  <c r="BA52" i="5" s="1"/>
  <c r="AW52" i="5"/>
  <c r="AX52" i="5"/>
  <c r="AY52" i="5"/>
  <c r="AZ52" i="5"/>
  <c r="BB52" i="5"/>
  <c r="BC52" i="5"/>
  <c r="BF52" i="5"/>
  <c r="BG52" i="5"/>
  <c r="BL52" i="5"/>
  <c r="BM52" i="5"/>
  <c r="AR52" i="5"/>
  <c r="BS52" i="5"/>
  <c r="R53" i="5"/>
  <c r="Z53" i="5" s="1"/>
  <c r="T53" i="5"/>
  <c r="U53" i="5"/>
  <c r="V53" i="5"/>
  <c r="W53" i="5"/>
  <c r="AB53" i="5" s="1"/>
  <c r="X53" i="5"/>
  <c r="Y53" i="5"/>
  <c r="AC53" i="5" s="1"/>
  <c r="AA53" i="5"/>
  <c r="AN53" i="5"/>
  <c r="AQ53" i="5"/>
  <c r="AR53" i="5"/>
  <c r="AS53" i="5"/>
  <c r="AV53" i="5"/>
  <c r="BA53" i="5" s="1"/>
  <c r="AW53" i="5"/>
  <c r="AX53" i="5"/>
  <c r="AY53" i="5"/>
  <c r="AZ53" i="5"/>
  <c r="BC53" i="5"/>
  <c r="BF53" i="5"/>
  <c r="BG53" i="5"/>
  <c r="BS53" i="5"/>
  <c r="R54" i="5"/>
  <c r="Z54" i="5" s="1"/>
  <c r="T54" i="5"/>
  <c r="V54" i="5"/>
  <c r="W54" i="5" s="1"/>
  <c r="AB54" i="5" s="1"/>
  <c r="X54" i="5"/>
  <c r="AA54" i="5"/>
  <c r="AN54" i="5"/>
  <c r="AQ54" i="5"/>
  <c r="AR54" i="5"/>
  <c r="AV54" i="5"/>
  <c r="BA54" i="5" s="1"/>
  <c r="AW54" i="5"/>
  <c r="AX54" i="5"/>
  <c r="AY54" i="5"/>
  <c r="AZ54" i="5"/>
  <c r="BB54" i="5"/>
  <c r="BC54" i="5"/>
  <c r="BF54" i="5"/>
  <c r="BG54" i="5"/>
  <c r="BL54" i="5"/>
  <c r="AL54" i="5" s="1"/>
  <c r="AS54" i="5"/>
  <c r="BS54" i="5"/>
  <c r="BM54" i="5" s="1"/>
  <c r="R55" i="5"/>
  <c r="Z55" i="5" s="1"/>
  <c r="U55" i="5"/>
  <c r="V55" i="5"/>
  <c r="T55" i="5" s="1"/>
  <c r="W55" i="5"/>
  <c r="AB55" i="5" s="1"/>
  <c r="X55" i="5"/>
  <c r="Y55" i="5"/>
  <c r="AC55" i="5" s="1"/>
  <c r="AE55" i="5" s="1"/>
  <c r="AA55" i="5"/>
  <c r="AN55" i="5"/>
  <c r="AQ55" i="5"/>
  <c r="AV55" i="5"/>
  <c r="AW55" i="5"/>
  <c r="AX55" i="5"/>
  <c r="BB55" i="5" s="1"/>
  <c r="AY55" i="5"/>
  <c r="AZ55" i="5"/>
  <c r="BC55" i="5"/>
  <c r="BF55" i="5"/>
  <c r="BG55" i="5"/>
  <c r="BL55" i="5"/>
  <c r="BM55" i="5"/>
  <c r="BS55" i="5"/>
  <c r="R56" i="5"/>
  <c r="T56" i="5"/>
  <c r="V56" i="5"/>
  <c r="W56" i="5"/>
  <c r="AB56" i="5" s="1"/>
  <c r="AD56" i="5" s="1"/>
  <c r="X56" i="5"/>
  <c r="U56" i="5" s="1"/>
  <c r="Y56" i="5"/>
  <c r="AC56" i="5" s="1"/>
  <c r="Z56" i="5"/>
  <c r="AA56" i="5"/>
  <c r="AE56" i="5"/>
  <c r="AG56" i="5"/>
  <c r="AN56" i="5"/>
  <c r="AQ56" i="5"/>
  <c r="AV56" i="5"/>
  <c r="AW56" i="5"/>
  <c r="AX56" i="5"/>
  <c r="BB56" i="5" s="1"/>
  <c r="AY56" i="5"/>
  <c r="AZ56" i="5"/>
  <c r="BA56" i="5"/>
  <c r="AT56" i="5" s="1"/>
  <c r="BD56" i="5" s="1"/>
  <c r="BC56" i="5"/>
  <c r="BF56" i="5"/>
  <c r="BG56" i="5"/>
  <c r="BL56" i="5"/>
  <c r="BS56" i="5"/>
  <c r="BM56" i="5" s="1"/>
  <c r="R57" i="5"/>
  <c r="T57" i="5"/>
  <c r="U57" i="5"/>
  <c r="V57" i="5"/>
  <c r="W57" i="5"/>
  <c r="AB57" i="5" s="1"/>
  <c r="X57" i="5"/>
  <c r="Y57" i="5" s="1"/>
  <c r="AC57" i="5" s="1"/>
  <c r="Z57" i="5"/>
  <c r="AA57" i="5"/>
  <c r="AN57" i="5"/>
  <c r="AQ57" i="5"/>
  <c r="AR57" i="5"/>
  <c r="AS57" i="5"/>
  <c r="AV57" i="5"/>
  <c r="AW57" i="5"/>
  <c r="AX57" i="5"/>
  <c r="AY57" i="5"/>
  <c r="BB57" i="5" s="1"/>
  <c r="AZ57" i="5"/>
  <c r="BA57" i="5"/>
  <c r="BC57" i="5"/>
  <c r="BF57" i="5"/>
  <c r="BG57" i="5"/>
  <c r="BS57" i="5"/>
  <c r="R58" i="5"/>
  <c r="Z58" i="5" s="1"/>
  <c r="T58" i="5"/>
  <c r="U58" i="5"/>
  <c r="V58" i="5"/>
  <c r="W58" i="5"/>
  <c r="AB58" i="5" s="1"/>
  <c r="X58" i="5"/>
  <c r="Y58" i="5" s="1"/>
  <c r="AA58" i="5"/>
  <c r="AC58" i="5"/>
  <c r="AN58" i="5"/>
  <c r="AQ58" i="5"/>
  <c r="AV58" i="5"/>
  <c r="AW58" i="5"/>
  <c r="AX58" i="5"/>
  <c r="BB58" i="5" s="1"/>
  <c r="AY58" i="5"/>
  <c r="AZ58" i="5"/>
  <c r="BC58" i="5"/>
  <c r="BF58" i="5"/>
  <c r="BG58" i="5"/>
  <c r="AS58" i="5"/>
  <c r="BS58" i="5"/>
  <c r="R59" i="5"/>
  <c r="Z59" i="5" s="1"/>
  <c r="U59" i="5"/>
  <c r="V59" i="5"/>
  <c r="T59" i="5" s="1"/>
  <c r="X59" i="5"/>
  <c r="Y59" i="5" s="1"/>
  <c r="AC59" i="5" s="1"/>
  <c r="AA59" i="5"/>
  <c r="AN59" i="5"/>
  <c r="AQ59" i="5"/>
  <c r="AV59" i="5"/>
  <c r="AW59" i="5"/>
  <c r="BA59" i="5" s="1"/>
  <c r="AX59" i="5"/>
  <c r="AY59" i="5"/>
  <c r="BB59" i="5" s="1"/>
  <c r="AZ59" i="5"/>
  <c r="BC59" i="5"/>
  <c r="BF59" i="5"/>
  <c r="BG59" i="5"/>
  <c r="AR59" i="5"/>
  <c r="BS59" i="5"/>
  <c r="BL59" i="5" s="1"/>
  <c r="R60" i="5"/>
  <c r="V60" i="5"/>
  <c r="T60" i="5" s="1"/>
  <c r="W60" i="5"/>
  <c r="AB60" i="5" s="1"/>
  <c r="AD60" i="5" s="1"/>
  <c r="X60" i="5"/>
  <c r="Z60" i="5"/>
  <c r="AA60" i="5"/>
  <c r="AH60" i="5"/>
  <c r="AN60" i="5"/>
  <c r="AQ60" i="5"/>
  <c r="AR60" i="5"/>
  <c r="AS60" i="5"/>
  <c r="AV60" i="5"/>
  <c r="AW60" i="5"/>
  <c r="BA60" i="5" s="1"/>
  <c r="AT60" i="5" s="1"/>
  <c r="BD60" i="5" s="1"/>
  <c r="AX60" i="5"/>
  <c r="AY60" i="5"/>
  <c r="AZ60" i="5"/>
  <c r="BB60" i="5"/>
  <c r="BC60" i="5"/>
  <c r="BF60" i="5"/>
  <c r="BG60" i="5"/>
  <c r="BM60" i="5"/>
  <c r="BS60" i="5"/>
  <c r="BL60" i="5" s="1"/>
  <c r="R61" i="5"/>
  <c r="Z61" i="5" s="1"/>
  <c r="T61" i="5"/>
  <c r="U61" i="5"/>
  <c r="V61" i="5"/>
  <c r="W61" i="5" s="1"/>
  <c r="AB61" i="5" s="1"/>
  <c r="X61" i="5"/>
  <c r="Y61" i="5" s="1"/>
  <c r="AC61" i="5" s="1"/>
  <c r="AA61" i="5"/>
  <c r="AN61" i="5"/>
  <c r="AQ61" i="5"/>
  <c r="AR61" i="5"/>
  <c r="AV61" i="5"/>
  <c r="AW61" i="5"/>
  <c r="AX61" i="5"/>
  <c r="BB61" i="5" s="1"/>
  <c r="AY61" i="5"/>
  <c r="AZ61" i="5"/>
  <c r="BC61" i="5"/>
  <c r="BF61" i="5"/>
  <c r="BG61" i="5"/>
  <c r="BL61" i="5"/>
  <c r="BM61" i="5"/>
  <c r="AS61" i="5"/>
  <c r="BS61" i="5"/>
  <c r="R62" i="5"/>
  <c r="Z62" i="5" s="1"/>
  <c r="V62" i="5"/>
  <c r="X62" i="5"/>
  <c r="AA62" i="5"/>
  <c r="AN62" i="5"/>
  <c r="AQ62" i="5"/>
  <c r="AR62" i="5"/>
  <c r="AV62" i="5"/>
  <c r="AW62" i="5"/>
  <c r="AX62" i="5"/>
  <c r="BB62" i="5" s="1"/>
  <c r="AY62" i="5"/>
  <c r="AZ62" i="5"/>
  <c r="BA62" i="5"/>
  <c r="BC62" i="5"/>
  <c r="BF62" i="5"/>
  <c r="BG62" i="5"/>
  <c r="AS62" i="5"/>
  <c r="BS62" i="5"/>
  <c r="BL62" i="5" s="1"/>
  <c r="R63" i="5"/>
  <c r="Z63" i="5" s="1"/>
  <c r="V63" i="5"/>
  <c r="X63" i="5"/>
  <c r="U63" i="5" s="1"/>
  <c r="Y63" i="5"/>
  <c r="AC63" i="5" s="1"/>
  <c r="AE63" i="5" s="1"/>
  <c r="AA63" i="5"/>
  <c r="AN63" i="5"/>
  <c r="AQ63" i="5"/>
  <c r="AV63" i="5"/>
  <c r="AW63" i="5"/>
  <c r="AX63" i="5"/>
  <c r="BB63" i="5" s="1"/>
  <c r="AU63" i="5" s="1"/>
  <c r="BE63" i="5" s="1"/>
  <c r="AY63" i="5"/>
  <c r="AZ63" i="5"/>
  <c r="BA63" i="5"/>
  <c r="BC63" i="5"/>
  <c r="BF63" i="5"/>
  <c r="BG63" i="5"/>
  <c r="BL63" i="5"/>
  <c r="AR63" i="5"/>
  <c r="AJ63" i="5" s="1"/>
  <c r="BS63" i="5"/>
  <c r="BM63" i="5" s="1"/>
  <c r="R64" i="5"/>
  <c r="Z64" i="5" s="1"/>
  <c r="T64" i="5"/>
  <c r="U64" i="5"/>
  <c r="V64" i="5"/>
  <c r="W64" i="5" s="1"/>
  <c r="AB64" i="5" s="1"/>
  <c r="X64" i="5"/>
  <c r="Y64" i="5"/>
  <c r="AC64" i="5" s="1"/>
  <c r="AA64" i="5"/>
  <c r="AN64" i="5"/>
  <c r="AQ64" i="5"/>
  <c r="AV64" i="5"/>
  <c r="AW64" i="5"/>
  <c r="AX64" i="5"/>
  <c r="BB64" i="5" s="1"/>
  <c r="AY64" i="5"/>
  <c r="AZ64" i="5"/>
  <c r="BA64" i="5"/>
  <c r="BC64" i="5"/>
  <c r="BF64" i="5"/>
  <c r="BG64" i="5"/>
  <c r="BL64" i="5"/>
  <c r="BM64" i="5"/>
  <c r="AR64" i="5"/>
  <c r="BS64" i="5"/>
  <c r="R65" i="5"/>
  <c r="T65" i="5"/>
  <c r="V65" i="5"/>
  <c r="W65" i="5"/>
  <c r="AB65" i="5" s="1"/>
  <c r="X65" i="5"/>
  <c r="U65" i="5" s="1"/>
  <c r="Y65" i="5"/>
  <c r="AC65" i="5" s="1"/>
  <c r="AU65" i="5" s="1"/>
  <c r="BE65" i="5" s="1"/>
  <c r="Z65" i="5"/>
  <c r="AA65" i="5"/>
  <c r="AN65" i="5"/>
  <c r="AQ65" i="5"/>
  <c r="AR65" i="5"/>
  <c r="AS65" i="5"/>
  <c r="AV65" i="5"/>
  <c r="AW65" i="5"/>
  <c r="AX65" i="5"/>
  <c r="AY65" i="5"/>
  <c r="BB65" i="5" s="1"/>
  <c r="AZ65" i="5"/>
  <c r="BA65" i="5"/>
  <c r="BC65" i="5"/>
  <c r="BF65" i="5"/>
  <c r="BG65" i="5"/>
  <c r="BS65" i="5"/>
  <c r="BM65" i="5" s="1"/>
  <c r="R66" i="5"/>
  <c r="T66" i="5"/>
  <c r="U66" i="5"/>
  <c r="V66" i="5"/>
  <c r="W66" i="5"/>
  <c r="AB66" i="5" s="1"/>
  <c r="X66" i="5"/>
  <c r="Y66" i="5"/>
  <c r="Z66" i="5"/>
  <c r="AA66" i="5"/>
  <c r="AC66" i="5"/>
  <c r="AE66" i="5"/>
  <c r="AN66" i="5"/>
  <c r="AQ66" i="5"/>
  <c r="AR66" i="5"/>
  <c r="AJ66" i="5" s="1"/>
  <c r="AS66" i="5"/>
  <c r="AV66" i="5"/>
  <c r="BA66" i="5" s="1"/>
  <c r="AW66" i="5"/>
  <c r="AX66" i="5"/>
  <c r="AY66" i="5"/>
  <c r="AZ66" i="5"/>
  <c r="BB66" i="5"/>
  <c r="AU66" i="5" s="1"/>
  <c r="BE66" i="5" s="1"/>
  <c r="BC66" i="5"/>
  <c r="BF66" i="5"/>
  <c r="BG66" i="5"/>
  <c r="BS66" i="5"/>
  <c r="BL66" i="5" s="1"/>
  <c r="R67" i="5"/>
  <c r="U67" i="5"/>
  <c r="V67" i="5"/>
  <c r="T67" i="5" s="1"/>
  <c r="W67" i="5"/>
  <c r="AB67" i="5" s="1"/>
  <c r="X67" i="5"/>
  <c r="Y67" i="5" s="1"/>
  <c r="Z67" i="5"/>
  <c r="AA67" i="5"/>
  <c r="AC67" i="5"/>
  <c r="AD67" i="5"/>
  <c r="AF67" i="5" s="1"/>
  <c r="AE67" i="5"/>
  <c r="AN67" i="5"/>
  <c r="AQ67" i="5"/>
  <c r="AV67" i="5"/>
  <c r="BA67" i="5" s="1"/>
  <c r="AT67" i="5" s="1"/>
  <c r="BD67" i="5" s="1"/>
  <c r="AW67" i="5"/>
  <c r="AX67" i="5"/>
  <c r="AY67" i="5"/>
  <c r="BB67" i="5" s="1"/>
  <c r="AZ67" i="5"/>
  <c r="BC67" i="5"/>
  <c r="BF67" i="5"/>
  <c r="BG67" i="5"/>
  <c r="AS67" i="5"/>
  <c r="BS67" i="5"/>
  <c r="BL67" i="5" s="1"/>
  <c r="R68" i="5"/>
  <c r="Z68" i="5" s="1"/>
  <c r="V68" i="5"/>
  <c r="T68" i="5" s="1"/>
  <c r="W68" i="5"/>
  <c r="AB68" i="5" s="1"/>
  <c r="AD68" i="5" s="1"/>
  <c r="X68" i="5"/>
  <c r="U68" i="5" s="1"/>
  <c r="Y68" i="5"/>
  <c r="AA68" i="5"/>
  <c r="AC68" i="5"/>
  <c r="AE68" i="5" s="1"/>
  <c r="AN68" i="5"/>
  <c r="AQ68" i="5"/>
  <c r="AR68" i="5"/>
  <c r="AS68" i="5"/>
  <c r="AV68" i="5"/>
  <c r="AW68" i="5"/>
  <c r="BA68" i="5" s="1"/>
  <c r="AX68" i="5"/>
  <c r="AY68" i="5"/>
  <c r="BB68" i="5" s="1"/>
  <c r="AZ68" i="5"/>
  <c r="BC68" i="5"/>
  <c r="BF68" i="5"/>
  <c r="BG68" i="5"/>
  <c r="BM68" i="5"/>
  <c r="BS68" i="5"/>
  <c r="BL68" i="5" s="1"/>
  <c r="R69" i="5"/>
  <c r="Z69" i="5" s="1"/>
  <c r="T69" i="5"/>
  <c r="U69" i="5"/>
  <c r="V69" i="5"/>
  <c r="W69" i="5" s="1"/>
  <c r="X69" i="5"/>
  <c r="Y69" i="5" s="1"/>
  <c r="AA69" i="5"/>
  <c r="AB69" i="5"/>
  <c r="AC69" i="5"/>
  <c r="AD69" i="5"/>
  <c r="AN69" i="5"/>
  <c r="AQ69" i="5"/>
  <c r="AR69" i="5"/>
  <c r="AV69" i="5"/>
  <c r="AW69" i="5"/>
  <c r="AX69" i="5"/>
  <c r="AY69" i="5"/>
  <c r="AZ69" i="5"/>
  <c r="BB69" i="5"/>
  <c r="BC69" i="5"/>
  <c r="BF69" i="5"/>
  <c r="BG69" i="5"/>
  <c r="BL69" i="5"/>
  <c r="BM69" i="5"/>
  <c r="AS69" i="5"/>
  <c r="BS69" i="5"/>
  <c r="R70" i="5"/>
  <c r="Z70" i="5" s="1"/>
  <c r="V70" i="5"/>
  <c r="T70" i="5" s="1"/>
  <c r="X70" i="5"/>
  <c r="Y70" i="5" s="1"/>
  <c r="AC70" i="5" s="1"/>
  <c r="AA70" i="5"/>
  <c r="AN70" i="5"/>
  <c r="AQ70" i="5"/>
  <c r="AR70" i="5"/>
  <c r="AV70" i="5"/>
  <c r="AW70" i="5"/>
  <c r="BA70" i="5" s="1"/>
  <c r="AX70" i="5"/>
  <c r="BB70" i="5" s="1"/>
  <c r="AY70" i="5"/>
  <c r="AZ70" i="5"/>
  <c r="BC70" i="5"/>
  <c r="BF70" i="5"/>
  <c r="BG70" i="5"/>
  <c r="AS70" i="5"/>
  <c r="BS70" i="5"/>
  <c r="BL70" i="5" s="1"/>
  <c r="R71" i="5"/>
  <c r="Z71" i="5" s="1"/>
  <c r="T71" i="5"/>
  <c r="V71" i="5"/>
  <c r="W71" i="5" s="1"/>
  <c r="AB71" i="5" s="1"/>
  <c r="X71" i="5"/>
  <c r="U71" i="5" s="1"/>
  <c r="AA71" i="5"/>
  <c r="AN71" i="5"/>
  <c r="AQ71" i="5"/>
  <c r="AV71" i="5"/>
  <c r="BA71" i="5" s="1"/>
  <c r="AW71" i="5"/>
  <c r="AX71" i="5"/>
  <c r="BB71" i="5" s="1"/>
  <c r="AY71" i="5"/>
  <c r="AZ71" i="5"/>
  <c r="BC71" i="5"/>
  <c r="BF71" i="5"/>
  <c r="BG71" i="5"/>
  <c r="AR71" i="5"/>
  <c r="BS71" i="5"/>
  <c r="BM71" i="5" s="1"/>
  <c r="R72" i="5"/>
  <c r="Z72" i="5" s="1"/>
  <c r="U72" i="5"/>
  <c r="V72" i="5"/>
  <c r="T72" i="5" s="1"/>
  <c r="X72" i="5"/>
  <c r="Y72" i="5"/>
  <c r="AC72" i="5" s="1"/>
  <c r="AA72" i="5"/>
  <c r="AN72" i="5"/>
  <c r="AQ72" i="5"/>
  <c r="AV72" i="5"/>
  <c r="BA72" i="5" s="1"/>
  <c r="AW72" i="5"/>
  <c r="AX72" i="5"/>
  <c r="AY72" i="5"/>
  <c r="AZ72" i="5"/>
  <c r="BB72" i="5"/>
  <c r="BC72" i="5"/>
  <c r="BF72" i="5"/>
  <c r="BG72" i="5"/>
  <c r="BL72" i="5"/>
  <c r="BM72" i="5"/>
  <c r="BS72" i="5"/>
  <c r="R73" i="5"/>
  <c r="T73" i="5"/>
  <c r="V73" i="5"/>
  <c r="W73" i="5"/>
  <c r="AB73" i="5" s="1"/>
  <c r="X73" i="5"/>
  <c r="U73" i="5" s="1"/>
  <c r="Y73" i="5"/>
  <c r="AC73" i="5" s="1"/>
  <c r="Z73" i="5"/>
  <c r="AA73" i="5"/>
  <c r="AN73" i="5"/>
  <c r="AQ73" i="5"/>
  <c r="AR73" i="5"/>
  <c r="AS73" i="5"/>
  <c r="AV73" i="5"/>
  <c r="AW73" i="5"/>
  <c r="AX73" i="5"/>
  <c r="AY73" i="5"/>
  <c r="AZ73" i="5"/>
  <c r="BA73" i="5"/>
  <c r="BB73" i="5"/>
  <c r="BC73" i="5"/>
  <c r="BF73" i="5"/>
  <c r="BG73" i="5"/>
  <c r="BL73" i="5"/>
  <c r="BS73" i="5"/>
  <c r="BM73" i="5" s="1"/>
  <c r="R74" i="5"/>
  <c r="T74" i="5"/>
  <c r="U74" i="5"/>
  <c r="V74" i="5"/>
  <c r="W74" i="5"/>
  <c r="AB74" i="5" s="1"/>
  <c r="X74" i="5"/>
  <c r="Y74" i="5" s="1"/>
  <c r="AC74" i="5" s="1"/>
  <c r="Z74" i="5"/>
  <c r="AA74" i="5"/>
  <c r="AN74" i="5"/>
  <c r="AQ74" i="5"/>
  <c r="AR74" i="5"/>
  <c r="AS74" i="5"/>
  <c r="AV74" i="5"/>
  <c r="AW74" i="5"/>
  <c r="AX74" i="5"/>
  <c r="AY74" i="5"/>
  <c r="BB74" i="5" s="1"/>
  <c r="AZ74" i="5"/>
  <c r="BA74" i="5"/>
  <c r="BC74" i="5"/>
  <c r="BF74" i="5"/>
  <c r="BG74" i="5"/>
  <c r="BS74" i="5"/>
  <c r="BL74" i="5" s="1"/>
  <c r="R75" i="5"/>
  <c r="T75" i="5"/>
  <c r="V75" i="5"/>
  <c r="W75" i="5"/>
  <c r="X75" i="5"/>
  <c r="U75" i="5" s="1"/>
  <c r="Z75" i="5"/>
  <c r="AA75" i="5"/>
  <c r="AB75" i="5"/>
  <c r="AD75" i="5" s="1"/>
  <c r="AN75" i="5"/>
  <c r="AQ75" i="5"/>
  <c r="AR75" i="5"/>
  <c r="AS75" i="5"/>
  <c r="AV75" i="5"/>
  <c r="BA75" i="5" s="1"/>
  <c r="AW75" i="5"/>
  <c r="AX75" i="5"/>
  <c r="AY75" i="5"/>
  <c r="AZ75" i="5"/>
  <c r="BB75" i="5"/>
  <c r="BC75" i="5"/>
  <c r="BF75" i="5"/>
  <c r="BG75" i="5"/>
  <c r="BL75" i="5"/>
  <c r="BS75" i="5"/>
  <c r="BM75" i="5" s="1"/>
  <c r="R76" i="5"/>
  <c r="U76" i="5"/>
  <c r="V76" i="5"/>
  <c r="T76" i="5" s="1"/>
  <c r="W76" i="5"/>
  <c r="AB76" i="5" s="1"/>
  <c r="X76" i="5"/>
  <c r="Y76" i="5" s="1"/>
  <c r="AC76" i="5" s="1"/>
  <c r="Z76" i="5"/>
  <c r="AA76" i="5"/>
  <c r="AN76" i="5"/>
  <c r="AQ76" i="5"/>
  <c r="AV76" i="5"/>
  <c r="BA76" i="5" s="1"/>
  <c r="AW76" i="5"/>
  <c r="AX76" i="5"/>
  <c r="BB76" i="5" s="1"/>
  <c r="AY76" i="5"/>
  <c r="AZ76" i="5"/>
  <c r="BC76" i="5"/>
  <c r="BF76" i="5"/>
  <c r="BG76" i="5"/>
  <c r="AR76" i="5"/>
  <c r="BS76" i="5"/>
  <c r="BM76" i="5" s="1"/>
  <c r="R77" i="5"/>
  <c r="V77" i="5"/>
  <c r="T77" i="5" s="1"/>
  <c r="X77" i="5"/>
  <c r="U77" i="5" s="1"/>
  <c r="Z77" i="5"/>
  <c r="AA77" i="5"/>
  <c r="AN77" i="5"/>
  <c r="AQ77" i="5"/>
  <c r="AR77" i="5"/>
  <c r="AS77" i="5"/>
  <c r="AV77" i="5"/>
  <c r="AW77" i="5"/>
  <c r="AX77" i="5"/>
  <c r="AY77" i="5"/>
  <c r="AZ77" i="5"/>
  <c r="BA77" i="5"/>
  <c r="BB77" i="5"/>
  <c r="BC77" i="5"/>
  <c r="BF77" i="5"/>
  <c r="BG77" i="5"/>
  <c r="BM77" i="5"/>
  <c r="BS77" i="5"/>
  <c r="BL77" i="5" s="1"/>
  <c r="R78" i="5"/>
  <c r="Z78" i="5" s="1"/>
  <c r="T78" i="5"/>
  <c r="U78" i="5"/>
  <c r="V78" i="5"/>
  <c r="W78" i="5" s="1"/>
  <c r="AB78" i="5" s="1"/>
  <c r="X78" i="5"/>
  <c r="Y78" i="5" s="1"/>
  <c r="AC78" i="5" s="1"/>
  <c r="AA78" i="5"/>
  <c r="AN78" i="5"/>
  <c r="AQ78" i="5"/>
  <c r="AR78" i="5"/>
  <c r="AS78" i="5"/>
  <c r="AV78" i="5"/>
  <c r="BA78" i="5" s="1"/>
  <c r="AW78" i="5"/>
  <c r="AX78" i="5"/>
  <c r="AY78" i="5"/>
  <c r="AZ78" i="5"/>
  <c r="BB78" i="5"/>
  <c r="BC78" i="5"/>
  <c r="BF78" i="5"/>
  <c r="BG78" i="5"/>
  <c r="BL78" i="5"/>
  <c r="BM78" i="5"/>
  <c r="BS78" i="5"/>
  <c r="R79" i="5"/>
  <c r="Z79" i="5" s="1"/>
  <c r="V79" i="5"/>
  <c r="T79" i="5" s="1"/>
  <c r="X79" i="5"/>
  <c r="Y79" i="5" s="1"/>
  <c r="AC79" i="5" s="1"/>
  <c r="AA79" i="5"/>
  <c r="AN79" i="5"/>
  <c r="AQ79" i="5"/>
  <c r="AR79" i="5"/>
  <c r="AV79" i="5"/>
  <c r="BA79" i="5" s="1"/>
  <c r="AW79" i="5"/>
  <c r="AX79" i="5"/>
  <c r="BB79" i="5" s="1"/>
  <c r="AY79" i="5"/>
  <c r="AZ79" i="5"/>
  <c r="BC79" i="5"/>
  <c r="BF79" i="5"/>
  <c r="BG79" i="5"/>
  <c r="AS79" i="5"/>
  <c r="BS79" i="5"/>
  <c r="BL79" i="5" s="1"/>
  <c r="R80" i="5"/>
  <c r="Z80" i="5" s="1"/>
  <c r="V80" i="5"/>
  <c r="T80" i="5" s="1"/>
  <c r="X80" i="5"/>
  <c r="U80" i="5" s="1"/>
  <c r="Y80" i="5"/>
  <c r="AC80" i="5" s="1"/>
  <c r="AA80" i="5"/>
  <c r="AN80" i="5"/>
  <c r="AQ80" i="5"/>
  <c r="AS80" i="5"/>
  <c r="AV80" i="5"/>
  <c r="AW80" i="5"/>
  <c r="AX80" i="5"/>
  <c r="AY80" i="5"/>
  <c r="AZ80" i="5"/>
  <c r="BA80" i="5"/>
  <c r="BB80" i="5"/>
  <c r="BC80" i="5"/>
  <c r="BF80" i="5"/>
  <c r="BG80" i="5"/>
  <c r="BS80" i="5"/>
  <c r="BL80" i="5" s="1"/>
  <c r="R81" i="5"/>
  <c r="U81" i="5"/>
  <c r="V81" i="5"/>
  <c r="W81" i="5" s="1"/>
  <c r="AB81" i="5" s="1"/>
  <c r="X81" i="5"/>
  <c r="Y81" i="5"/>
  <c r="Z81" i="5"/>
  <c r="AA81" i="5"/>
  <c r="AC81" i="5"/>
  <c r="AE81" i="5" s="1"/>
  <c r="AN81" i="5"/>
  <c r="AQ81" i="5"/>
  <c r="AV81" i="5"/>
  <c r="BA81" i="5" s="1"/>
  <c r="AW81" i="5"/>
  <c r="AX81" i="5"/>
  <c r="BB81" i="5" s="1"/>
  <c r="AY81" i="5"/>
  <c r="AZ81" i="5"/>
  <c r="BC81" i="5"/>
  <c r="BF81" i="5"/>
  <c r="BG81" i="5"/>
  <c r="BL81" i="5"/>
  <c r="BM81" i="5"/>
  <c r="AR81" i="5"/>
  <c r="BS81" i="5"/>
  <c r="T82" i="5"/>
  <c r="U82" i="5"/>
  <c r="V82" i="5"/>
  <c r="X82" i="5"/>
  <c r="Y82" i="5"/>
  <c r="Z82" i="5"/>
  <c r="AA82" i="5"/>
  <c r="AB82" i="5"/>
  <c r="AC82" i="5"/>
  <c r="AD82" i="5"/>
  <c r="AF82" i="5" s="1"/>
  <c r="AE82" i="5"/>
  <c r="AG82" i="5"/>
  <c r="AH82" i="5"/>
  <c r="AI82" i="5"/>
  <c r="AK82" i="5"/>
  <c r="AM82" i="5"/>
  <c r="AP82" i="5"/>
  <c r="T83" i="5"/>
  <c r="U83" i="5"/>
  <c r="V83" i="5"/>
  <c r="X83" i="5"/>
  <c r="Y83" i="5"/>
  <c r="Z83" i="5"/>
  <c r="AA83" i="5"/>
  <c r="AB83" i="5"/>
  <c r="AD83" i="5" s="1"/>
  <c r="AC83" i="5"/>
  <c r="AE83" i="5"/>
  <c r="AH83" i="5"/>
  <c r="AI83" i="5"/>
  <c r="AK83" i="5"/>
  <c r="AM83" i="5"/>
  <c r="AP83" i="5"/>
  <c r="T84" i="5"/>
  <c r="U84" i="5"/>
  <c r="V84" i="5"/>
  <c r="X84" i="5"/>
  <c r="Y84" i="5"/>
  <c r="Z84" i="5"/>
  <c r="AA84" i="5"/>
  <c r="AB84" i="5"/>
  <c r="AC84" i="5"/>
  <c r="AD84" i="5"/>
  <c r="AF84" i="5" s="1"/>
  <c r="AE84" i="5"/>
  <c r="AH84" i="5"/>
  <c r="AI84" i="5"/>
  <c r="AK84" i="5"/>
  <c r="AM84" i="5"/>
  <c r="AP84" i="5"/>
  <c r="T85" i="5"/>
  <c r="U85" i="5"/>
  <c r="V85" i="5"/>
  <c r="X85" i="5"/>
  <c r="Y85" i="5"/>
  <c r="Z85" i="5"/>
  <c r="AA85" i="5"/>
  <c r="AB85" i="5"/>
  <c r="AD85" i="5" s="1"/>
  <c r="AC85" i="5"/>
  <c r="AE85" i="5" s="1"/>
  <c r="AH85" i="5"/>
  <c r="AI85" i="5"/>
  <c r="AK85" i="5"/>
  <c r="AM85" i="5"/>
  <c r="AP85" i="5"/>
  <c r="T86" i="5"/>
  <c r="U86" i="5"/>
  <c r="V86" i="5"/>
  <c r="X86" i="5"/>
  <c r="Y86" i="5"/>
  <c r="Z86" i="5"/>
  <c r="AA86" i="5"/>
  <c r="AB86" i="5"/>
  <c r="AC86" i="5"/>
  <c r="AD86" i="5"/>
  <c r="AF86" i="5" s="1"/>
  <c r="AE86" i="5"/>
  <c r="AG86" i="5"/>
  <c r="AH86" i="5"/>
  <c r="AI86" i="5"/>
  <c r="AK86" i="5"/>
  <c r="AM86" i="5"/>
  <c r="AP86" i="5"/>
  <c r="T87" i="5"/>
  <c r="U87" i="5"/>
  <c r="V87" i="5"/>
  <c r="X87" i="5"/>
  <c r="Y87" i="5"/>
  <c r="Z87" i="5"/>
  <c r="AA87" i="5"/>
  <c r="AB87" i="5"/>
  <c r="AD87" i="5" s="1"/>
  <c r="AC87" i="5"/>
  <c r="AE87" i="5"/>
  <c r="AH87" i="5"/>
  <c r="AI87" i="5"/>
  <c r="AK87" i="5"/>
  <c r="AM87" i="5"/>
  <c r="AP87" i="5"/>
  <c r="R2" i="4"/>
  <c r="T2" i="4"/>
  <c r="V2" i="4"/>
  <c r="AU2" i="4" s="1"/>
  <c r="X2" i="4"/>
  <c r="Z2" i="4"/>
  <c r="AA2" i="4"/>
  <c r="AI2" i="4"/>
  <c r="AK2" i="4" s="1"/>
  <c r="AJ2" i="4"/>
  <c r="AM2" i="4"/>
  <c r="AO2" i="4"/>
  <c r="AR2" i="4"/>
  <c r="AT2" i="4"/>
  <c r="R3" i="4"/>
  <c r="Z3" i="4" s="1"/>
  <c r="U3" i="4"/>
  <c r="V3" i="4"/>
  <c r="AR3" i="4" s="1"/>
  <c r="W3" i="4"/>
  <c r="AB3" i="4" s="1"/>
  <c r="X3" i="4"/>
  <c r="Y3" i="4"/>
  <c r="AA3" i="4"/>
  <c r="AC3" i="4"/>
  <c r="AF3" i="4" s="1"/>
  <c r="AI3" i="4"/>
  <c r="AJ3" i="4"/>
  <c r="AK3" i="4" s="1"/>
  <c r="AM3" i="4"/>
  <c r="AO3" i="4"/>
  <c r="AU3" i="4"/>
  <c r="R4" i="4"/>
  <c r="T4" i="4"/>
  <c r="V4" i="4"/>
  <c r="AU4" i="4" s="1"/>
  <c r="X4" i="4"/>
  <c r="U4" i="4" s="1"/>
  <c r="Z4" i="4"/>
  <c r="AA4" i="4"/>
  <c r="AI4" i="4"/>
  <c r="AK4" i="4" s="1"/>
  <c r="AJ4" i="4"/>
  <c r="AM4" i="4"/>
  <c r="AO4" i="4"/>
  <c r="AR4" i="4"/>
  <c r="AT4" i="4"/>
  <c r="R5" i="4"/>
  <c r="Z5" i="4" s="1"/>
  <c r="T5" i="4"/>
  <c r="V5" i="4"/>
  <c r="W5" i="4"/>
  <c r="AB5" i="4" s="1"/>
  <c r="X5" i="4"/>
  <c r="U5" i="4" s="1"/>
  <c r="Y5" i="4"/>
  <c r="AC5" i="4" s="1"/>
  <c r="AA5" i="4"/>
  <c r="AF5" i="4"/>
  <c r="AI5" i="4"/>
  <c r="AJ5" i="4"/>
  <c r="AK5" i="4" s="1"/>
  <c r="AM5" i="4"/>
  <c r="AO5" i="4"/>
  <c r="AR5" i="4"/>
  <c r="AT5" i="4"/>
  <c r="AU5" i="4"/>
  <c r="R6" i="4"/>
  <c r="T6" i="4"/>
  <c r="U6" i="4"/>
  <c r="V6" i="4"/>
  <c r="X6" i="4"/>
  <c r="Y6" i="4" s="1"/>
  <c r="AC6" i="4" s="1"/>
  <c r="AF6" i="4" s="1"/>
  <c r="Z6" i="4"/>
  <c r="AA6" i="4"/>
  <c r="AI6" i="4"/>
  <c r="AJ6" i="4"/>
  <c r="AK6" i="4"/>
  <c r="AM6" i="4"/>
  <c r="AO6" i="4"/>
  <c r="R7" i="4"/>
  <c r="Z7" i="4" s="1"/>
  <c r="T7" i="4"/>
  <c r="U7" i="4"/>
  <c r="V7" i="4"/>
  <c r="W7" i="4"/>
  <c r="AB7" i="4" s="1"/>
  <c r="X7" i="4"/>
  <c r="Y7" i="4"/>
  <c r="AC7" i="4" s="1"/>
  <c r="AF7" i="4" s="1"/>
  <c r="AA7" i="4"/>
  <c r="AI7" i="4"/>
  <c r="AJ7" i="4"/>
  <c r="AM7" i="4"/>
  <c r="AO7" i="4"/>
  <c r="AR7" i="4"/>
  <c r="AS7" i="4"/>
  <c r="AV7" i="4" s="1"/>
  <c r="BC7" i="4" s="1"/>
  <c r="AT7" i="4"/>
  <c r="AU7" i="4"/>
  <c r="R8" i="4"/>
  <c r="V8" i="4"/>
  <c r="W8" i="4"/>
  <c r="AB8" i="4" s="1"/>
  <c r="X8" i="4"/>
  <c r="Z8" i="4"/>
  <c r="AA8" i="4"/>
  <c r="AI8" i="4"/>
  <c r="AK8" i="4" s="1"/>
  <c r="AJ8" i="4"/>
  <c r="AM8" i="4"/>
  <c r="AO8" i="4"/>
  <c r="R9" i="4"/>
  <c r="Z9" i="4" s="1"/>
  <c r="T9" i="4"/>
  <c r="U9" i="4"/>
  <c r="V9" i="4"/>
  <c r="W9" i="4"/>
  <c r="X9" i="4"/>
  <c r="Y9" i="4"/>
  <c r="AA9" i="4"/>
  <c r="AB9" i="4"/>
  <c r="AC9" i="4"/>
  <c r="AF9" i="4" s="1"/>
  <c r="AI9" i="4"/>
  <c r="AJ9" i="4"/>
  <c r="AK9" i="4" s="1"/>
  <c r="AM9" i="4"/>
  <c r="AO9" i="4"/>
  <c r="AR9" i="4"/>
  <c r="AS9" i="4"/>
  <c r="AT9" i="4"/>
  <c r="AU9" i="4"/>
  <c r="R10" i="4"/>
  <c r="T10" i="4"/>
  <c r="V10" i="4"/>
  <c r="AT10" i="4" s="1"/>
  <c r="X10" i="4"/>
  <c r="Z10" i="4"/>
  <c r="AA10" i="4"/>
  <c r="AI10" i="4"/>
  <c r="AK10" i="4" s="1"/>
  <c r="AJ10" i="4"/>
  <c r="AM10" i="4"/>
  <c r="AR10" i="4"/>
  <c r="AU10" i="4"/>
  <c r="R11" i="4"/>
  <c r="V11" i="4"/>
  <c r="W11" i="4"/>
  <c r="AB11" i="4" s="1"/>
  <c r="X11" i="4"/>
  <c r="Z11" i="4"/>
  <c r="AA11" i="4"/>
  <c r="AI11" i="4"/>
  <c r="AK11" i="4" s="1"/>
  <c r="AJ11" i="4"/>
  <c r="AM11" i="4"/>
  <c r="R12" i="4"/>
  <c r="T12" i="4"/>
  <c r="U12" i="4"/>
  <c r="V12" i="4"/>
  <c r="X12" i="4"/>
  <c r="Y12" i="4" s="1"/>
  <c r="Z12" i="4"/>
  <c r="AA12" i="4"/>
  <c r="AC12" i="4"/>
  <c r="AF12" i="4" s="1"/>
  <c r="AI12" i="4"/>
  <c r="AJ12" i="4"/>
  <c r="AK12" i="4"/>
  <c r="AM12" i="4"/>
  <c r="AU12" i="4"/>
  <c r="R13" i="4"/>
  <c r="T13" i="4"/>
  <c r="V13" i="4"/>
  <c r="W13" i="4" s="1"/>
  <c r="AB13" i="4" s="1"/>
  <c r="X13" i="4"/>
  <c r="U13" i="4" s="1"/>
  <c r="Z13" i="4"/>
  <c r="AA13" i="4"/>
  <c r="AI13" i="4"/>
  <c r="AJ13" i="4"/>
  <c r="AK13" i="4"/>
  <c r="AM13" i="4"/>
  <c r="AT13" i="4"/>
  <c r="AU13" i="4"/>
  <c r="R14" i="4"/>
  <c r="T14" i="4"/>
  <c r="V14" i="4"/>
  <c r="AT14" i="4" s="1"/>
  <c r="X14" i="4"/>
  <c r="U14" i="4" s="1"/>
  <c r="Y14" i="4"/>
  <c r="AC14" i="4" s="1"/>
  <c r="AF14" i="4" s="1"/>
  <c r="Z14" i="4"/>
  <c r="AA14" i="4"/>
  <c r="AI14" i="4"/>
  <c r="AK14" i="4" s="1"/>
  <c r="AJ14" i="4"/>
  <c r="AM14" i="4"/>
  <c r="AR14" i="4"/>
  <c r="AU14" i="4"/>
  <c r="R15" i="4"/>
  <c r="V15" i="4"/>
  <c r="X15" i="4"/>
  <c r="Z15" i="4"/>
  <c r="AA15" i="4"/>
  <c r="AI15" i="4"/>
  <c r="AK15" i="4" s="1"/>
  <c r="AJ15" i="4"/>
  <c r="AM15" i="4"/>
  <c r="R16" i="4"/>
  <c r="U16" i="4"/>
  <c r="V16" i="4"/>
  <c r="X16" i="4"/>
  <c r="Y16" i="4" s="1"/>
  <c r="AC16" i="4" s="1"/>
  <c r="AF16" i="4" s="1"/>
  <c r="Z16" i="4"/>
  <c r="AA16" i="4"/>
  <c r="AI16" i="4"/>
  <c r="AJ16" i="4"/>
  <c r="AK16" i="4"/>
  <c r="AM16" i="4"/>
  <c r="AU16" i="4"/>
  <c r="R17" i="4"/>
  <c r="T17" i="4"/>
  <c r="V17" i="4"/>
  <c r="W17" i="4" s="1"/>
  <c r="AB17" i="4" s="1"/>
  <c r="X17" i="4"/>
  <c r="U17" i="4" s="1"/>
  <c r="Z17" i="4"/>
  <c r="AA17" i="4"/>
  <c r="AI17" i="4"/>
  <c r="AJ17" i="4"/>
  <c r="AK17" i="4"/>
  <c r="AM17" i="4"/>
  <c r="AT17" i="4"/>
  <c r="AU17" i="4"/>
  <c r="R18" i="4"/>
  <c r="T18" i="4"/>
  <c r="V18" i="4"/>
  <c r="W18" i="4" s="1"/>
  <c r="AB18" i="4" s="1"/>
  <c r="X18" i="4"/>
  <c r="Z18" i="4"/>
  <c r="AA18" i="4"/>
  <c r="AI18" i="4"/>
  <c r="AK18" i="4" s="1"/>
  <c r="AJ18" i="4"/>
  <c r="AM18" i="4"/>
  <c r="AR18" i="4"/>
  <c r="AT18" i="4"/>
  <c r="AU18" i="4"/>
  <c r="R19" i="4"/>
  <c r="V19" i="4"/>
  <c r="W19" i="4" s="1"/>
  <c r="AB19" i="4" s="1"/>
  <c r="X19" i="4"/>
  <c r="Z19" i="4"/>
  <c r="AA19" i="4"/>
  <c r="AI19" i="4"/>
  <c r="AK19" i="4" s="1"/>
  <c r="AJ19" i="4"/>
  <c r="AM19" i="4"/>
  <c r="R20" i="4"/>
  <c r="U20" i="4"/>
  <c r="V20" i="4"/>
  <c r="X20" i="4"/>
  <c r="Y20" i="4" s="1"/>
  <c r="AC20" i="4" s="1"/>
  <c r="AF20" i="4" s="1"/>
  <c r="Z20" i="4"/>
  <c r="AA20" i="4"/>
  <c r="AI20" i="4"/>
  <c r="AJ20" i="4"/>
  <c r="AK20" i="4"/>
  <c r="AM20" i="4"/>
  <c r="R21" i="4"/>
  <c r="Z21" i="4" s="1"/>
  <c r="T21" i="4"/>
  <c r="V21" i="4"/>
  <c r="W21" i="4" s="1"/>
  <c r="AB21" i="4" s="1"/>
  <c r="X21" i="4"/>
  <c r="U21" i="4" s="1"/>
  <c r="AA21" i="4"/>
  <c r="AI21" i="4"/>
  <c r="AJ21" i="4"/>
  <c r="AM21" i="4"/>
  <c r="AT21" i="4"/>
  <c r="AU21" i="4"/>
  <c r="R22" i="4"/>
  <c r="T22" i="4"/>
  <c r="V22" i="4"/>
  <c r="W22" i="4" s="1"/>
  <c r="AB22" i="4" s="1"/>
  <c r="X22" i="4"/>
  <c r="U22" i="4" s="1"/>
  <c r="Z22" i="4"/>
  <c r="AA22" i="4"/>
  <c r="AI22" i="4"/>
  <c r="AK22" i="4" s="1"/>
  <c r="AJ22" i="4"/>
  <c r="AM22" i="4"/>
  <c r="AR22" i="4"/>
  <c r="AS22" i="4"/>
  <c r="AV22" i="4" s="1"/>
  <c r="BC22" i="4" s="1"/>
  <c r="AT22" i="4"/>
  <c r="AU22" i="4"/>
  <c r="R23" i="4"/>
  <c r="V23" i="4"/>
  <c r="W23" i="4"/>
  <c r="AB23" i="4" s="1"/>
  <c r="X23" i="4"/>
  <c r="Z23" i="4"/>
  <c r="AA23" i="4"/>
  <c r="AI23" i="4"/>
  <c r="AK23" i="4" s="1"/>
  <c r="AJ23" i="4"/>
  <c r="AM23" i="4"/>
  <c r="R24" i="4"/>
  <c r="Z24" i="4" s="1"/>
  <c r="T24" i="4"/>
  <c r="U24" i="4"/>
  <c r="V24" i="4"/>
  <c r="X24" i="4"/>
  <c r="Y24" i="4" s="1"/>
  <c r="AA24" i="4"/>
  <c r="AC24" i="4"/>
  <c r="AI24" i="4"/>
  <c r="AJ24" i="4"/>
  <c r="AK24" i="4"/>
  <c r="AM24" i="4"/>
  <c r="R25" i="4"/>
  <c r="V25" i="4"/>
  <c r="X25" i="4"/>
  <c r="U25" i="4" s="1"/>
  <c r="Y25" i="4"/>
  <c r="AC25" i="4" s="1"/>
  <c r="AF25" i="4" s="1"/>
  <c r="Z25" i="4"/>
  <c r="AA25" i="4"/>
  <c r="AI25" i="4"/>
  <c r="AJ25" i="4"/>
  <c r="AK25" i="4"/>
  <c r="AM25" i="4"/>
  <c r="R26" i="4"/>
  <c r="T26" i="4"/>
  <c r="V26" i="4"/>
  <c r="W26" i="4"/>
  <c r="X26" i="4"/>
  <c r="U26" i="4" s="1"/>
  <c r="Y26" i="4"/>
  <c r="AC26" i="4" s="1"/>
  <c r="AF26" i="4" s="1"/>
  <c r="Z26" i="4"/>
  <c r="AA26" i="4"/>
  <c r="AB26" i="4"/>
  <c r="AI26" i="4"/>
  <c r="AJ26" i="4"/>
  <c r="AK26" i="4"/>
  <c r="AM26" i="4"/>
  <c r="AR26" i="4"/>
  <c r="AS26" i="4"/>
  <c r="AV26" i="4" s="1"/>
  <c r="BC26" i="4" s="1"/>
  <c r="AT26" i="4"/>
  <c r="AU26" i="4"/>
  <c r="R27" i="4"/>
  <c r="V27" i="4"/>
  <c r="X27" i="4"/>
  <c r="Z27" i="4"/>
  <c r="AA27" i="4"/>
  <c r="AI27" i="4"/>
  <c r="AK27" i="4" s="1"/>
  <c r="AJ27" i="4"/>
  <c r="AM27" i="4"/>
  <c r="R28" i="4"/>
  <c r="Z28" i="4" s="1"/>
  <c r="T28" i="4"/>
  <c r="V28" i="4"/>
  <c r="W28" i="4"/>
  <c r="X28" i="4"/>
  <c r="U28" i="4" s="1"/>
  <c r="Y28" i="4"/>
  <c r="AC28" i="4" s="1"/>
  <c r="AA28" i="4"/>
  <c r="AB28" i="4"/>
  <c r="AI28" i="4"/>
  <c r="AK28" i="4" s="1"/>
  <c r="AJ28" i="4"/>
  <c r="AM28" i="4"/>
  <c r="AR28" i="4"/>
  <c r="AT28" i="4"/>
  <c r="AU28" i="4"/>
  <c r="R29" i="4"/>
  <c r="V29" i="4"/>
  <c r="T29" i="4" s="1"/>
  <c r="W29" i="4"/>
  <c r="AB29" i="4" s="1"/>
  <c r="X29" i="4"/>
  <c r="Z29" i="4"/>
  <c r="AA29" i="4"/>
  <c r="AI29" i="4"/>
  <c r="AK29" i="4" s="1"/>
  <c r="AJ29" i="4"/>
  <c r="AM29" i="4"/>
  <c r="AO29" i="4"/>
  <c r="AR29" i="4"/>
  <c r="R30" i="4"/>
  <c r="Z30" i="4" s="1"/>
  <c r="T30" i="4"/>
  <c r="U30" i="4"/>
  <c r="V30" i="4"/>
  <c r="AR30" i="4" s="1"/>
  <c r="W30" i="4"/>
  <c r="AB30" i="4" s="1"/>
  <c r="X30" i="4"/>
  <c r="Y30" i="4" s="1"/>
  <c r="AC30" i="4" s="1"/>
  <c r="AF30" i="4" s="1"/>
  <c r="AA30" i="4"/>
  <c r="AI30" i="4"/>
  <c r="AJ30" i="4"/>
  <c r="AK30" i="4"/>
  <c r="AM30" i="4"/>
  <c r="AO30" i="4"/>
  <c r="AT30" i="4"/>
  <c r="AU30" i="4"/>
  <c r="R31" i="4"/>
  <c r="T31" i="4"/>
  <c r="V31" i="4"/>
  <c r="W31" i="4" s="1"/>
  <c r="AB31" i="4" s="1"/>
  <c r="X31" i="4"/>
  <c r="U31" i="4" s="1"/>
  <c r="Y31" i="4"/>
  <c r="AC31" i="4" s="1"/>
  <c r="Z31" i="4"/>
  <c r="AA31" i="4"/>
  <c r="AI31" i="4"/>
  <c r="AJ31" i="4"/>
  <c r="AK31" i="4"/>
  <c r="AM31" i="4"/>
  <c r="AO31" i="4"/>
  <c r="AR31" i="4"/>
  <c r="AT31" i="4"/>
  <c r="AU31" i="4"/>
  <c r="R32" i="4"/>
  <c r="V32" i="4"/>
  <c r="AR32" i="4" s="1"/>
  <c r="W32" i="4"/>
  <c r="AB32" i="4" s="1"/>
  <c r="X32" i="4"/>
  <c r="U32" i="4" s="1"/>
  <c r="Y32" i="4"/>
  <c r="AC32" i="4" s="1"/>
  <c r="Z32" i="4"/>
  <c r="AA32" i="4"/>
  <c r="AF32" i="4"/>
  <c r="AI32" i="4"/>
  <c r="AK32" i="4" s="1"/>
  <c r="AJ32" i="4"/>
  <c r="AM32" i="4"/>
  <c r="AO32" i="4"/>
  <c r="R33" i="4"/>
  <c r="Z33" i="4" s="1"/>
  <c r="T33" i="4"/>
  <c r="U33" i="4"/>
  <c r="V33" i="4"/>
  <c r="AT33" i="4" s="1"/>
  <c r="X33" i="4"/>
  <c r="Y33" i="4" s="1"/>
  <c r="AC33" i="4" s="1"/>
  <c r="AF33" i="4" s="1"/>
  <c r="AA33" i="4"/>
  <c r="AI33" i="4"/>
  <c r="AJ33" i="4"/>
  <c r="AK33" i="4"/>
  <c r="AM33" i="4"/>
  <c r="AO33" i="4"/>
  <c r="R34" i="4"/>
  <c r="Z34" i="4" s="1"/>
  <c r="T34" i="4"/>
  <c r="V34" i="4"/>
  <c r="W34" i="4"/>
  <c r="X34" i="4"/>
  <c r="U34" i="4" s="1"/>
  <c r="Y34" i="4"/>
  <c r="AC34" i="4" s="1"/>
  <c r="AA34" i="4"/>
  <c r="AB34" i="4"/>
  <c r="AE34" i="4" s="1"/>
  <c r="AI34" i="4"/>
  <c r="AK34" i="4" s="1"/>
  <c r="AJ34" i="4"/>
  <c r="AM34" i="4"/>
  <c r="AO34" i="4"/>
  <c r="AR34" i="4"/>
  <c r="AS34" i="4"/>
  <c r="AV34" i="4" s="1"/>
  <c r="BC34" i="4" s="1"/>
  <c r="AT34" i="4"/>
  <c r="AU34" i="4"/>
  <c r="R35" i="4"/>
  <c r="V35" i="4"/>
  <c r="X35" i="4"/>
  <c r="Z35" i="4"/>
  <c r="AA35" i="4"/>
  <c r="AI35" i="4"/>
  <c r="AJ35" i="4"/>
  <c r="AK35" i="4"/>
  <c r="AM35" i="4"/>
  <c r="AO35" i="4"/>
  <c r="AU35" i="4"/>
  <c r="R36" i="4"/>
  <c r="Z36" i="4" s="1"/>
  <c r="T36" i="4"/>
  <c r="U36" i="4"/>
  <c r="V36" i="4"/>
  <c r="W36" i="4" s="1"/>
  <c r="AB36" i="4" s="1"/>
  <c r="X36" i="4"/>
  <c r="Y36" i="4"/>
  <c r="AA36" i="4"/>
  <c r="AC36" i="4"/>
  <c r="AI36" i="4"/>
  <c r="AJ36" i="4"/>
  <c r="AM36" i="4"/>
  <c r="AO36" i="4"/>
  <c r="AR36" i="4"/>
  <c r="AT36" i="4"/>
  <c r="AU36" i="4"/>
  <c r="R37" i="4"/>
  <c r="V37" i="4"/>
  <c r="T37" i="4" s="1"/>
  <c r="W37" i="4"/>
  <c r="AB37" i="4" s="1"/>
  <c r="X37" i="4"/>
  <c r="Z37" i="4"/>
  <c r="AA37" i="4"/>
  <c r="AI37" i="4"/>
  <c r="AK37" i="4" s="1"/>
  <c r="AJ37" i="4"/>
  <c r="AM37" i="4"/>
  <c r="AO37" i="4"/>
  <c r="AR37" i="4"/>
  <c r="R38" i="4"/>
  <c r="Z38" i="4" s="1"/>
  <c r="T38" i="4"/>
  <c r="U38" i="4"/>
  <c r="V38" i="4"/>
  <c r="AR38" i="4" s="1"/>
  <c r="W38" i="4"/>
  <c r="AB38" i="4" s="1"/>
  <c r="X38" i="4"/>
  <c r="Y38" i="4" s="1"/>
  <c r="AC38" i="4" s="1"/>
  <c r="AF38" i="4" s="1"/>
  <c r="AA38" i="4"/>
  <c r="AI38" i="4"/>
  <c r="AJ38" i="4"/>
  <c r="AK38" i="4"/>
  <c r="AM38" i="4"/>
  <c r="AO38" i="4"/>
  <c r="AT38" i="4"/>
  <c r="AU38" i="4"/>
  <c r="R39" i="4"/>
  <c r="Z39" i="4" s="1"/>
  <c r="T39" i="4"/>
  <c r="V39" i="4"/>
  <c r="W39" i="4" s="1"/>
  <c r="X39" i="4"/>
  <c r="U39" i="4" s="1"/>
  <c r="Y39" i="4"/>
  <c r="AC39" i="4" s="1"/>
  <c r="AA39" i="4"/>
  <c r="AB39" i="4"/>
  <c r="AI39" i="4"/>
  <c r="AK39" i="4" s="1"/>
  <c r="AJ39" i="4"/>
  <c r="AM39" i="4"/>
  <c r="AO39" i="4"/>
  <c r="AR39" i="4"/>
  <c r="AS39" i="4" s="1"/>
  <c r="AV39" i="4" s="1"/>
  <c r="BC39" i="4" s="1"/>
  <c r="AT39" i="4"/>
  <c r="AU39" i="4"/>
  <c r="R40" i="4"/>
  <c r="V40" i="4"/>
  <c r="W40" i="4"/>
  <c r="AB40" i="4" s="1"/>
  <c r="X40" i="4"/>
  <c r="U40" i="4" s="1"/>
  <c r="Y40" i="4"/>
  <c r="AC40" i="4" s="1"/>
  <c r="Z40" i="4"/>
  <c r="AA40" i="4"/>
  <c r="AF40" i="4"/>
  <c r="AI40" i="4"/>
  <c r="AK40" i="4" s="1"/>
  <c r="AJ40" i="4"/>
  <c r="AM40" i="4"/>
  <c r="AO40" i="4"/>
  <c r="R41" i="4"/>
  <c r="Z41" i="4" s="1"/>
  <c r="T41" i="4"/>
  <c r="U41" i="4"/>
  <c r="V41" i="4"/>
  <c r="X41" i="4"/>
  <c r="Y41" i="4"/>
  <c r="AA41" i="4"/>
  <c r="AC41" i="4"/>
  <c r="AF41" i="4"/>
  <c r="AI41" i="4"/>
  <c r="AJ41" i="4"/>
  <c r="AK41" i="4" s="1"/>
  <c r="AM41" i="4"/>
  <c r="AO41" i="4"/>
  <c r="AT41" i="4"/>
  <c r="AU41" i="4"/>
  <c r="R42" i="4"/>
  <c r="Z42" i="4" s="1"/>
  <c r="T42" i="4"/>
  <c r="V42" i="4"/>
  <c r="AU42" i="4" s="1"/>
  <c r="X42" i="4"/>
  <c r="AA42" i="4"/>
  <c r="AI42" i="4"/>
  <c r="AK42" i="4" s="1"/>
  <c r="AJ42" i="4"/>
  <c r="AM42" i="4"/>
  <c r="AO42" i="4"/>
  <c r="AR42" i="4"/>
  <c r="AT42" i="4"/>
  <c r="R43" i="4"/>
  <c r="Z43" i="4" s="1"/>
  <c r="V43" i="4"/>
  <c r="W43" i="4"/>
  <c r="AB43" i="4" s="1"/>
  <c r="X43" i="4"/>
  <c r="U43" i="4" s="1"/>
  <c r="AA43" i="4"/>
  <c r="AI43" i="4"/>
  <c r="AJ43" i="4"/>
  <c r="AK43" i="4"/>
  <c r="AM43" i="4"/>
  <c r="AO43" i="4"/>
  <c r="R44" i="4"/>
  <c r="V44" i="4"/>
  <c r="X44" i="4"/>
  <c r="U44" i="4" s="1"/>
  <c r="Y44" i="4"/>
  <c r="AC44" i="4" s="1"/>
  <c r="AF44" i="4" s="1"/>
  <c r="Z44" i="4"/>
  <c r="AA44" i="4"/>
  <c r="AI44" i="4"/>
  <c r="AJ44" i="4"/>
  <c r="AM44" i="4"/>
  <c r="AO44" i="4"/>
  <c r="AQ44" i="4"/>
  <c r="R45" i="4"/>
  <c r="V45" i="4"/>
  <c r="T45" i="4" s="1"/>
  <c r="W45" i="4"/>
  <c r="AB45" i="4" s="1"/>
  <c r="AX45" i="4" s="1"/>
  <c r="X45" i="4"/>
  <c r="U45" i="4" s="1"/>
  <c r="Y45" i="4"/>
  <c r="AC45" i="4" s="1"/>
  <c r="AF45" i="4" s="1"/>
  <c r="Z45" i="4"/>
  <c r="AA45" i="4"/>
  <c r="AI45" i="4"/>
  <c r="AK45" i="4" s="1"/>
  <c r="AJ45" i="4"/>
  <c r="AM45" i="4"/>
  <c r="AO45" i="4"/>
  <c r="AR45" i="4"/>
  <c r="AT45" i="4"/>
  <c r="AU45" i="4"/>
  <c r="R46" i="4"/>
  <c r="U46" i="4"/>
  <c r="V46" i="4"/>
  <c r="X46" i="4"/>
  <c r="Y46" i="4" s="1"/>
  <c r="Z46" i="4"/>
  <c r="AA46" i="4"/>
  <c r="AC46" i="4"/>
  <c r="AF46" i="4"/>
  <c r="AI46" i="4"/>
  <c r="AK46" i="4" s="1"/>
  <c r="AJ46" i="4"/>
  <c r="AM46" i="4"/>
  <c r="AO46" i="4"/>
  <c r="R47" i="4"/>
  <c r="Z47" i="4" s="1"/>
  <c r="T47" i="4"/>
  <c r="U47" i="4"/>
  <c r="V47" i="4"/>
  <c r="W47" i="4"/>
  <c r="X47" i="4"/>
  <c r="Y47" i="4"/>
  <c r="AA47" i="4"/>
  <c r="AB47" i="4"/>
  <c r="AC47" i="4"/>
  <c r="AF47" i="4" s="1"/>
  <c r="AI47" i="4"/>
  <c r="AJ47" i="4"/>
  <c r="AM47" i="4"/>
  <c r="AO47" i="4"/>
  <c r="AR47" i="4"/>
  <c r="AS47" i="4" s="1"/>
  <c r="AV47" i="4" s="1"/>
  <c r="BC47" i="4" s="1"/>
  <c r="AT47" i="4"/>
  <c r="AU47" i="4"/>
  <c r="R48" i="4"/>
  <c r="T48" i="4"/>
  <c r="V48" i="4"/>
  <c r="AU48" i="4" s="1"/>
  <c r="W48" i="4"/>
  <c r="AB48" i="4" s="1"/>
  <c r="X48" i="4"/>
  <c r="Z48" i="4"/>
  <c r="AA48" i="4"/>
  <c r="AI48" i="4"/>
  <c r="AK48" i="4" s="1"/>
  <c r="AJ48" i="4"/>
  <c r="AM48" i="4"/>
  <c r="AO48" i="4"/>
  <c r="AR48" i="4"/>
  <c r="AT48" i="4"/>
  <c r="R49" i="4"/>
  <c r="Z49" i="4" s="1"/>
  <c r="U49" i="4"/>
  <c r="V49" i="4"/>
  <c r="AR49" i="4" s="1"/>
  <c r="W49" i="4"/>
  <c r="AB49" i="4" s="1"/>
  <c r="X49" i="4"/>
  <c r="Y49" i="4"/>
  <c r="AA49" i="4"/>
  <c r="AC49" i="4"/>
  <c r="AF49" i="4"/>
  <c r="AI49" i="4"/>
  <c r="AJ49" i="4"/>
  <c r="AK49" i="4"/>
  <c r="AM49" i="4"/>
  <c r="AO49" i="4"/>
  <c r="AT49" i="4"/>
  <c r="AU49" i="4"/>
  <c r="R50" i="4"/>
  <c r="T50" i="4"/>
  <c r="U50" i="4"/>
  <c r="V50" i="4"/>
  <c r="AU50" i="4" s="1"/>
  <c r="X50" i="4"/>
  <c r="Y50" i="4"/>
  <c r="AC50" i="4" s="1"/>
  <c r="AF50" i="4" s="1"/>
  <c r="Z50" i="4"/>
  <c r="AA50" i="4"/>
  <c r="AI50" i="4"/>
  <c r="AJ50" i="4"/>
  <c r="AK50" i="4"/>
  <c r="AM50" i="4"/>
  <c r="AO50" i="4"/>
  <c r="AR50" i="4"/>
  <c r="AT50" i="4"/>
  <c r="R51" i="4"/>
  <c r="Z51" i="4" s="1"/>
  <c r="V51" i="4"/>
  <c r="W51" i="4"/>
  <c r="AB51" i="4" s="1"/>
  <c r="X51" i="4"/>
  <c r="AA51" i="4"/>
  <c r="AI51" i="4"/>
  <c r="AJ51" i="4"/>
  <c r="AM51" i="4"/>
  <c r="AO51" i="4"/>
  <c r="R52" i="4"/>
  <c r="Z52" i="4" s="1"/>
  <c r="V52" i="4"/>
  <c r="X52" i="4"/>
  <c r="AA52" i="4"/>
  <c r="AI52" i="4"/>
  <c r="AJ52" i="4"/>
  <c r="AK52" i="4"/>
  <c r="AM52" i="4"/>
  <c r="AO52" i="4"/>
  <c r="AT52" i="4"/>
  <c r="AU52" i="4"/>
  <c r="R53" i="4"/>
  <c r="T53" i="4"/>
  <c r="U53" i="4"/>
  <c r="V53" i="4"/>
  <c r="W53" i="4"/>
  <c r="X53" i="4"/>
  <c r="Y53" i="4"/>
  <c r="Z53" i="4"/>
  <c r="AA53" i="4"/>
  <c r="AB53" i="4"/>
  <c r="AE53" i="4" s="1"/>
  <c r="AC53" i="4"/>
  <c r="AF53" i="4" s="1"/>
  <c r="AH53" i="4" s="1"/>
  <c r="AG53" i="4"/>
  <c r="AI53" i="4"/>
  <c r="AJ53" i="4"/>
  <c r="AM53" i="4"/>
  <c r="AO53" i="4"/>
  <c r="AR53" i="4"/>
  <c r="AS53" i="4" s="1"/>
  <c r="AV53" i="4" s="1"/>
  <c r="BC53" i="4" s="1"/>
  <c r="AT53" i="4"/>
  <c r="AU53" i="4"/>
  <c r="AX53" i="4"/>
  <c r="AY53" i="4" s="1"/>
  <c r="AZ53" i="4" s="1"/>
  <c r="R54" i="4"/>
  <c r="V54" i="4"/>
  <c r="W54" i="4" s="1"/>
  <c r="AB54" i="4" s="1"/>
  <c r="X54" i="4"/>
  <c r="U54" i="4" s="1"/>
  <c r="Y54" i="4"/>
  <c r="AC54" i="4" s="1"/>
  <c r="Z54" i="4"/>
  <c r="AA54" i="4"/>
  <c r="AI54" i="4"/>
  <c r="AK54" i="4" s="1"/>
  <c r="AJ54" i="4"/>
  <c r="AM54" i="4"/>
  <c r="AO54" i="4"/>
  <c r="AU54" i="4"/>
  <c r="R55" i="4"/>
  <c r="Z55" i="4" s="1"/>
  <c r="T55" i="4"/>
  <c r="U55" i="4"/>
  <c r="V55" i="4"/>
  <c r="W55" i="4" s="1"/>
  <c r="AB55" i="4" s="1"/>
  <c r="X55" i="4"/>
  <c r="Y55" i="4"/>
  <c r="AA55" i="4"/>
  <c r="AC55" i="4"/>
  <c r="AI55" i="4"/>
  <c r="AJ55" i="4"/>
  <c r="AK55" i="4" s="1"/>
  <c r="AM55" i="4"/>
  <c r="AO55" i="4"/>
  <c r="AR55" i="4"/>
  <c r="AU55" i="4"/>
  <c r="R56" i="4"/>
  <c r="T56" i="4"/>
  <c r="V56" i="4"/>
  <c r="AU56" i="4" s="1"/>
  <c r="W56" i="4"/>
  <c r="AB56" i="4" s="1"/>
  <c r="X56" i="4"/>
  <c r="U56" i="4" s="1"/>
  <c r="Y56" i="4"/>
  <c r="AC56" i="4" s="1"/>
  <c r="AF56" i="4" s="1"/>
  <c r="Z56" i="4"/>
  <c r="AA56" i="4"/>
  <c r="AI56" i="4"/>
  <c r="AJ56" i="4"/>
  <c r="AM56" i="4"/>
  <c r="AO56" i="4"/>
  <c r="AR56" i="4"/>
  <c r="AT56" i="4"/>
  <c r="R57" i="4"/>
  <c r="Z57" i="4" s="1"/>
  <c r="T57" i="4"/>
  <c r="V57" i="4"/>
  <c r="AR57" i="4" s="1"/>
  <c r="W57" i="4"/>
  <c r="X57" i="4"/>
  <c r="U57" i="4" s="1"/>
  <c r="Y57" i="4"/>
  <c r="AC57" i="4" s="1"/>
  <c r="AF57" i="4" s="1"/>
  <c r="AA57" i="4"/>
  <c r="AB57" i="4"/>
  <c r="AI57" i="4"/>
  <c r="AJ57" i="4"/>
  <c r="AK57" i="4"/>
  <c r="AM57" i="4"/>
  <c r="AO57" i="4"/>
  <c r="AT57" i="4"/>
  <c r="AU57" i="4"/>
  <c r="R58" i="4"/>
  <c r="Z58" i="4" s="1"/>
  <c r="T58" i="4"/>
  <c r="V58" i="4"/>
  <c r="W58" i="4" s="1"/>
  <c r="X58" i="4"/>
  <c r="U58" i="4" s="1"/>
  <c r="AA58" i="4"/>
  <c r="AB58" i="4"/>
  <c r="AI58" i="4"/>
  <c r="AJ58" i="4"/>
  <c r="AK58" i="4"/>
  <c r="AM58" i="4"/>
  <c r="AO58" i="4"/>
  <c r="AR58" i="4"/>
  <c r="AT58" i="4"/>
  <c r="AU58" i="4"/>
  <c r="R59" i="4"/>
  <c r="Z59" i="4" s="1"/>
  <c r="V59" i="4"/>
  <c r="W59" i="4"/>
  <c r="AB59" i="4" s="1"/>
  <c r="X59" i="4"/>
  <c r="U59" i="4" s="1"/>
  <c r="AA59" i="4"/>
  <c r="AI59" i="4"/>
  <c r="AJ59" i="4"/>
  <c r="AM59" i="4"/>
  <c r="AO59" i="4"/>
  <c r="AR59" i="4"/>
  <c r="AS59" i="4" s="1"/>
  <c r="AU59" i="4"/>
  <c r="R60" i="4"/>
  <c r="Z60" i="4" s="1"/>
  <c r="T60" i="4"/>
  <c r="U60" i="4"/>
  <c r="V60" i="4"/>
  <c r="W60" i="4" s="1"/>
  <c r="AB60" i="4" s="1"/>
  <c r="X60" i="4"/>
  <c r="Y60" i="4"/>
  <c r="AA60" i="4"/>
  <c r="AC60" i="4"/>
  <c r="AI60" i="4"/>
  <c r="AJ60" i="4"/>
  <c r="AK60" i="4"/>
  <c r="AM60" i="4"/>
  <c r="AM83" i="4" s="1"/>
  <c r="AO60" i="4"/>
  <c r="AT60" i="4"/>
  <c r="AU60" i="4"/>
  <c r="R61" i="4"/>
  <c r="V61" i="4"/>
  <c r="T61" i="4" s="1"/>
  <c r="X61" i="4"/>
  <c r="U61" i="4" s="1"/>
  <c r="Y61" i="4"/>
  <c r="AC61" i="4" s="1"/>
  <c r="AF61" i="4" s="1"/>
  <c r="Z61" i="4"/>
  <c r="AA61" i="4"/>
  <c r="AI61" i="4"/>
  <c r="AK61" i="4" s="1"/>
  <c r="AJ61" i="4"/>
  <c r="AM61" i="4"/>
  <c r="AO61" i="4"/>
  <c r="AR61" i="4"/>
  <c r="R62" i="4"/>
  <c r="Z62" i="4" s="1"/>
  <c r="U62" i="4"/>
  <c r="V62" i="4"/>
  <c r="AR62" i="4" s="1"/>
  <c r="W62" i="4"/>
  <c r="AB62" i="4" s="1"/>
  <c r="X62" i="4"/>
  <c r="Y62" i="4" s="1"/>
  <c r="AC62" i="4" s="1"/>
  <c r="AA62" i="4"/>
  <c r="AF62" i="4"/>
  <c r="AI62" i="4"/>
  <c r="AK62" i="4" s="1"/>
  <c r="AJ62" i="4"/>
  <c r="AM62" i="4"/>
  <c r="AO62" i="4"/>
  <c r="R63" i="4"/>
  <c r="Z63" i="4" s="1"/>
  <c r="T63" i="4"/>
  <c r="V63" i="4"/>
  <c r="W63" i="4"/>
  <c r="X63" i="4"/>
  <c r="U63" i="4" s="1"/>
  <c r="AA63" i="4"/>
  <c r="AB63" i="4"/>
  <c r="AI63" i="4"/>
  <c r="AJ63" i="4"/>
  <c r="AK63" i="4"/>
  <c r="AM63" i="4"/>
  <c r="AO63" i="4"/>
  <c r="AR63" i="4"/>
  <c r="AT63" i="4"/>
  <c r="AU63" i="4"/>
  <c r="R64" i="4"/>
  <c r="T64" i="4"/>
  <c r="V64" i="4"/>
  <c r="W64" i="4"/>
  <c r="AB64" i="4" s="1"/>
  <c r="X64" i="4"/>
  <c r="U64" i="4" s="1"/>
  <c r="Y64" i="4"/>
  <c r="AC64" i="4" s="1"/>
  <c r="AF64" i="4" s="1"/>
  <c r="Z64" i="4"/>
  <c r="AA64" i="4"/>
  <c r="AI64" i="4"/>
  <c r="AK64" i="4" s="1"/>
  <c r="AJ64" i="4"/>
  <c r="AM64" i="4"/>
  <c r="AO64" i="4"/>
  <c r="AR64" i="4"/>
  <c r="AT64" i="4"/>
  <c r="AU64" i="4"/>
  <c r="R65" i="4"/>
  <c r="U65" i="4"/>
  <c r="V65" i="4"/>
  <c r="X65" i="4"/>
  <c r="Y65" i="4" s="1"/>
  <c r="AC65" i="4" s="1"/>
  <c r="AF65" i="4" s="1"/>
  <c r="Z65" i="4"/>
  <c r="AA65" i="4"/>
  <c r="AI65" i="4"/>
  <c r="AJ65" i="4"/>
  <c r="AK65" i="4"/>
  <c r="AM65" i="4"/>
  <c r="AO65" i="4"/>
  <c r="R66" i="4"/>
  <c r="Z66" i="4" s="1"/>
  <c r="T66" i="4"/>
  <c r="U66" i="4"/>
  <c r="V66" i="4"/>
  <c r="W66" i="4"/>
  <c r="AB66" i="4" s="1"/>
  <c r="X66" i="4"/>
  <c r="Y66" i="4"/>
  <c r="AC66" i="4" s="1"/>
  <c r="AF66" i="4" s="1"/>
  <c r="AA66" i="4"/>
  <c r="AI66" i="4"/>
  <c r="AJ66" i="4"/>
  <c r="AM66" i="4"/>
  <c r="AO66" i="4"/>
  <c r="AR66" i="4"/>
  <c r="AS66" i="4"/>
  <c r="AV66" i="4" s="1"/>
  <c r="BC66" i="4" s="1"/>
  <c r="AT66" i="4"/>
  <c r="AU66" i="4"/>
  <c r="R67" i="4"/>
  <c r="V67" i="4"/>
  <c r="AR67" i="4" s="1"/>
  <c r="W67" i="4"/>
  <c r="AB67" i="4" s="1"/>
  <c r="X67" i="4"/>
  <c r="Z67" i="4"/>
  <c r="AA67" i="4"/>
  <c r="AI67" i="4"/>
  <c r="AJ67" i="4"/>
  <c r="AK67" i="4"/>
  <c r="AM67" i="4"/>
  <c r="AO67" i="4"/>
  <c r="R68" i="4"/>
  <c r="Z68" i="4" s="1"/>
  <c r="T68" i="4"/>
  <c r="U68" i="4"/>
  <c r="V68" i="4"/>
  <c r="W68" i="4" s="1"/>
  <c r="AB68" i="4" s="1"/>
  <c r="X68" i="4"/>
  <c r="Y68" i="4"/>
  <c r="AA68" i="4"/>
  <c r="AC68" i="4"/>
  <c r="AI68" i="4"/>
  <c r="AJ68" i="4"/>
  <c r="AK68" i="4"/>
  <c r="AM68" i="4"/>
  <c r="AO68" i="4"/>
  <c r="AT68" i="4"/>
  <c r="AU68" i="4"/>
  <c r="R69" i="4"/>
  <c r="V69" i="4"/>
  <c r="T69" i="4" s="1"/>
  <c r="X69" i="4"/>
  <c r="U69" i="4" s="1"/>
  <c r="Y69" i="4"/>
  <c r="AC69" i="4" s="1"/>
  <c r="AF69" i="4" s="1"/>
  <c r="AQ69" i="4" s="1"/>
  <c r="Z69" i="4"/>
  <c r="AA69" i="4"/>
  <c r="AI69" i="4"/>
  <c r="AK69" i="4" s="1"/>
  <c r="AJ69" i="4"/>
  <c r="AM69" i="4"/>
  <c r="AO69" i="4"/>
  <c r="AR69" i="4"/>
  <c r="AT69" i="4"/>
  <c r="R70" i="4"/>
  <c r="Z70" i="4" s="1"/>
  <c r="U70" i="4"/>
  <c r="V70" i="4"/>
  <c r="W70" i="4"/>
  <c r="AB70" i="4" s="1"/>
  <c r="X70" i="4"/>
  <c r="Y70" i="4" s="1"/>
  <c r="AA70" i="4"/>
  <c r="AC70" i="4"/>
  <c r="AF70" i="4" s="1"/>
  <c r="AI70" i="4"/>
  <c r="AJ70" i="4"/>
  <c r="AM70" i="4"/>
  <c r="AO70" i="4"/>
  <c r="AU70" i="4"/>
  <c r="R71" i="4"/>
  <c r="Z71" i="4" s="1"/>
  <c r="V71" i="4"/>
  <c r="W71" i="4" s="1"/>
  <c r="AB71" i="4" s="1"/>
  <c r="X71" i="4"/>
  <c r="Y71" i="4" s="1"/>
  <c r="AC71" i="4" s="1"/>
  <c r="AA71" i="4"/>
  <c r="AI71" i="4"/>
  <c r="AK71" i="4" s="1"/>
  <c r="AJ71" i="4"/>
  <c r="AM71" i="4"/>
  <c r="AO71" i="4"/>
  <c r="AT71" i="4"/>
  <c r="R72" i="4"/>
  <c r="Z72" i="4" s="1"/>
  <c r="T72" i="4"/>
  <c r="U72" i="4"/>
  <c r="V72" i="4"/>
  <c r="W72" i="4"/>
  <c r="AB72" i="4" s="1"/>
  <c r="X72" i="4"/>
  <c r="Y72" i="4"/>
  <c r="AA72" i="4"/>
  <c r="AC72" i="4"/>
  <c r="AF72" i="4" s="1"/>
  <c r="AI72" i="4"/>
  <c r="AJ72" i="4"/>
  <c r="AK72" i="4"/>
  <c r="AM72" i="4"/>
  <c r="AO72" i="4"/>
  <c r="AR72" i="4"/>
  <c r="AT72" i="4"/>
  <c r="AU72" i="4"/>
  <c r="R73" i="4"/>
  <c r="Z73" i="4" s="1"/>
  <c r="U73" i="4"/>
  <c r="V73" i="4"/>
  <c r="T73" i="4" s="1"/>
  <c r="W73" i="4"/>
  <c r="AB73" i="4" s="1"/>
  <c r="X73" i="4"/>
  <c r="Y73" i="4"/>
  <c r="AA73" i="4"/>
  <c r="AC73" i="4"/>
  <c r="AF73" i="4" s="1"/>
  <c r="AI73" i="4"/>
  <c r="AK73" i="4" s="1"/>
  <c r="AJ73" i="4"/>
  <c r="AM73" i="4"/>
  <c r="AO73" i="4"/>
  <c r="AR73" i="4"/>
  <c r="AU73" i="4"/>
  <c r="R74" i="4"/>
  <c r="V74" i="4"/>
  <c r="T74" i="4" s="1"/>
  <c r="W74" i="4"/>
  <c r="AB74" i="4" s="1"/>
  <c r="X74" i="4"/>
  <c r="Y74" i="4" s="1"/>
  <c r="AC74" i="4" s="1"/>
  <c r="Z74" i="4"/>
  <c r="AA74" i="4"/>
  <c r="AI74" i="4"/>
  <c r="AK74" i="4" s="1"/>
  <c r="AJ74" i="4"/>
  <c r="AM74" i="4"/>
  <c r="AO74" i="4"/>
  <c r="AR74" i="4"/>
  <c r="AU74" i="4"/>
  <c r="R75" i="4"/>
  <c r="Z75" i="4" s="1"/>
  <c r="T75" i="4"/>
  <c r="U75" i="4"/>
  <c r="V75" i="4"/>
  <c r="W75" i="4"/>
  <c r="X75" i="4"/>
  <c r="Y75" i="4"/>
  <c r="AA75" i="4"/>
  <c r="AB75" i="4"/>
  <c r="AE75" i="4" s="1"/>
  <c r="AC75" i="4"/>
  <c r="AF75" i="4" s="1"/>
  <c r="AI75" i="4"/>
  <c r="AJ75" i="4"/>
  <c r="AK75" i="4"/>
  <c r="AM75" i="4"/>
  <c r="AO75" i="4"/>
  <c r="AR75" i="4"/>
  <c r="AT75" i="4"/>
  <c r="AU75" i="4"/>
  <c r="R76" i="4"/>
  <c r="T76" i="4"/>
  <c r="V76" i="4"/>
  <c r="W76" i="4"/>
  <c r="X76" i="4"/>
  <c r="U76" i="4" s="1"/>
  <c r="Y76" i="4"/>
  <c r="AC76" i="4" s="1"/>
  <c r="AF76" i="4" s="1"/>
  <c r="Z76" i="4"/>
  <c r="AA76" i="4"/>
  <c r="AB76" i="4"/>
  <c r="AS76" i="4" s="1"/>
  <c r="AV76" i="4" s="1"/>
  <c r="BC76" i="4" s="1"/>
  <c r="AI76" i="4"/>
  <c r="AK76" i="4" s="1"/>
  <c r="AJ76" i="4"/>
  <c r="AM76" i="4"/>
  <c r="AO76" i="4"/>
  <c r="AR76" i="4"/>
  <c r="AT76" i="4"/>
  <c r="AU76" i="4"/>
  <c r="R77" i="4"/>
  <c r="Z77" i="4" s="1"/>
  <c r="U77" i="4"/>
  <c r="V77" i="4"/>
  <c r="AR77" i="4" s="1"/>
  <c r="W77" i="4"/>
  <c r="AB77" i="4" s="1"/>
  <c r="X77" i="4"/>
  <c r="Y77" i="4"/>
  <c r="AC77" i="4" s="1"/>
  <c r="AF77" i="4" s="1"/>
  <c r="AA77" i="4"/>
  <c r="AI77" i="4"/>
  <c r="AJ77" i="4"/>
  <c r="AK77" i="4"/>
  <c r="AM77" i="4"/>
  <c r="AO77" i="4"/>
  <c r="R78" i="4"/>
  <c r="Z78" i="4" s="1"/>
  <c r="T78" i="4"/>
  <c r="U78" i="4"/>
  <c r="V78" i="4"/>
  <c r="AU78" i="4" s="1"/>
  <c r="X78" i="4"/>
  <c r="Y78" i="4"/>
  <c r="AA78" i="4"/>
  <c r="AC78" i="4"/>
  <c r="AF78" i="4" s="1"/>
  <c r="AI78" i="4"/>
  <c r="AJ78" i="4"/>
  <c r="AK78" i="4"/>
  <c r="AM78" i="4"/>
  <c r="AO78" i="4"/>
  <c r="AT78" i="4"/>
  <c r="R79" i="4"/>
  <c r="Z79" i="4" s="1"/>
  <c r="V79" i="4"/>
  <c r="T79" i="4" s="1"/>
  <c r="W79" i="4"/>
  <c r="AB79" i="4" s="1"/>
  <c r="X79" i="4"/>
  <c r="U79" i="4" s="1"/>
  <c r="Y79" i="4"/>
  <c r="AC79" i="4" s="1"/>
  <c r="AA79" i="4"/>
  <c r="AI79" i="4"/>
  <c r="AK79" i="4" s="1"/>
  <c r="AJ79" i="4"/>
  <c r="AM79" i="4"/>
  <c r="AO79" i="4"/>
  <c r="AR79" i="4"/>
  <c r="R80" i="4"/>
  <c r="Z80" i="4" s="1"/>
  <c r="V80" i="4"/>
  <c r="W80" i="4" s="1"/>
  <c r="AB80" i="4" s="1"/>
  <c r="X80" i="4"/>
  <c r="Y80" i="4" s="1"/>
  <c r="AC80" i="4" s="1"/>
  <c r="AA80" i="4"/>
  <c r="AI80" i="4"/>
  <c r="AJ80" i="4"/>
  <c r="AK80" i="4"/>
  <c r="AM80" i="4"/>
  <c r="AO80" i="4"/>
  <c r="R81" i="4"/>
  <c r="Z81" i="4" s="1"/>
  <c r="T81" i="4"/>
  <c r="U81" i="4"/>
  <c r="V81" i="4"/>
  <c r="W81" i="4" s="1"/>
  <c r="AB81" i="4" s="1"/>
  <c r="X81" i="4"/>
  <c r="Y81" i="4"/>
  <c r="AA81" i="4"/>
  <c r="AC81" i="4"/>
  <c r="AF81" i="4" s="1"/>
  <c r="AI81" i="4"/>
  <c r="AK81" i="4" s="1"/>
  <c r="AJ81" i="4"/>
  <c r="AM81" i="4"/>
  <c r="AO81" i="4"/>
  <c r="AR81" i="4"/>
  <c r="AT81" i="4"/>
  <c r="AU81" i="4"/>
  <c r="R82" i="4"/>
  <c r="T82" i="4"/>
  <c r="Y82" i="4"/>
  <c r="Z82" i="4"/>
  <c r="AA82" i="4"/>
  <c r="AB82" i="4"/>
  <c r="R83" i="4"/>
  <c r="T83" i="4"/>
  <c r="U83" i="4"/>
  <c r="V83" i="4"/>
  <c r="W83" i="4"/>
  <c r="X83" i="4"/>
  <c r="Y83" i="4"/>
  <c r="Z83" i="4"/>
  <c r="AA83" i="4"/>
  <c r="AB83" i="4"/>
  <c r="AJ83" i="4"/>
  <c r="AL83" i="4"/>
  <c r="R84" i="4"/>
  <c r="T84" i="4"/>
  <c r="U84" i="4"/>
  <c r="V84" i="4"/>
  <c r="W84" i="4"/>
  <c r="X84" i="4"/>
  <c r="Y84" i="4"/>
  <c r="Z84" i="4"/>
  <c r="AA84" i="4"/>
  <c r="AB84" i="4"/>
  <c r="AE84" i="4"/>
  <c r="AF84" i="4"/>
  <c r="AG84" i="4"/>
  <c r="AH84" i="4"/>
  <c r="AI84" i="4"/>
  <c r="AK84" i="4" s="1"/>
  <c r="AJ84" i="4"/>
  <c r="AL84" i="4"/>
  <c r="AM84" i="4"/>
  <c r="AN84" i="4"/>
  <c r="AO84" i="4"/>
  <c r="R85" i="4"/>
  <c r="T85" i="4"/>
  <c r="U85" i="4"/>
  <c r="V85" i="4"/>
  <c r="W85" i="4"/>
  <c r="X85" i="4"/>
  <c r="Y85" i="4"/>
  <c r="Z85" i="4"/>
  <c r="AA85" i="4"/>
  <c r="AB85" i="4"/>
  <c r="AE85" i="4" s="1"/>
  <c r="AC85" i="4"/>
  <c r="AF85" i="4" s="1"/>
  <c r="AI85" i="4"/>
  <c r="AJ85" i="4"/>
  <c r="AK85" i="4"/>
  <c r="AL85" i="4"/>
  <c r="AM85" i="4"/>
  <c r="AN85" i="4" s="1"/>
  <c r="AO85" i="4"/>
  <c r="R86" i="4"/>
  <c r="T86" i="4"/>
  <c r="U86" i="4"/>
  <c r="V86" i="4"/>
  <c r="W86" i="4"/>
  <c r="X86" i="4"/>
  <c r="Y86" i="4"/>
  <c r="Z86" i="4"/>
  <c r="AA86" i="4"/>
  <c r="AB86" i="4"/>
  <c r="AC86" i="4"/>
  <c r="AF86" i="4" s="1"/>
  <c r="AE86" i="4"/>
  <c r="AG86" i="4" s="1"/>
  <c r="AK86" i="4"/>
  <c r="AL86" i="4"/>
  <c r="AM86" i="4"/>
  <c r="AN86" i="4"/>
  <c r="AO86" i="4"/>
  <c r="R87" i="4"/>
  <c r="T87" i="4"/>
  <c r="U87" i="4"/>
  <c r="V87" i="4"/>
  <c r="W87" i="4"/>
  <c r="X87" i="4"/>
  <c r="Y87" i="4"/>
  <c r="Z87" i="4"/>
  <c r="AA87" i="4"/>
  <c r="AB87" i="4"/>
  <c r="AE87" i="4" s="1"/>
  <c r="AC87" i="4"/>
  <c r="AF87" i="4"/>
  <c r="AI87" i="4"/>
  <c r="AP53" i="4" s="1"/>
  <c r="AJ87" i="4"/>
  <c r="AQ64" i="4" s="1"/>
  <c r="AK87" i="4"/>
  <c r="AL87" i="4"/>
  <c r="AM87" i="4"/>
  <c r="AO87" i="4"/>
  <c r="AL19" i="5" l="1"/>
  <c r="AL21" i="5"/>
  <c r="AL29" i="5"/>
  <c r="AL60" i="5"/>
  <c r="AL63" i="5"/>
  <c r="AL13" i="5"/>
  <c r="AL44" i="5"/>
  <c r="AL34" i="5"/>
  <c r="AL22" i="5"/>
  <c r="AL31" i="5"/>
  <c r="AL69" i="5"/>
  <c r="AL52" i="5"/>
  <c r="AL72" i="5"/>
  <c r="AL9" i="5"/>
  <c r="AL77" i="5"/>
  <c r="AL27" i="5"/>
  <c r="AL23" i="5"/>
  <c r="AL11" i="5"/>
  <c r="AL5" i="5"/>
  <c r="AL64" i="5"/>
  <c r="AL81" i="5"/>
  <c r="AL46" i="5"/>
  <c r="AL26" i="5"/>
  <c r="AL55" i="5"/>
  <c r="AL78" i="5"/>
  <c r="AL35" i="5"/>
  <c r="AL8" i="5"/>
  <c r="AL56" i="5"/>
  <c r="AL48" i="5"/>
  <c r="AL75" i="5"/>
  <c r="AL73" i="5"/>
  <c r="AL37" i="5"/>
  <c r="AL3" i="5"/>
  <c r="AS8" i="5"/>
  <c r="AS16" i="5"/>
  <c r="AS50" i="5"/>
  <c r="AH69" i="5"/>
  <c r="AS56" i="5"/>
  <c r="BB83" i="4"/>
  <c r="BD2" i="5"/>
  <c r="AU74" i="5"/>
  <c r="BE74" i="5" s="1"/>
  <c r="AE74" i="5"/>
  <c r="AE72" i="5"/>
  <c r="AU72" i="5"/>
  <c r="BE72" i="5" s="1"/>
  <c r="AO68" i="5"/>
  <c r="AG68" i="5"/>
  <c r="AJ68" i="5"/>
  <c r="AU57" i="5"/>
  <c r="BE57" i="5" s="1"/>
  <c r="AE57" i="5"/>
  <c r="AE78" i="5"/>
  <c r="AU78" i="5"/>
  <c r="BE78" i="5" s="1"/>
  <c r="AD74" i="5"/>
  <c r="AT74" i="5"/>
  <c r="BD74" i="5" s="1"/>
  <c r="AU73" i="5"/>
  <c r="BE73" i="5" s="1"/>
  <c r="AE73" i="5"/>
  <c r="AO67" i="5"/>
  <c r="AU76" i="5"/>
  <c r="BE76" i="5" s="1"/>
  <c r="AE76" i="5"/>
  <c r="AG83" i="5"/>
  <c r="AF83" i="5"/>
  <c r="AT76" i="5"/>
  <c r="BD76" i="5" s="1"/>
  <c r="AD76" i="5"/>
  <c r="AD73" i="5"/>
  <c r="AT73" i="5"/>
  <c r="BD73" i="5" s="1"/>
  <c r="AT71" i="5"/>
  <c r="BD71" i="5" s="1"/>
  <c r="AD71" i="5"/>
  <c r="AT64" i="5"/>
  <c r="BD64" i="5" s="1"/>
  <c r="AD64" i="5"/>
  <c r="AJ81" i="5"/>
  <c r="AD78" i="5"/>
  <c r="AT78" i="5"/>
  <c r="BD78" i="5" s="1"/>
  <c r="AF85" i="5"/>
  <c r="AG85" i="5"/>
  <c r="AU79" i="5"/>
  <c r="BE79" i="5" s="1"/>
  <c r="AE79" i="5"/>
  <c r="AU70" i="5"/>
  <c r="BE70" i="5" s="1"/>
  <c r="AD66" i="5"/>
  <c r="AT66" i="5"/>
  <c r="BD66" i="5" s="1"/>
  <c r="AT65" i="5"/>
  <c r="BD65" i="5" s="1"/>
  <c r="AD65" i="5"/>
  <c r="AU80" i="5"/>
  <c r="BE80" i="5" s="1"/>
  <c r="AE80" i="5"/>
  <c r="AF87" i="5"/>
  <c r="AG87" i="5"/>
  <c r="AE61" i="5"/>
  <c r="AU61" i="5"/>
  <c r="BE61" i="5" s="1"/>
  <c r="AT54" i="5"/>
  <c r="BD54" i="5" s="1"/>
  <c r="AD54" i="5"/>
  <c r="AT81" i="5"/>
  <c r="BD81" i="5" s="1"/>
  <c r="AH75" i="5"/>
  <c r="AG67" i="5"/>
  <c r="T63" i="5"/>
  <c r="W63" i="5"/>
  <c r="AB63" i="5" s="1"/>
  <c r="Y62" i="5"/>
  <c r="AC62" i="5" s="1"/>
  <c r="U62" i="5"/>
  <c r="BL45" i="5"/>
  <c r="BM45" i="5"/>
  <c r="AE43" i="5"/>
  <c r="AU43" i="5"/>
  <c r="BE43" i="5" s="1"/>
  <c r="U38" i="5"/>
  <c r="Y38" i="5"/>
  <c r="AC38" i="5" s="1"/>
  <c r="AD34" i="5"/>
  <c r="AT34" i="5"/>
  <c r="BD34" i="5" s="1"/>
  <c r="W79" i="5"/>
  <c r="AB79" i="5" s="1"/>
  <c r="Y77" i="5"/>
  <c r="AC77" i="5" s="1"/>
  <c r="W70" i="5"/>
  <c r="AB70" i="5" s="1"/>
  <c r="AE64" i="5"/>
  <c r="AU64" i="5"/>
  <c r="BE64" i="5" s="1"/>
  <c r="T62" i="5"/>
  <c r="W62" i="5"/>
  <c r="AB62" i="5" s="1"/>
  <c r="BA61" i="5"/>
  <c r="AT61" i="5" s="1"/>
  <c r="BD61" i="5" s="1"/>
  <c r="AE59" i="5"/>
  <c r="AU59" i="5"/>
  <c r="BE59" i="5" s="1"/>
  <c r="AD57" i="5"/>
  <c r="AT57" i="5"/>
  <c r="BD57" i="5" s="1"/>
  <c r="AJ56" i="5"/>
  <c r="W52" i="5"/>
  <c r="AB52" i="5" s="1"/>
  <c r="T52" i="5"/>
  <c r="AD48" i="5"/>
  <c r="AT48" i="5"/>
  <c r="BD48" i="5" s="1"/>
  <c r="AJ41" i="5"/>
  <c r="BL39" i="5"/>
  <c r="BM39" i="5"/>
  <c r="AT75" i="5"/>
  <c r="BD75" i="5" s="1"/>
  <c r="AU67" i="5"/>
  <c r="BE67" i="5" s="1"/>
  <c r="BL65" i="5"/>
  <c r="AL65" i="5" s="1"/>
  <c r="AD61" i="5"/>
  <c r="AJ47" i="5"/>
  <c r="AU81" i="5"/>
  <c r="BE81" i="5" s="1"/>
  <c r="BM79" i="5"/>
  <c r="AL79" i="5" s="1"/>
  <c r="U79" i="5"/>
  <c r="W77" i="5"/>
  <c r="AB77" i="5" s="1"/>
  <c r="BL76" i="5"/>
  <c r="AL76" i="5" s="1"/>
  <c r="Y75" i="5"/>
  <c r="AC75" i="5" s="1"/>
  <c r="BL71" i="5"/>
  <c r="AL71" i="5" s="1"/>
  <c r="U70" i="5"/>
  <c r="AE70" i="5" s="1"/>
  <c r="AL68" i="5"/>
  <c r="BM67" i="5"/>
  <c r="AL67" i="5" s="1"/>
  <c r="BM59" i="5"/>
  <c r="AL59" i="5" s="1"/>
  <c r="AR55" i="5"/>
  <c r="AJ55" i="5" s="1"/>
  <c r="AS55" i="5"/>
  <c r="BL53" i="5"/>
  <c r="BM53" i="5"/>
  <c r="AU41" i="5"/>
  <c r="BE41" i="5" s="1"/>
  <c r="AR67" i="5"/>
  <c r="AJ67" i="5" s="1"/>
  <c r="AE4" i="5"/>
  <c r="W80" i="5"/>
  <c r="AB80" i="5" s="1"/>
  <c r="BM74" i="5"/>
  <c r="AL74" i="5" s="1"/>
  <c r="AS72" i="5"/>
  <c r="W72" i="5"/>
  <c r="AB72" i="5" s="1"/>
  <c r="Y71" i="5"/>
  <c r="AC71" i="5" s="1"/>
  <c r="BM70" i="5"/>
  <c r="AL70" i="5" s="1"/>
  <c r="AH68" i="5"/>
  <c r="BM66" i="5"/>
  <c r="AL66" i="5" s="1"/>
  <c r="AG66" i="5"/>
  <c r="AE58" i="5"/>
  <c r="AU58" i="5"/>
  <c r="BE58" i="5" s="1"/>
  <c r="BL57" i="5"/>
  <c r="BM57" i="5"/>
  <c r="AU56" i="5"/>
  <c r="BE56" i="5" s="1"/>
  <c r="AE53" i="5"/>
  <c r="AE69" i="5"/>
  <c r="AS81" i="5"/>
  <c r="AS71" i="5"/>
  <c r="AU68" i="5"/>
  <c r="BE68" i="5" s="1"/>
  <c r="U60" i="5"/>
  <c r="Y60" i="5"/>
  <c r="AC60" i="5" s="1"/>
  <c r="BL58" i="5"/>
  <c r="BM58" i="5"/>
  <c r="AD46" i="5"/>
  <c r="AT46" i="5"/>
  <c r="BD46" i="5" s="1"/>
  <c r="Y42" i="5"/>
  <c r="AC42" i="5" s="1"/>
  <c r="U42" i="5"/>
  <c r="AU33" i="5"/>
  <c r="BE33" i="5" s="1"/>
  <c r="AE33" i="5"/>
  <c r="AG84" i="5"/>
  <c r="BM80" i="5"/>
  <c r="AL80" i="5" s="1"/>
  <c r="AS76" i="5"/>
  <c r="BA69" i="5"/>
  <c r="AT69" i="5" s="1"/>
  <c r="BD69" i="5" s="1"/>
  <c r="AT68" i="5"/>
  <c r="BD68" i="5" s="1"/>
  <c r="AF68" i="5"/>
  <c r="AE65" i="5"/>
  <c r="AS63" i="5"/>
  <c r="AL61" i="5"/>
  <c r="AH56" i="5"/>
  <c r="AF56" i="5"/>
  <c r="BA55" i="5"/>
  <c r="AT53" i="5"/>
  <c r="BD53" i="5" s="1"/>
  <c r="AD53" i="5"/>
  <c r="T51" i="5"/>
  <c r="W51" i="5"/>
  <c r="AB51" i="5" s="1"/>
  <c r="AU49" i="5"/>
  <c r="BE49" i="5" s="1"/>
  <c r="AE49" i="5"/>
  <c r="W44" i="5"/>
  <c r="AB44" i="5" s="1"/>
  <c r="T44" i="5"/>
  <c r="AU39" i="5"/>
  <c r="BE39" i="5" s="1"/>
  <c r="AE39" i="5"/>
  <c r="T81" i="5"/>
  <c r="AD81" i="5" s="1"/>
  <c r="AU69" i="5"/>
  <c r="BE69" i="5" s="1"/>
  <c r="AD58" i="5"/>
  <c r="AU55" i="5"/>
  <c r="BE55" i="5" s="1"/>
  <c r="AD55" i="5"/>
  <c r="AT55" i="5"/>
  <c r="BD55" i="5" s="1"/>
  <c r="AE52" i="5"/>
  <c r="AU52" i="5"/>
  <c r="BE52" i="5" s="1"/>
  <c r="AT47" i="5"/>
  <c r="BD47" i="5" s="1"/>
  <c r="AD47" i="5"/>
  <c r="AG47" i="5" s="1"/>
  <c r="BB53" i="5"/>
  <c r="AU53" i="5" s="1"/>
  <c r="BE53" i="5" s="1"/>
  <c r="U48" i="5"/>
  <c r="Y48" i="5"/>
  <c r="AC48" i="5" s="1"/>
  <c r="BB45" i="5"/>
  <c r="AU45" i="5" s="1"/>
  <c r="BE45" i="5" s="1"/>
  <c r="AJ45" i="5"/>
  <c r="T42" i="5"/>
  <c r="W42" i="5"/>
  <c r="AB42" i="5" s="1"/>
  <c r="AD41" i="5"/>
  <c r="AT41" i="5"/>
  <c r="BD41" i="5" s="1"/>
  <c r="AD38" i="5"/>
  <c r="AT38" i="5"/>
  <c r="BD38" i="5" s="1"/>
  <c r="AD37" i="5"/>
  <c r="AT37" i="5"/>
  <c r="BD37" i="5" s="1"/>
  <c r="AE32" i="5"/>
  <c r="AU32" i="5"/>
  <c r="BE32" i="5" s="1"/>
  <c r="BM62" i="5"/>
  <c r="AL62" i="5" s="1"/>
  <c r="BA58" i="5"/>
  <c r="AT58" i="5" s="1"/>
  <c r="BD58" i="5" s="1"/>
  <c r="AS52" i="5"/>
  <c r="Y50" i="5"/>
  <c r="AC50" i="5" s="1"/>
  <c r="U50" i="5"/>
  <c r="AR44" i="5"/>
  <c r="AS44" i="5"/>
  <c r="AL41" i="5"/>
  <c r="AT36" i="5"/>
  <c r="BD36" i="5" s="1"/>
  <c r="AH31" i="5"/>
  <c r="AU30" i="5"/>
  <c r="BE30" i="5" s="1"/>
  <c r="AE30" i="5"/>
  <c r="AD20" i="5"/>
  <c r="AT20" i="5"/>
  <c r="BD20" i="5" s="1"/>
  <c r="AE51" i="5"/>
  <c r="T50" i="5"/>
  <c r="W50" i="5"/>
  <c r="AB50" i="5" s="1"/>
  <c r="U54" i="5"/>
  <c r="Y54" i="5"/>
  <c r="AC54" i="5" s="1"/>
  <c r="AD49" i="5"/>
  <c r="AT49" i="5"/>
  <c r="BD49" i="5" s="1"/>
  <c r="AU47" i="5"/>
  <c r="BE47" i="5" s="1"/>
  <c r="AT45" i="5"/>
  <c r="BD45" i="5" s="1"/>
  <c r="AD45" i="5"/>
  <c r="AL38" i="5"/>
  <c r="BL36" i="5"/>
  <c r="BM36" i="5"/>
  <c r="AT30" i="5"/>
  <c r="BD30" i="5" s="1"/>
  <c r="AD30" i="5"/>
  <c r="AT29" i="5"/>
  <c r="BD29" i="5" s="1"/>
  <c r="AD29" i="5"/>
  <c r="AS59" i="5"/>
  <c r="W59" i="5"/>
  <c r="AB59" i="5" s="1"/>
  <c r="AR58" i="5"/>
  <c r="AL49" i="5"/>
  <c r="U40" i="5"/>
  <c r="Y40" i="5"/>
  <c r="AC40" i="5" s="1"/>
  <c r="AG36" i="5"/>
  <c r="AJ36" i="5"/>
  <c r="AG34" i="5"/>
  <c r="AS23" i="5"/>
  <c r="AR23" i="5"/>
  <c r="BM51" i="5"/>
  <c r="AL51" i="5" s="1"/>
  <c r="BM47" i="5"/>
  <c r="AL47" i="5" s="1"/>
  <c r="AE44" i="5"/>
  <c r="AU44" i="5"/>
  <c r="BE44" i="5" s="1"/>
  <c r="AT39" i="5"/>
  <c r="BD39" i="5" s="1"/>
  <c r="AD39" i="5"/>
  <c r="AE37" i="5"/>
  <c r="AU37" i="5"/>
  <c r="BE37" i="5" s="1"/>
  <c r="AT35" i="5"/>
  <c r="BD35" i="5" s="1"/>
  <c r="AD35" i="5"/>
  <c r="T27" i="5"/>
  <c r="W27" i="5"/>
  <c r="AB27" i="5" s="1"/>
  <c r="AE22" i="5"/>
  <c r="AU22" i="5"/>
  <c r="BE22" i="5" s="1"/>
  <c r="U44" i="5"/>
  <c r="AD28" i="5"/>
  <c r="AT28" i="5"/>
  <c r="BD28" i="5" s="1"/>
  <c r="AR24" i="5"/>
  <c r="AS24" i="5"/>
  <c r="AS15" i="5"/>
  <c r="AR15" i="5"/>
  <c r="AU14" i="5"/>
  <c r="BE14" i="5" s="1"/>
  <c r="AS46" i="5"/>
  <c r="Y46" i="5"/>
  <c r="AC46" i="5" s="1"/>
  <c r="BM42" i="5"/>
  <c r="AL42" i="5" s="1"/>
  <c r="AT32" i="5"/>
  <c r="BD32" i="5" s="1"/>
  <c r="AD32" i="5"/>
  <c r="AD26" i="5"/>
  <c r="AT26" i="5"/>
  <c r="BD26" i="5" s="1"/>
  <c r="AS17" i="5"/>
  <c r="AR17" i="5"/>
  <c r="AE16" i="5"/>
  <c r="AU16" i="5"/>
  <c r="BE16" i="5" s="1"/>
  <c r="W43" i="5"/>
  <c r="AB43" i="5" s="1"/>
  <c r="AJ34" i="5"/>
  <c r="T33" i="5"/>
  <c r="W33" i="5"/>
  <c r="AB33" i="5" s="1"/>
  <c r="AG20" i="5"/>
  <c r="AU17" i="5"/>
  <c r="BE17" i="5" s="1"/>
  <c r="AD14" i="5"/>
  <c r="AT14" i="5"/>
  <c r="BD14" i="5" s="1"/>
  <c r="AT9" i="5"/>
  <c r="BD9" i="5" s="1"/>
  <c r="AD9" i="5"/>
  <c r="AD36" i="5"/>
  <c r="BL30" i="5"/>
  <c r="BM30" i="5"/>
  <c r="U25" i="5"/>
  <c r="Y25" i="5"/>
  <c r="AC25" i="5" s="1"/>
  <c r="AH19" i="5"/>
  <c r="U18" i="5"/>
  <c r="Y18" i="5"/>
  <c r="AC18" i="5" s="1"/>
  <c r="W17" i="5"/>
  <c r="AB17" i="5" s="1"/>
  <c r="T17" i="5"/>
  <c r="AJ10" i="5"/>
  <c r="BL4" i="5"/>
  <c r="BM4" i="5"/>
  <c r="AD3" i="5"/>
  <c r="BD3" i="5"/>
  <c r="AL32" i="5"/>
  <c r="AD25" i="5"/>
  <c r="U24" i="5"/>
  <c r="Y24" i="5"/>
  <c r="AC24" i="5" s="1"/>
  <c r="AE23" i="5"/>
  <c r="AU23" i="5"/>
  <c r="BE23" i="5" s="1"/>
  <c r="AD22" i="5"/>
  <c r="AT22" i="5"/>
  <c r="BD22" i="5" s="1"/>
  <c r="AR20" i="5"/>
  <c r="AJ20" i="5" s="1"/>
  <c r="AS20" i="5"/>
  <c r="AG14" i="5"/>
  <c r="AJ14" i="5"/>
  <c r="U13" i="5"/>
  <c r="Y13" i="5"/>
  <c r="AC13" i="5" s="1"/>
  <c r="Y35" i="5"/>
  <c r="AC35" i="5" s="1"/>
  <c r="U35" i="5"/>
  <c r="AR29" i="5"/>
  <c r="AJ29" i="5" s="1"/>
  <c r="AS29" i="5"/>
  <c r="AE28" i="5"/>
  <c r="Y27" i="5"/>
  <c r="AC27" i="5" s="1"/>
  <c r="U27" i="5"/>
  <c r="AE26" i="5"/>
  <c r="AD23" i="5"/>
  <c r="AR21" i="5"/>
  <c r="AS21" i="5"/>
  <c r="AT21" i="5"/>
  <c r="BD21" i="5" s="1"/>
  <c r="AD13" i="5"/>
  <c r="AT13" i="5"/>
  <c r="BD13" i="5" s="1"/>
  <c r="AG12" i="5"/>
  <c r="AJ12" i="5"/>
  <c r="AD11" i="5"/>
  <c r="AT11" i="5"/>
  <c r="BD11" i="5" s="1"/>
  <c r="BE10" i="5"/>
  <c r="BL18" i="5"/>
  <c r="BM18" i="5"/>
  <c r="AT12" i="5"/>
  <c r="BD12" i="5" s="1"/>
  <c r="AD12" i="5"/>
  <c r="AR9" i="5"/>
  <c r="AS9" i="5"/>
  <c r="AE3" i="5"/>
  <c r="AU3" i="5"/>
  <c r="BE3" i="5" s="1"/>
  <c r="Y31" i="5"/>
  <c r="AC31" i="5" s="1"/>
  <c r="AU29" i="5"/>
  <c r="BE29" i="5" s="1"/>
  <c r="W24" i="5"/>
  <c r="AB24" i="5" s="1"/>
  <c r="Y21" i="5"/>
  <c r="AC21" i="5" s="1"/>
  <c r="BM20" i="5"/>
  <c r="AL20" i="5" s="1"/>
  <c r="AT18" i="5"/>
  <c r="BD18" i="5" s="1"/>
  <c r="AD18" i="5"/>
  <c r="U17" i="5"/>
  <c r="AE17" i="5" s="1"/>
  <c r="BM14" i="5"/>
  <c r="AL14" i="5" s="1"/>
  <c r="BB4" i="5"/>
  <c r="AU4" i="5" s="1"/>
  <c r="BE4" i="5" s="1"/>
  <c r="U2" i="5"/>
  <c r="Y2" i="5"/>
  <c r="AC2" i="5" s="1"/>
  <c r="AT10" i="5"/>
  <c r="BD10" i="5" s="1"/>
  <c r="AD10" i="5"/>
  <c r="AE9" i="5"/>
  <c r="AU9" i="5"/>
  <c r="BE9" i="5" s="1"/>
  <c r="AE6" i="5"/>
  <c r="BM33" i="5"/>
  <c r="AL33" i="5" s="1"/>
  <c r="BM25" i="5"/>
  <c r="AL25" i="5" s="1"/>
  <c r="T25" i="5"/>
  <c r="BA17" i="5"/>
  <c r="BA14" i="5"/>
  <c r="BB12" i="5"/>
  <c r="AU12" i="5" s="1"/>
  <c r="BE12" i="5" s="1"/>
  <c r="BA6" i="5"/>
  <c r="U5" i="5"/>
  <c r="Y5" i="5"/>
  <c r="AC5" i="5" s="1"/>
  <c r="AS32" i="5"/>
  <c r="BM28" i="5"/>
  <c r="AL28" i="5" s="1"/>
  <c r="AL16" i="5"/>
  <c r="Y15" i="5"/>
  <c r="AC15" i="5" s="1"/>
  <c r="U15" i="5"/>
  <c r="BM12" i="5"/>
  <c r="AL12" i="5" s="1"/>
  <c r="T9" i="5"/>
  <c r="AR7" i="5"/>
  <c r="Y7" i="5"/>
  <c r="AC7" i="5" s="1"/>
  <c r="U7" i="5"/>
  <c r="AU6" i="5"/>
  <c r="BE6" i="5" s="1"/>
  <c r="BL2" i="5"/>
  <c r="BM2" i="5"/>
  <c r="AL24" i="5"/>
  <c r="T21" i="5"/>
  <c r="AD21" i="5" s="1"/>
  <c r="T15" i="5"/>
  <c r="W15" i="5"/>
  <c r="AB15" i="5" s="1"/>
  <c r="BL10" i="5"/>
  <c r="BM10" i="5"/>
  <c r="T7" i="5"/>
  <c r="W7" i="5"/>
  <c r="AB7" i="5" s="1"/>
  <c r="AD6" i="5"/>
  <c r="AT6" i="5"/>
  <c r="BD6" i="5" s="1"/>
  <c r="AT4" i="5"/>
  <c r="BD4" i="5" s="1"/>
  <c r="AD4" i="5"/>
  <c r="BB2" i="5"/>
  <c r="U9" i="5"/>
  <c r="Y19" i="5"/>
  <c r="AC19" i="5" s="1"/>
  <c r="BM15" i="5"/>
  <c r="AL15" i="5" s="1"/>
  <c r="AS11" i="5"/>
  <c r="Y11" i="5"/>
  <c r="AC11" i="5" s="1"/>
  <c r="BM7" i="5"/>
  <c r="AL7" i="5" s="1"/>
  <c r="AS3" i="5"/>
  <c r="W16" i="5"/>
  <c r="AB16" i="5" s="1"/>
  <c r="W8" i="5"/>
  <c r="AB8" i="5" s="1"/>
  <c r="AD2" i="5"/>
  <c r="AE81" i="4"/>
  <c r="AW81" i="4"/>
  <c r="AS81" i="4"/>
  <c r="AV81" i="4" s="1"/>
  <c r="BC81" i="4" s="1"/>
  <c r="AX81" i="4"/>
  <c r="AH75" i="4"/>
  <c r="AQ75" i="4"/>
  <c r="AE73" i="4"/>
  <c r="AW73" i="4"/>
  <c r="AX73" i="4"/>
  <c r="AS73" i="4"/>
  <c r="AE72" i="4"/>
  <c r="AW72" i="4"/>
  <c r="AX72" i="4"/>
  <c r="AS72" i="4"/>
  <c r="AV72" i="4" s="1"/>
  <c r="BC72" i="4" s="1"/>
  <c r="AG87" i="4"/>
  <c r="AH87" i="4"/>
  <c r="AF79" i="4"/>
  <c r="AG75" i="4"/>
  <c r="AP75" i="4"/>
  <c r="AE68" i="4"/>
  <c r="AW68" i="4"/>
  <c r="AX68" i="4"/>
  <c r="AH81" i="4"/>
  <c r="AQ81" i="4"/>
  <c r="AQ77" i="4"/>
  <c r="AQ76" i="4"/>
  <c r="AF74" i="4"/>
  <c r="AG85" i="4"/>
  <c r="AH85" i="4"/>
  <c r="AS79" i="4"/>
  <c r="AE79" i="4"/>
  <c r="AW79" i="4"/>
  <c r="AX79" i="4"/>
  <c r="AS74" i="4"/>
  <c r="AX74" i="4"/>
  <c r="AE74" i="4"/>
  <c r="AW74" i="4"/>
  <c r="AQ70" i="4"/>
  <c r="AQ78" i="4"/>
  <c r="AS77" i="4"/>
  <c r="AV77" i="4" s="1"/>
  <c r="BC77" i="4" s="1"/>
  <c r="AH73" i="4"/>
  <c r="AQ73" i="4"/>
  <c r="AQ72" i="4"/>
  <c r="AH72" i="4"/>
  <c r="AX71" i="4"/>
  <c r="AE71" i="4"/>
  <c r="AQ61" i="4"/>
  <c r="AI83" i="4"/>
  <c r="AU80" i="4"/>
  <c r="U80" i="4"/>
  <c r="AF80" i="4" s="1"/>
  <c r="AQ62" i="4"/>
  <c r="AQ57" i="4"/>
  <c r="AE56" i="4"/>
  <c r="AW56" i="4"/>
  <c r="AX56" i="4"/>
  <c r="AS56" i="4"/>
  <c r="AV56" i="4" s="1"/>
  <c r="BC56" i="4" s="1"/>
  <c r="AK47" i="4"/>
  <c r="AX55" i="4"/>
  <c r="AE55" i="4"/>
  <c r="AS55" i="4"/>
  <c r="AW55" i="4"/>
  <c r="AT80" i="4"/>
  <c r="T80" i="4"/>
  <c r="AW80" i="4" s="1"/>
  <c r="AR78" i="4"/>
  <c r="AU77" i="4"/>
  <c r="AX76" i="4"/>
  <c r="AS75" i="4"/>
  <c r="AV75" i="4" s="1"/>
  <c r="BC75" i="4" s="1"/>
  <c r="AR71" i="4"/>
  <c r="AS71" i="4" s="1"/>
  <c r="AV71" i="4" s="1"/>
  <c r="BC71" i="4" s="1"/>
  <c r="U71" i="4"/>
  <c r="AF71" i="4" s="1"/>
  <c r="AE58" i="4"/>
  <c r="AS58" i="4"/>
  <c r="AV58" i="4" s="1"/>
  <c r="BC58" i="4" s="1"/>
  <c r="AS67" i="4"/>
  <c r="AT77" i="4"/>
  <c r="T77" i="4"/>
  <c r="AE77" i="4" s="1"/>
  <c r="AW76" i="4"/>
  <c r="U74" i="4"/>
  <c r="T71" i="4"/>
  <c r="AW71" i="4" s="1"/>
  <c r="AK70" i="4"/>
  <c r="AK66" i="4"/>
  <c r="AX43" i="4"/>
  <c r="AS49" i="4"/>
  <c r="AV49" i="4" s="1"/>
  <c r="BC49" i="4" s="1"/>
  <c r="AR80" i="4"/>
  <c r="AS80" i="4" s="1"/>
  <c r="AV80" i="4" s="1"/>
  <c r="BC80" i="4" s="1"/>
  <c r="AU79" i="4"/>
  <c r="AE76" i="4"/>
  <c r="AT74" i="4"/>
  <c r="AS70" i="4"/>
  <c r="AV70" i="4" s="1"/>
  <c r="BC70" i="4" s="1"/>
  <c r="AR70" i="4"/>
  <c r="T70" i="4"/>
  <c r="AE70" i="4" s="1"/>
  <c r="AT70" i="4"/>
  <c r="AF68" i="4"/>
  <c r="AS62" i="4"/>
  <c r="AV62" i="4" s="1"/>
  <c r="AF60" i="4"/>
  <c r="AK56" i="4"/>
  <c r="AF55" i="4"/>
  <c r="AF54" i="4"/>
  <c r="AE40" i="4"/>
  <c r="AE60" i="4"/>
  <c r="AW60" i="4"/>
  <c r="AX60" i="4"/>
  <c r="AH86" i="4"/>
  <c r="AT79" i="4"/>
  <c r="W78" i="4"/>
  <c r="AB78" i="4" s="1"/>
  <c r="AX75" i="4"/>
  <c r="AQ66" i="4"/>
  <c r="AE63" i="4"/>
  <c r="AS63" i="4"/>
  <c r="AV63" i="4" s="1"/>
  <c r="BC63" i="4" s="1"/>
  <c r="AQ50" i="4"/>
  <c r="U48" i="4"/>
  <c r="Y48" i="4"/>
  <c r="AC48" i="4" s="1"/>
  <c r="AY45" i="4"/>
  <c r="AW75" i="4"/>
  <c r="AQ65" i="4"/>
  <c r="Y52" i="4"/>
  <c r="AC52" i="4" s="1"/>
  <c r="U52" i="4"/>
  <c r="AS64" i="4"/>
  <c r="AV64" i="4" s="1"/>
  <c r="BC64" i="4" s="1"/>
  <c r="AE64" i="4"/>
  <c r="AH64" i="4" s="1"/>
  <c r="AW64" i="4"/>
  <c r="AX64" i="4"/>
  <c r="AQ26" i="4"/>
  <c r="AQ45" i="4"/>
  <c r="AQ14" i="4"/>
  <c r="AQ40" i="4"/>
  <c r="AQ53" i="4"/>
  <c r="AN53" i="4" s="1"/>
  <c r="AT73" i="4"/>
  <c r="AU71" i="4"/>
  <c r="Y67" i="4"/>
  <c r="AC67" i="4" s="1"/>
  <c r="AF67" i="4" s="1"/>
  <c r="U67" i="4"/>
  <c r="AE66" i="4"/>
  <c r="AW66" i="4"/>
  <c r="AX66" i="4"/>
  <c r="W65" i="4"/>
  <c r="AB65" i="4" s="1"/>
  <c r="AR65" i="4"/>
  <c r="T65" i="4"/>
  <c r="AT65" i="4"/>
  <c r="AU65" i="4"/>
  <c r="AE57" i="4"/>
  <c r="AW57" i="4"/>
  <c r="AX57" i="4"/>
  <c r="AS57" i="4"/>
  <c r="AV57" i="4" s="1"/>
  <c r="BC57" i="4" s="1"/>
  <c r="AQ56" i="4"/>
  <c r="AH56" i="4"/>
  <c r="U51" i="4"/>
  <c r="Y51" i="4"/>
  <c r="AC51" i="4" s="1"/>
  <c r="AR46" i="4"/>
  <c r="T46" i="4"/>
  <c r="AT46" i="4"/>
  <c r="W46" i="4"/>
  <c r="AB46" i="4" s="1"/>
  <c r="AU46" i="4"/>
  <c r="AX38" i="4"/>
  <c r="AS38" i="4"/>
  <c r="AV38" i="4" s="1"/>
  <c r="BC38" i="4" s="1"/>
  <c r="AE38" i="4"/>
  <c r="AW38" i="4"/>
  <c r="W52" i="4"/>
  <c r="AB52" i="4" s="1"/>
  <c r="AR52" i="4"/>
  <c r="AK51" i="4"/>
  <c r="AS48" i="4"/>
  <c r="AV48" i="4" s="1"/>
  <c r="BC48" i="4" s="1"/>
  <c r="AE48" i="4"/>
  <c r="AQ46" i="4"/>
  <c r="AS45" i="4"/>
  <c r="AV45" i="4" s="1"/>
  <c r="BC45" i="4" s="1"/>
  <c r="AR43" i="4"/>
  <c r="AS43" i="4" s="1"/>
  <c r="AV43" i="4" s="1"/>
  <c r="BC43" i="4" s="1"/>
  <c r="AT43" i="4"/>
  <c r="AU43" i="4"/>
  <c r="T43" i="4"/>
  <c r="AE43" i="4" s="1"/>
  <c r="AR40" i="4"/>
  <c r="AS40" i="4" s="1"/>
  <c r="AV40" i="4" s="1"/>
  <c r="BC40" i="4" s="1"/>
  <c r="T40" i="4"/>
  <c r="AW40" i="4" s="1"/>
  <c r="AT40" i="4"/>
  <c r="AU40" i="4"/>
  <c r="AE31" i="4"/>
  <c r="AW31" i="4"/>
  <c r="AX31" i="4"/>
  <c r="AS31" i="4"/>
  <c r="AV31" i="4" s="1"/>
  <c r="BC31" i="4" s="1"/>
  <c r="AU62" i="4"/>
  <c r="AR54" i="4"/>
  <c r="AS54" i="4" s="1"/>
  <c r="AV54" i="4" s="1"/>
  <c r="BC54" i="4" s="1"/>
  <c r="AR51" i="4"/>
  <c r="AS51" i="4" s="1"/>
  <c r="AV51" i="4" s="1"/>
  <c r="BC51" i="4" s="1"/>
  <c r="T51" i="4"/>
  <c r="AW51" i="4" s="1"/>
  <c r="AT51" i="4"/>
  <c r="AU51" i="4"/>
  <c r="AQ49" i="4"/>
  <c r="AH47" i="4"/>
  <c r="AQ47" i="4"/>
  <c r="AS32" i="4"/>
  <c r="AV32" i="4" s="1"/>
  <c r="BC32" i="4" s="1"/>
  <c r="AE32" i="4"/>
  <c r="AQ5" i="4"/>
  <c r="W69" i="4"/>
  <c r="AB69" i="4" s="1"/>
  <c r="AR68" i="4"/>
  <c r="AS68" i="4" s="1"/>
  <c r="AV68" i="4" s="1"/>
  <c r="BC68" i="4" s="1"/>
  <c r="AU67" i="4"/>
  <c r="Y63" i="4"/>
  <c r="AC63" i="4" s="1"/>
  <c r="AF63" i="4" s="1"/>
  <c r="AT62" i="4"/>
  <c r="T62" i="4"/>
  <c r="AW62" i="4" s="1"/>
  <c r="W61" i="4"/>
  <c r="AB61" i="4" s="1"/>
  <c r="AR60" i="4"/>
  <c r="AS60" i="4" s="1"/>
  <c r="AV60" i="4" s="1"/>
  <c r="BC60" i="4" s="1"/>
  <c r="AK59" i="4"/>
  <c r="Y59" i="4"/>
  <c r="AC59" i="4" s="1"/>
  <c r="AF59" i="4" s="1"/>
  <c r="Y58" i="4"/>
  <c r="AC58" i="4" s="1"/>
  <c r="AF58" i="4" s="1"/>
  <c r="T52" i="4"/>
  <c r="AE47" i="4"/>
  <c r="AW47" i="4"/>
  <c r="AX47" i="4"/>
  <c r="U42" i="4"/>
  <c r="Y42" i="4"/>
  <c r="AC42" i="4" s="1"/>
  <c r="AF42" i="4" s="1"/>
  <c r="AE36" i="4"/>
  <c r="AW36" i="4"/>
  <c r="AX36" i="4"/>
  <c r="AS36" i="4"/>
  <c r="AV36" i="4" s="1"/>
  <c r="BC36" i="4" s="1"/>
  <c r="AT67" i="4"/>
  <c r="T67" i="4"/>
  <c r="AX67" i="4" s="1"/>
  <c r="T54" i="4"/>
  <c r="AW54" i="4" s="1"/>
  <c r="AT54" i="4"/>
  <c r="T49" i="4"/>
  <c r="AW49" i="4" s="1"/>
  <c r="W44" i="4"/>
  <c r="AB44" i="4" s="1"/>
  <c r="AT44" i="4"/>
  <c r="AU44" i="4"/>
  <c r="T44" i="4"/>
  <c r="AQ30" i="4"/>
  <c r="AE28" i="4"/>
  <c r="AW28" i="4"/>
  <c r="AX28" i="4"/>
  <c r="AS28" i="4"/>
  <c r="AV28" i="4" s="1"/>
  <c r="BC28" i="4" s="1"/>
  <c r="AU69" i="4"/>
  <c r="AU61" i="4"/>
  <c r="AT55" i="4"/>
  <c r="AK44" i="4"/>
  <c r="W41" i="4"/>
  <c r="AB41" i="4" s="1"/>
  <c r="AR41" i="4"/>
  <c r="AQ32" i="4"/>
  <c r="AT61" i="4"/>
  <c r="T59" i="4"/>
  <c r="AT59" i="4"/>
  <c r="AV59" i="4" s="1"/>
  <c r="BC59" i="4" s="1"/>
  <c r="AK53" i="4"/>
  <c r="Y43" i="4"/>
  <c r="AC43" i="4" s="1"/>
  <c r="AF43" i="4" s="1"/>
  <c r="AE39" i="4"/>
  <c r="AW39" i="4"/>
  <c r="AX39" i="4"/>
  <c r="AK36" i="4"/>
  <c r="AP34" i="4"/>
  <c r="AE45" i="4"/>
  <c r="AW45" i="4"/>
  <c r="BA45" i="4" s="1"/>
  <c r="AR44" i="4"/>
  <c r="AQ41" i="4"/>
  <c r="AH38" i="4"/>
  <c r="AQ38" i="4"/>
  <c r="AF36" i="4"/>
  <c r="AF31" i="4"/>
  <c r="AQ25" i="4"/>
  <c r="Y23" i="4"/>
  <c r="AC23" i="4" s="1"/>
  <c r="U23" i="4"/>
  <c r="AK21" i="4"/>
  <c r="U10" i="4"/>
  <c r="Y10" i="4"/>
  <c r="AC10" i="4" s="1"/>
  <c r="AF10" i="4" s="1"/>
  <c r="AX30" i="4"/>
  <c r="AS30" i="4"/>
  <c r="AV30" i="4" s="1"/>
  <c r="BC30" i="4" s="1"/>
  <c r="AE30" i="4"/>
  <c r="AH30" i="4" s="1"/>
  <c r="U29" i="4"/>
  <c r="Y29" i="4"/>
  <c r="AC29" i="4" s="1"/>
  <c r="AW29" i="4" s="1"/>
  <c r="AF28" i="4"/>
  <c r="Y35" i="4"/>
  <c r="AC35" i="4" s="1"/>
  <c r="U35" i="4"/>
  <c r="AS29" i="4"/>
  <c r="AE29" i="4"/>
  <c r="AT27" i="4"/>
  <c r="T27" i="4"/>
  <c r="AU27" i="4"/>
  <c r="W27" i="4"/>
  <c r="AB27" i="4" s="1"/>
  <c r="AR27" i="4"/>
  <c r="AE17" i="4"/>
  <c r="AR15" i="4"/>
  <c r="AT15" i="4"/>
  <c r="T15" i="4"/>
  <c r="AU15" i="4"/>
  <c r="W15" i="4"/>
  <c r="AB15" i="4" s="1"/>
  <c r="AQ6" i="4"/>
  <c r="AQ3" i="4"/>
  <c r="AW53" i="4"/>
  <c r="BA53" i="4" s="1"/>
  <c r="U37" i="4"/>
  <c r="Y37" i="4"/>
  <c r="AC37" i="4" s="1"/>
  <c r="AR35" i="4"/>
  <c r="T35" i="4"/>
  <c r="AT35" i="4"/>
  <c r="W35" i="4"/>
  <c r="AB35" i="4" s="1"/>
  <c r="AF34" i="4"/>
  <c r="AW34" i="4"/>
  <c r="AX34" i="4"/>
  <c r="AE21" i="4"/>
  <c r="W50" i="4"/>
  <c r="AB50" i="4" s="1"/>
  <c r="AF39" i="4"/>
  <c r="AS37" i="4"/>
  <c r="AE37" i="4"/>
  <c r="AQ20" i="4"/>
  <c r="AE13" i="4"/>
  <c r="AQ7" i="4"/>
  <c r="AQ33" i="4"/>
  <c r="AW30" i="4"/>
  <c r="W20" i="4"/>
  <c r="AB20" i="4" s="1"/>
  <c r="AR20" i="4"/>
  <c r="AT20" i="4"/>
  <c r="AU20" i="4"/>
  <c r="T20" i="4"/>
  <c r="U18" i="4"/>
  <c r="Y18" i="4"/>
  <c r="AC18" i="4" s="1"/>
  <c r="AF18" i="4" s="1"/>
  <c r="AQ16" i="4"/>
  <c r="AQ9" i="4"/>
  <c r="Y8" i="4"/>
  <c r="AC8" i="4" s="1"/>
  <c r="U8" i="4"/>
  <c r="W33" i="4"/>
  <c r="AB33" i="4" s="1"/>
  <c r="AR33" i="4"/>
  <c r="AU33" i="4"/>
  <c r="W24" i="4"/>
  <c r="AB24" i="4" s="1"/>
  <c r="AR24" i="4"/>
  <c r="AT24" i="4"/>
  <c r="AU24" i="4"/>
  <c r="AQ12" i="4"/>
  <c r="AE11" i="4"/>
  <c r="AE26" i="4"/>
  <c r="AW26" i="4"/>
  <c r="AX26" i="4"/>
  <c r="AE18" i="4"/>
  <c r="AR11" i="4"/>
  <c r="AS11" i="4" s="1"/>
  <c r="AV11" i="4" s="1"/>
  <c r="BC11" i="4" s="1"/>
  <c r="AT11" i="4"/>
  <c r="T11" i="4"/>
  <c r="AU11" i="4"/>
  <c r="AK7" i="4"/>
  <c r="W6" i="4"/>
  <c r="AB6" i="4" s="1"/>
  <c r="AR6" i="4"/>
  <c r="AR83" i="4" s="1"/>
  <c r="AU6" i="4"/>
  <c r="AV9" i="4"/>
  <c r="BC9" i="4" s="1"/>
  <c r="AE9" i="4"/>
  <c r="AW9" i="4"/>
  <c r="AX9" i="4"/>
  <c r="W42" i="4"/>
  <c r="AB42" i="4" s="1"/>
  <c r="AU32" i="4"/>
  <c r="W25" i="4"/>
  <c r="AB25" i="4" s="1"/>
  <c r="AR25" i="4"/>
  <c r="AF24" i="4"/>
  <c r="AR23" i="4"/>
  <c r="AS23" i="4" s="1"/>
  <c r="AV23" i="4" s="1"/>
  <c r="BC23" i="4" s="1"/>
  <c r="AT23" i="4"/>
  <c r="T23" i="4"/>
  <c r="AE23" i="4" s="1"/>
  <c r="AU23" i="4"/>
  <c r="Y19" i="4"/>
  <c r="AC19" i="4" s="1"/>
  <c r="U19" i="4"/>
  <c r="W16" i="4"/>
  <c r="AB16" i="4" s="1"/>
  <c r="AR16" i="4"/>
  <c r="AT16" i="4"/>
  <c r="AR8" i="4"/>
  <c r="AS8" i="4" s="1"/>
  <c r="AV8" i="4" s="1"/>
  <c r="BC8" i="4" s="1"/>
  <c r="T8" i="4"/>
  <c r="AX8" i="4" s="1"/>
  <c r="AT8" i="4"/>
  <c r="AU8" i="4"/>
  <c r="AS5" i="4"/>
  <c r="AV5" i="4" s="1"/>
  <c r="BC5" i="4" s="1"/>
  <c r="AE5" i="4"/>
  <c r="AX5" i="4"/>
  <c r="AX3" i="4"/>
  <c r="AS3" i="4"/>
  <c r="AV3" i="4" s="1"/>
  <c r="BC3" i="4" s="1"/>
  <c r="AE3" i="4"/>
  <c r="U2" i="4"/>
  <c r="Y2" i="4"/>
  <c r="AC2" i="4" s="1"/>
  <c r="AF2" i="4" s="1"/>
  <c r="AU37" i="4"/>
  <c r="AT32" i="4"/>
  <c r="T32" i="4"/>
  <c r="AX32" i="4" s="1"/>
  <c r="AU29" i="4"/>
  <c r="T25" i="4"/>
  <c r="AX23" i="4"/>
  <c r="Y22" i="4"/>
  <c r="AC22" i="4" s="1"/>
  <c r="AF22" i="4" s="1"/>
  <c r="AS18" i="4"/>
  <c r="AV18" i="4" s="1"/>
  <c r="BC18" i="4" s="1"/>
  <c r="W12" i="4"/>
  <c r="AB12" i="4" s="1"/>
  <c r="AR12" i="4"/>
  <c r="AT12" i="4"/>
  <c r="AT6" i="4"/>
  <c r="AT37" i="4"/>
  <c r="AT29" i="4"/>
  <c r="Y27" i="4"/>
  <c r="AC27" i="4" s="1"/>
  <c r="AF27" i="4" s="1"/>
  <c r="U27" i="4"/>
  <c r="AU25" i="4"/>
  <c r="AR19" i="4"/>
  <c r="AS19" i="4" s="1"/>
  <c r="AV19" i="4" s="1"/>
  <c r="BC19" i="4" s="1"/>
  <c r="AT19" i="4"/>
  <c r="T19" i="4"/>
  <c r="AW19" i="4" s="1"/>
  <c r="AU19" i="4"/>
  <c r="T16" i="4"/>
  <c r="Y15" i="4"/>
  <c r="AC15" i="4" s="1"/>
  <c r="AF15" i="4" s="1"/>
  <c r="U15" i="4"/>
  <c r="AE7" i="4"/>
  <c r="AW7" i="4"/>
  <c r="AX7" i="4"/>
  <c r="AW5" i="4"/>
  <c r="AT25" i="4"/>
  <c r="AE22" i="4"/>
  <c r="AW22" i="4"/>
  <c r="AX22" i="4"/>
  <c r="Y11" i="4"/>
  <c r="AC11" i="4" s="1"/>
  <c r="U11" i="4"/>
  <c r="AE8" i="4"/>
  <c r="AR21" i="4"/>
  <c r="AS21" i="4" s="1"/>
  <c r="AV21" i="4" s="1"/>
  <c r="BC21" i="4" s="1"/>
  <c r="Y21" i="4"/>
  <c r="AC21" i="4" s="1"/>
  <c r="AF21" i="4" s="1"/>
  <c r="AR17" i="4"/>
  <c r="AS17" i="4" s="1"/>
  <c r="AV17" i="4" s="1"/>
  <c r="BC17" i="4" s="1"/>
  <c r="Y17" i="4"/>
  <c r="AC17" i="4" s="1"/>
  <c r="AF17" i="4" s="1"/>
  <c r="W14" i="4"/>
  <c r="AB14" i="4" s="1"/>
  <c r="AR13" i="4"/>
  <c r="AS13" i="4" s="1"/>
  <c r="AV13" i="4" s="1"/>
  <c r="BC13" i="4" s="1"/>
  <c r="Y13" i="4"/>
  <c r="AC13" i="4" s="1"/>
  <c r="AF13" i="4" s="1"/>
  <c r="W10" i="4"/>
  <c r="AB10" i="4" s="1"/>
  <c r="Y4" i="4"/>
  <c r="AC4" i="4" s="1"/>
  <c r="AF4" i="4" s="1"/>
  <c r="AT3" i="4"/>
  <c r="T3" i="4"/>
  <c r="AW3" i="4" s="1"/>
  <c r="W2" i="4"/>
  <c r="AB2" i="4" s="1"/>
  <c r="W4" i="4"/>
  <c r="AB4" i="4" s="1"/>
  <c r="AL57" i="5" l="1"/>
  <c r="AL4" i="5"/>
  <c r="AL39" i="5"/>
  <c r="AL58" i="5"/>
  <c r="AL18" i="5"/>
  <c r="AL53" i="5"/>
  <c r="AL10" i="5"/>
  <c r="AH67" i="5"/>
  <c r="AH21" i="5"/>
  <c r="BH68" i="5"/>
  <c r="BI68" i="5"/>
  <c r="AF81" i="5"/>
  <c r="AH81" i="5"/>
  <c r="AO81" i="5"/>
  <c r="AG81" i="5"/>
  <c r="AJ17" i="5"/>
  <c r="AJ70" i="5"/>
  <c r="AF29" i="5"/>
  <c r="AH29" i="5"/>
  <c r="AO29" i="5"/>
  <c r="AH45" i="5"/>
  <c r="AO45" i="5"/>
  <c r="AF45" i="5"/>
  <c r="AG45" i="5"/>
  <c r="AU50" i="5"/>
  <c r="BE50" i="5" s="1"/>
  <c r="AE50" i="5"/>
  <c r="AF37" i="5"/>
  <c r="AH37" i="5"/>
  <c r="AJ52" i="5"/>
  <c r="AG52" i="5"/>
  <c r="AU77" i="5"/>
  <c r="BE77" i="5" s="1"/>
  <c r="AE77" i="5"/>
  <c r="AH54" i="5"/>
  <c r="BI67" i="5"/>
  <c r="BH67" i="5"/>
  <c r="AD8" i="5"/>
  <c r="AT8" i="5"/>
  <c r="BD8" i="5" s="1"/>
  <c r="AL2" i="5"/>
  <c r="AU15" i="5"/>
  <c r="BE15" i="5" s="1"/>
  <c r="AE15" i="5"/>
  <c r="AH10" i="5"/>
  <c r="AO10" i="5"/>
  <c r="AF10" i="5"/>
  <c r="AE31" i="5"/>
  <c r="AU31" i="5"/>
  <c r="BE31" i="5" s="1"/>
  <c r="AO23" i="5"/>
  <c r="AH23" i="5"/>
  <c r="AF23" i="5"/>
  <c r="AG10" i="5"/>
  <c r="AF26" i="5"/>
  <c r="AH26" i="5"/>
  <c r="AT27" i="5"/>
  <c r="BD27" i="5" s="1"/>
  <c r="AD27" i="5"/>
  <c r="AT50" i="5"/>
  <c r="BD50" i="5" s="1"/>
  <c r="AD50" i="5"/>
  <c r="AG39" i="5"/>
  <c r="AJ39" i="5"/>
  <c r="AH53" i="5"/>
  <c r="AF53" i="5"/>
  <c r="AJ65" i="5"/>
  <c r="AG65" i="5"/>
  <c r="AG58" i="5"/>
  <c r="AJ58" i="5"/>
  <c r="AD52" i="5"/>
  <c r="AT52" i="5"/>
  <c r="BD52" i="5" s="1"/>
  <c r="AT79" i="5"/>
  <c r="BD79" i="5" s="1"/>
  <c r="AD79" i="5"/>
  <c r="AL45" i="5"/>
  <c r="AJ80" i="5"/>
  <c r="AH73" i="5"/>
  <c r="AF73" i="5"/>
  <c r="AJ73" i="5"/>
  <c r="AG73" i="5"/>
  <c r="AF2" i="5"/>
  <c r="AK2" i="5" s="1"/>
  <c r="AH2" i="5"/>
  <c r="AH38" i="5"/>
  <c r="AF55" i="5"/>
  <c r="AO55" i="5"/>
  <c r="AH55" i="5"/>
  <c r="AF4" i="5"/>
  <c r="AH4" i="5"/>
  <c r="AO4" i="5"/>
  <c r="AT15" i="5"/>
  <c r="BD15" i="5" s="1"/>
  <c r="AD15" i="5"/>
  <c r="AH18" i="5"/>
  <c r="AG3" i="5"/>
  <c r="AJ3" i="5"/>
  <c r="AH13" i="5"/>
  <c r="AG26" i="5"/>
  <c r="AJ26" i="5"/>
  <c r="AU35" i="5"/>
  <c r="BE35" i="5" s="1"/>
  <c r="AE35" i="5"/>
  <c r="AF35" i="5" s="1"/>
  <c r="AF14" i="5"/>
  <c r="AH14" i="5"/>
  <c r="AO14" i="5"/>
  <c r="AH35" i="5"/>
  <c r="AJ51" i="5"/>
  <c r="AG4" i="5"/>
  <c r="AJ4" i="5"/>
  <c r="AG55" i="5"/>
  <c r="AE75" i="5"/>
  <c r="AU75" i="5"/>
  <c r="BE75" i="5" s="1"/>
  <c r="AT62" i="5"/>
  <c r="BD62" i="5" s="1"/>
  <c r="AD62" i="5"/>
  <c r="AF34" i="5"/>
  <c r="AH34" i="5"/>
  <c r="AO34" i="5"/>
  <c r="AE62" i="5"/>
  <c r="AU62" i="5"/>
  <c r="BE62" i="5" s="1"/>
  <c r="AH65" i="5"/>
  <c r="AO65" i="5"/>
  <c r="AF65" i="5"/>
  <c r="AF64" i="5"/>
  <c r="AH64" i="5"/>
  <c r="AU25" i="5"/>
  <c r="BE25" i="5" s="1"/>
  <c r="AE25" i="5"/>
  <c r="AF32" i="5"/>
  <c r="AH32" i="5"/>
  <c r="AU48" i="5"/>
  <c r="BE48" i="5" s="1"/>
  <c r="AE48" i="5"/>
  <c r="AG69" i="5"/>
  <c r="AJ69" i="5"/>
  <c r="AO69" i="5"/>
  <c r="AF69" i="5"/>
  <c r="AU7" i="5"/>
  <c r="BE7" i="5" s="1"/>
  <c r="AE7" i="5"/>
  <c r="AJ16" i="5"/>
  <c r="AF41" i="5"/>
  <c r="AH41" i="5"/>
  <c r="AO41" i="5"/>
  <c r="AT44" i="5"/>
  <c r="BD44" i="5" s="1"/>
  <c r="AD44" i="5"/>
  <c r="AO56" i="5"/>
  <c r="AG29" i="5"/>
  <c r="AG53" i="5"/>
  <c r="AJ53" i="5"/>
  <c r="AU38" i="5"/>
  <c r="BE38" i="5" s="1"/>
  <c r="AE38" i="5"/>
  <c r="AT63" i="5"/>
  <c r="BD63" i="5" s="1"/>
  <c r="AD63" i="5"/>
  <c r="AO74" i="5"/>
  <c r="AH74" i="5"/>
  <c r="AF74" i="5"/>
  <c r="AE19" i="5"/>
  <c r="AU19" i="5"/>
  <c r="BE19" i="5" s="1"/>
  <c r="AG9" i="5"/>
  <c r="AJ9" i="5"/>
  <c r="AE24" i="5"/>
  <c r="AU24" i="5"/>
  <c r="BE24" i="5" s="1"/>
  <c r="AG22" i="5"/>
  <c r="AJ22" i="5"/>
  <c r="AG44" i="5"/>
  <c r="AJ44" i="5"/>
  <c r="AH30" i="5"/>
  <c r="AO30" i="5"/>
  <c r="AF30" i="5"/>
  <c r="AH46" i="5"/>
  <c r="AF76" i="5"/>
  <c r="AH76" i="5"/>
  <c r="AO76" i="5"/>
  <c r="AE11" i="5"/>
  <c r="AU11" i="5"/>
  <c r="BE11" i="5" s="1"/>
  <c r="AU5" i="5"/>
  <c r="BE5" i="5" s="1"/>
  <c r="AE5" i="5"/>
  <c r="AU2" i="5"/>
  <c r="BE2" i="5" s="1"/>
  <c r="AE2" i="5"/>
  <c r="AU27" i="5"/>
  <c r="BE27" i="5" s="1"/>
  <c r="AE27" i="5"/>
  <c r="AU13" i="5"/>
  <c r="BE13" i="5" s="1"/>
  <c r="AE13" i="5"/>
  <c r="AF22" i="5"/>
  <c r="AO22" i="5"/>
  <c r="AH22" i="5"/>
  <c r="AF3" i="5"/>
  <c r="AH3" i="5"/>
  <c r="AT17" i="5"/>
  <c r="BD17" i="5" s="1"/>
  <c r="AD17" i="5"/>
  <c r="AL30" i="5"/>
  <c r="AE46" i="5"/>
  <c r="AU46" i="5"/>
  <c r="BE46" i="5" s="1"/>
  <c r="AF28" i="5"/>
  <c r="AH28" i="5"/>
  <c r="AO28" i="5"/>
  <c r="AL36" i="5"/>
  <c r="AF49" i="5"/>
  <c r="AH49" i="5"/>
  <c r="AF20" i="5"/>
  <c r="AO20" i="5"/>
  <c r="AH20" i="5"/>
  <c r="AT42" i="5"/>
  <c r="BD42" i="5" s="1"/>
  <c r="AD42" i="5"/>
  <c r="AF47" i="5"/>
  <c r="AH47" i="5"/>
  <c r="AO47" i="5"/>
  <c r="AO58" i="5"/>
  <c r="AF58" i="5"/>
  <c r="AH58" i="5"/>
  <c r="AG49" i="5"/>
  <c r="AJ49" i="5"/>
  <c r="AJ33" i="5"/>
  <c r="AU60" i="5"/>
  <c r="BE60" i="5" s="1"/>
  <c r="AE60" i="5"/>
  <c r="AD77" i="5"/>
  <c r="AT77" i="5"/>
  <c r="BD77" i="5" s="1"/>
  <c r="AF61" i="5"/>
  <c r="AH61" i="5"/>
  <c r="AG41" i="5"/>
  <c r="AH57" i="5"/>
  <c r="AF57" i="5"/>
  <c r="AG72" i="5"/>
  <c r="AJ72" i="5"/>
  <c r="AF9" i="5"/>
  <c r="AH9" i="5"/>
  <c r="AO9" i="5"/>
  <c r="AU42" i="5"/>
  <c r="BE42" i="5" s="1"/>
  <c r="AE42" i="5"/>
  <c r="AH25" i="5"/>
  <c r="AD43" i="5"/>
  <c r="AT43" i="5"/>
  <c r="BD43" i="5" s="1"/>
  <c r="AD80" i="5"/>
  <c r="AT80" i="5"/>
  <c r="BD80" i="5" s="1"/>
  <c r="AG79" i="5"/>
  <c r="AJ79" i="5"/>
  <c r="AF6" i="5"/>
  <c r="AH6" i="5"/>
  <c r="AO6" i="5"/>
  <c r="AG6" i="5"/>
  <c r="AJ6" i="5"/>
  <c r="AU21" i="5"/>
  <c r="BE21" i="5" s="1"/>
  <c r="AE21" i="5"/>
  <c r="AF12" i="5"/>
  <c r="AH12" i="5"/>
  <c r="AO12" i="5"/>
  <c r="AH11" i="5"/>
  <c r="AG28" i="5"/>
  <c r="AJ28" i="5"/>
  <c r="AE18" i="5"/>
  <c r="AF18" i="5" s="1"/>
  <c r="AU18" i="5"/>
  <c r="BE18" i="5" s="1"/>
  <c r="AG37" i="5"/>
  <c r="AJ37" i="5"/>
  <c r="AT59" i="5"/>
  <c r="BD59" i="5" s="1"/>
  <c r="AD59" i="5"/>
  <c r="AJ30" i="5"/>
  <c r="AG30" i="5"/>
  <c r="AG32" i="5"/>
  <c r="AJ32" i="5"/>
  <c r="AE71" i="5"/>
  <c r="AU71" i="5"/>
  <c r="BE71" i="5" s="1"/>
  <c r="AJ64" i="5"/>
  <c r="AG64" i="5"/>
  <c r="AG61" i="5"/>
  <c r="AJ61" i="5"/>
  <c r="AF66" i="5"/>
  <c r="AO66" i="5"/>
  <c r="AH66" i="5"/>
  <c r="AH71" i="5"/>
  <c r="AG76" i="5"/>
  <c r="AJ76" i="5"/>
  <c r="AJ78" i="5"/>
  <c r="AG78" i="5"/>
  <c r="AG74" i="5"/>
  <c r="AJ74" i="5"/>
  <c r="AD16" i="5"/>
  <c r="AG16" i="5" s="1"/>
  <c r="AT16" i="5"/>
  <c r="BD16" i="5" s="1"/>
  <c r="AU40" i="5"/>
  <c r="BE40" i="5" s="1"/>
  <c r="AE40" i="5"/>
  <c r="AT7" i="5"/>
  <c r="BD7" i="5" s="1"/>
  <c r="AD7" i="5"/>
  <c r="AD24" i="5"/>
  <c r="AT24" i="5"/>
  <c r="BD24" i="5" s="1"/>
  <c r="AG23" i="5"/>
  <c r="AJ23" i="5"/>
  <c r="AF36" i="5"/>
  <c r="AH36" i="5"/>
  <c r="AO36" i="5"/>
  <c r="AD33" i="5"/>
  <c r="AT33" i="5"/>
  <c r="BD33" i="5" s="1"/>
  <c r="AF39" i="5"/>
  <c r="AH39" i="5"/>
  <c r="AO39" i="5"/>
  <c r="AU54" i="5"/>
  <c r="BE54" i="5" s="1"/>
  <c r="AE54" i="5"/>
  <c r="AT51" i="5"/>
  <c r="BD51" i="5" s="1"/>
  <c r="AD51" i="5"/>
  <c r="AD72" i="5"/>
  <c r="AT72" i="5"/>
  <c r="BD72" i="5" s="1"/>
  <c r="AF48" i="5"/>
  <c r="AH48" i="5"/>
  <c r="AJ59" i="5"/>
  <c r="AT70" i="5"/>
  <c r="BD70" i="5" s="1"/>
  <c r="AD70" i="5"/>
  <c r="AG43" i="5"/>
  <c r="AJ43" i="5"/>
  <c r="AF78" i="5"/>
  <c r="AH78" i="5"/>
  <c r="AO78" i="5"/>
  <c r="AG57" i="5"/>
  <c r="AJ57" i="5"/>
  <c r="AY8" i="4"/>
  <c r="AY67" i="4"/>
  <c r="AY32" i="4"/>
  <c r="AH71" i="4"/>
  <c r="AQ71" i="4"/>
  <c r="AP70" i="4"/>
  <c r="AN70" i="4" s="1"/>
  <c r="AG70" i="4"/>
  <c r="AH70" i="4"/>
  <c r="AZ23" i="4"/>
  <c r="AP23" i="4"/>
  <c r="AP43" i="4"/>
  <c r="AG43" i="4"/>
  <c r="AG77" i="4"/>
  <c r="AP77" i="4"/>
  <c r="AN77" i="4" s="1"/>
  <c r="AH77" i="4"/>
  <c r="AQ80" i="4"/>
  <c r="AQ13" i="4"/>
  <c r="AH13" i="4"/>
  <c r="BA7" i="4"/>
  <c r="AY7" i="4"/>
  <c r="AW6" i="4"/>
  <c r="AX6" i="4"/>
  <c r="AS6" i="4"/>
  <c r="AV6" i="4" s="1"/>
  <c r="BC6" i="4" s="1"/>
  <c r="AE6" i="4"/>
  <c r="AP18" i="4"/>
  <c r="AG18" i="4"/>
  <c r="AV37" i="4"/>
  <c r="BC37" i="4" s="1"/>
  <c r="AW27" i="4"/>
  <c r="AX27" i="4"/>
  <c r="AE27" i="4"/>
  <c r="AH27" i="4" s="1"/>
  <c r="AS27" i="4"/>
  <c r="AV27" i="4" s="1"/>
  <c r="BC27" i="4" s="1"/>
  <c r="AF35" i="4"/>
  <c r="AG39" i="4"/>
  <c r="AP39" i="4"/>
  <c r="AX41" i="4"/>
  <c r="AW41" i="4"/>
  <c r="AS41" i="4"/>
  <c r="AV41" i="4" s="1"/>
  <c r="BC41" i="4" s="1"/>
  <c r="AE41" i="4"/>
  <c r="AH58" i="4"/>
  <c r="AQ58" i="4"/>
  <c r="AY57" i="4"/>
  <c r="BA57" i="4"/>
  <c r="AY66" i="4"/>
  <c r="BA66" i="4"/>
  <c r="AE78" i="4"/>
  <c r="AW78" i="4"/>
  <c r="AX78" i="4"/>
  <c r="AS78" i="4"/>
  <c r="AV78" i="4" s="1"/>
  <c r="BC78" i="4" s="1"/>
  <c r="AP40" i="4"/>
  <c r="AN40" i="4" s="1"/>
  <c r="AG40" i="4"/>
  <c r="AH40" i="4"/>
  <c r="AE62" i="4"/>
  <c r="AW58" i="4"/>
  <c r="AY71" i="4"/>
  <c r="BA71" i="4"/>
  <c r="AW77" i="4"/>
  <c r="AG74" i="4"/>
  <c r="AP74" i="4"/>
  <c r="AN74" i="4" s="1"/>
  <c r="AE80" i="4"/>
  <c r="AY72" i="4"/>
  <c r="BA72" i="4"/>
  <c r="AY23" i="4"/>
  <c r="AW33" i="4"/>
  <c r="AX33" i="4"/>
  <c r="AS33" i="4"/>
  <c r="AV33" i="4" s="1"/>
  <c r="BC33" i="4" s="1"/>
  <c r="AE33" i="4"/>
  <c r="AY36" i="4"/>
  <c r="BA36" i="4"/>
  <c r="AW52" i="4"/>
  <c r="AX52" i="4"/>
  <c r="AE52" i="4"/>
  <c r="AS52" i="4"/>
  <c r="AV52" i="4" s="1"/>
  <c r="BC52" i="4" s="1"/>
  <c r="AY75" i="4"/>
  <c r="AZ75" i="4" s="1"/>
  <c r="BA75" i="4"/>
  <c r="AG58" i="4"/>
  <c r="AP58" i="4"/>
  <c r="AN58" i="4" s="1"/>
  <c r="AF11" i="4"/>
  <c r="AW8" i="4"/>
  <c r="BA8" i="4" s="1"/>
  <c r="AY3" i="4"/>
  <c r="AZ3" i="4" s="1"/>
  <c r="BA3" i="4"/>
  <c r="AY9" i="4"/>
  <c r="AZ9" i="4" s="1"/>
  <c r="BA9" i="4"/>
  <c r="AK83" i="4"/>
  <c r="AY26" i="4"/>
  <c r="BA26" i="4"/>
  <c r="AF8" i="4"/>
  <c r="AH39" i="4"/>
  <c r="AQ39" i="4"/>
  <c r="AQ34" i="4"/>
  <c r="AN34" i="4" s="1"/>
  <c r="AH34" i="4"/>
  <c r="AE19" i="4"/>
  <c r="AY30" i="4"/>
  <c r="BA30" i="4"/>
  <c r="AH31" i="4"/>
  <c r="AQ31" i="4"/>
  <c r="AP45" i="4"/>
  <c r="AN45" i="4" s="1"/>
  <c r="AZ45" i="4"/>
  <c r="AG45" i="4"/>
  <c r="AH45" i="4"/>
  <c r="AQ43" i="4"/>
  <c r="AH43" i="4"/>
  <c r="AP28" i="4"/>
  <c r="AG28" i="4"/>
  <c r="AG36" i="4"/>
  <c r="AP36" i="4"/>
  <c r="AZ36" i="4"/>
  <c r="AQ59" i="4"/>
  <c r="AF52" i="4"/>
  <c r="AX63" i="4"/>
  <c r="AX40" i="4"/>
  <c r="BC62" i="4"/>
  <c r="AG76" i="4"/>
  <c r="AP76" i="4"/>
  <c r="AN76" i="4" s="1"/>
  <c r="AW43" i="4"/>
  <c r="AY56" i="4"/>
  <c r="BA56" i="4"/>
  <c r="AX77" i="4"/>
  <c r="AY74" i="4"/>
  <c r="AZ74" i="4" s="1"/>
  <c r="BA74" i="4"/>
  <c r="AH74" i="4"/>
  <c r="AQ74" i="4"/>
  <c r="AY68" i="4"/>
  <c r="BA68" i="4"/>
  <c r="AE10" i="4"/>
  <c r="AW10" i="4"/>
  <c r="AX10" i="4"/>
  <c r="AS10" i="4"/>
  <c r="AV10" i="4" s="1"/>
  <c r="BC10" i="4" s="1"/>
  <c r="AG3" i="4"/>
  <c r="AP3" i="4"/>
  <c r="AN3" i="4" s="1"/>
  <c r="AW18" i="4"/>
  <c r="AY34" i="4"/>
  <c r="AZ34" i="4" s="1"/>
  <c r="BA34" i="4"/>
  <c r="AH79" i="4"/>
  <c r="AQ79" i="4"/>
  <c r="AE4" i="4"/>
  <c r="AW4" i="4"/>
  <c r="AX4" i="4"/>
  <c r="AS4" i="4"/>
  <c r="AV4" i="4" s="1"/>
  <c r="BC4" i="4" s="1"/>
  <c r="AE14" i="4"/>
  <c r="AW14" i="4"/>
  <c r="AX14" i="4"/>
  <c r="AS14" i="4"/>
  <c r="AV14" i="4" s="1"/>
  <c r="BC14" i="4" s="1"/>
  <c r="BA22" i="4"/>
  <c r="AY22" i="4"/>
  <c r="AG7" i="4"/>
  <c r="AP7" i="4"/>
  <c r="AN7" i="4" s="1"/>
  <c r="AZ7" i="4"/>
  <c r="AH7" i="4"/>
  <c r="AW23" i="4"/>
  <c r="BA23" i="4" s="1"/>
  <c r="BA5" i="4"/>
  <c r="AY5" i="4"/>
  <c r="AX13" i="4"/>
  <c r="AW50" i="4"/>
  <c r="AX50" i="4"/>
  <c r="AE50" i="4"/>
  <c r="AS50" i="4"/>
  <c r="AV50" i="4" s="1"/>
  <c r="BC50" i="4" s="1"/>
  <c r="AS35" i="4"/>
  <c r="AV35" i="4" s="1"/>
  <c r="BC35" i="4" s="1"/>
  <c r="AW35" i="4"/>
  <c r="AX35" i="4"/>
  <c r="AE35" i="4"/>
  <c r="AH3" i="4"/>
  <c r="AX19" i="4"/>
  <c r="AH10" i="4"/>
  <c r="AQ10" i="4"/>
  <c r="AH36" i="4"/>
  <c r="AQ36" i="4"/>
  <c r="AE51" i="4"/>
  <c r="AQ42" i="4"/>
  <c r="AS69" i="4"/>
  <c r="AV69" i="4" s="1"/>
  <c r="BC69" i="4" s="1"/>
  <c r="AE69" i="4"/>
  <c r="AW69" i="4"/>
  <c r="AX69" i="4"/>
  <c r="AG38" i="4"/>
  <c r="AP38" i="4"/>
  <c r="AN38" i="4" s="1"/>
  <c r="AZ57" i="4"/>
  <c r="AG57" i="4"/>
  <c r="AP57" i="4"/>
  <c r="AN57" i="4" s="1"/>
  <c r="AG66" i="4"/>
  <c r="AP66" i="4"/>
  <c r="AN66" i="4" s="1"/>
  <c r="AZ66" i="4"/>
  <c r="AE54" i="4"/>
  <c r="AW63" i="4"/>
  <c r="AX62" i="4"/>
  <c r="AW67" i="4"/>
  <c r="BA67" i="4" s="1"/>
  <c r="AV74" i="4"/>
  <c r="BC74" i="4" s="1"/>
  <c r="AX80" i="4"/>
  <c r="AP72" i="4"/>
  <c r="AN72" i="4" s="1"/>
  <c r="AG72" i="4"/>
  <c r="AZ72" i="4"/>
  <c r="AZ8" i="4"/>
  <c r="AP8" i="4"/>
  <c r="AG8" i="4"/>
  <c r="AY28" i="4"/>
  <c r="AZ28" i="4" s="1"/>
  <c r="BA28" i="4"/>
  <c r="AZ32" i="4"/>
  <c r="AG32" i="4"/>
  <c r="AP32" i="4"/>
  <c r="AN32" i="4" s="1"/>
  <c r="AH32" i="4"/>
  <c r="AS46" i="4"/>
  <c r="AV46" i="4" s="1"/>
  <c r="BC46" i="4" s="1"/>
  <c r="AW46" i="4"/>
  <c r="AX46" i="4"/>
  <c r="AE46" i="4"/>
  <c r="AH60" i="4"/>
  <c r="AQ60" i="4"/>
  <c r="AS2" i="4"/>
  <c r="AE2" i="4"/>
  <c r="AW2" i="4"/>
  <c r="AX2" i="4"/>
  <c r="AQ17" i="4"/>
  <c r="AH17" i="4"/>
  <c r="AZ5" i="4"/>
  <c r="AG5" i="4"/>
  <c r="AP5" i="4"/>
  <c r="AN5" i="4" s="1"/>
  <c r="AQ24" i="4"/>
  <c r="AG9" i="4"/>
  <c r="AP9" i="4"/>
  <c r="AN9" i="4" s="1"/>
  <c r="AX11" i="4"/>
  <c r="AP26" i="4"/>
  <c r="AN26" i="4" s="1"/>
  <c r="AZ26" i="4"/>
  <c r="AG26" i="4"/>
  <c r="AH9" i="4"/>
  <c r="AW13" i="4"/>
  <c r="AX17" i="4"/>
  <c r="AP48" i="4"/>
  <c r="AF51" i="4"/>
  <c r="AX54" i="4"/>
  <c r="AG63" i="4"/>
  <c r="AP63" i="4"/>
  <c r="AX51" i="4"/>
  <c r="AH68" i="4"/>
  <c r="AQ68" i="4"/>
  <c r="AE67" i="4"/>
  <c r="AV55" i="4"/>
  <c r="BC55" i="4" s="1"/>
  <c r="AP56" i="4"/>
  <c r="AN56" i="4" s="1"/>
  <c r="AG56" i="4"/>
  <c r="AZ56" i="4"/>
  <c r="AY79" i="4"/>
  <c r="AZ79" i="4" s="1"/>
  <c r="BA79" i="4"/>
  <c r="AH76" i="4"/>
  <c r="AG68" i="4"/>
  <c r="AP68" i="4"/>
  <c r="AN68" i="4" s="1"/>
  <c r="AZ68" i="4"/>
  <c r="AV73" i="4"/>
  <c r="BC73" i="4" s="1"/>
  <c r="AY81" i="4"/>
  <c r="AZ81" i="4" s="1"/>
  <c r="BA81" i="4"/>
  <c r="AS42" i="4"/>
  <c r="AV42" i="4" s="1"/>
  <c r="BC42" i="4" s="1"/>
  <c r="AW42" i="4"/>
  <c r="AX42" i="4"/>
  <c r="AE42" i="4"/>
  <c r="AG31" i="4"/>
  <c r="AP31" i="4"/>
  <c r="AN31" i="4" s="1"/>
  <c r="AZ31" i="4"/>
  <c r="AG60" i="4"/>
  <c r="AP60" i="4"/>
  <c r="AN60" i="4" s="1"/>
  <c r="AZ71" i="4"/>
  <c r="AP71" i="4"/>
  <c r="AN71" i="4" s="1"/>
  <c r="AG71" i="4"/>
  <c r="AP22" i="4"/>
  <c r="AZ22" i="4"/>
  <c r="AG22" i="4"/>
  <c r="AQ15" i="4"/>
  <c r="AX12" i="4"/>
  <c r="AS12" i="4"/>
  <c r="AV12" i="4" s="1"/>
  <c r="BC12" i="4" s="1"/>
  <c r="AE12" i="4"/>
  <c r="AW12" i="4"/>
  <c r="AX16" i="4"/>
  <c r="AS16" i="4"/>
  <c r="AV16" i="4" s="1"/>
  <c r="BC16" i="4" s="1"/>
  <c r="AE16" i="4"/>
  <c r="AW16" i="4"/>
  <c r="AW11" i="4"/>
  <c r="AX24" i="4"/>
  <c r="AS24" i="4"/>
  <c r="AV24" i="4" s="1"/>
  <c r="BC24" i="4" s="1"/>
  <c r="AE24" i="4"/>
  <c r="AW24" i="4"/>
  <c r="AP13" i="4"/>
  <c r="AN13" i="4" s="1"/>
  <c r="AG13" i="4"/>
  <c r="AX21" i="4"/>
  <c r="AW17" i="4"/>
  <c r="AQ28" i="4"/>
  <c r="AH28" i="4"/>
  <c r="AG34" i="4"/>
  <c r="AE59" i="4"/>
  <c r="AX59" i="4"/>
  <c r="AW59" i="4"/>
  <c r="AY47" i="4"/>
  <c r="BA47" i="4"/>
  <c r="AS61" i="4"/>
  <c r="AV61" i="4" s="1"/>
  <c r="BC61" i="4" s="1"/>
  <c r="AE61" i="4"/>
  <c r="AW61" i="4"/>
  <c r="AX61" i="4"/>
  <c r="AH5" i="4"/>
  <c r="AY38" i="4"/>
  <c r="AZ38" i="4" s="1"/>
  <c r="BA38" i="4"/>
  <c r="AH67" i="4"/>
  <c r="AQ67" i="4"/>
  <c r="BA64" i="4"/>
  <c r="AY64" i="4"/>
  <c r="AF48" i="4"/>
  <c r="AW48" i="4"/>
  <c r="AX48" i="4"/>
  <c r="AQ54" i="4"/>
  <c r="AH54" i="4"/>
  <c r="AE49" i="4"/>
  <c r="AV67" i="4"/>
  <c r="BC67" i="4" s="1"/>
  <c r="AG55" i="4"/>
  <c r="AP55" i="4"/>
  <c r="AN55" i="4" s="1"/>
  <c r="BA73" i="4"/>
  <c r="AY73" i="4"/>
  <c r="AQ18" i="4"/>
  <c r="AH18" i="4"/>
  <c r="AG37" i="4"/>
  <c r="AP37" i="4"/>
  <c r="AG30" i="4"/>
  <c r="AP30" i="4"/>
  <c r="AN30" i="4" s="1"/>
  <c r="AZ30" i="4"/>
  <c r="AH63" i="4"/>
  <c r="AQ63" i="4"/>
  <c r="BA43" i="4"/>
  <c r="AY43" i="4"/>
  <c r="AZ43" i="4" s="1"/>
  <c r="AT83" i="4"/>
  <c r="AQ21" i="4"/>
  <c r="AH21" i="4"/>
  <c r="AQ27" i="4"/>
  <c r="AH2" i="4"/>
  <c r="AQ2" i="4"/>
  <c r="AX25" i="4"/>
  <c r="AE25" i="4"/>
  <c r="AW25" i="4"/>
  <c r="AS25" i="4"/>
  <c r="AV25" i="4" s="1"/>
  <c r="BC25" i="4" s="1"/>
  <c r="AP11" i="4"/>
  <c r="AG11" i="4"/>
  <c r="AX20" i="4"/>
  <c r="AS20" i="4"/>
  <c r="AV20" i="4" s="1"/>
  <c r="BC20" i="4" s="1"/>
  <c r="AE20" i="4"/>
  <c r="AW20" i="4"/>
  <c r="AW21" i="4"/>
  <c r="AS15" i="4"/>
  <c r="AV15" i="4" s="1"/>
  <c r="BC15" i="4" s="1"/>
  <c r="AE15" i="4"/>
  <c r="AX15" i="4"/>
  <c r="AW15" i="4"/>
  <c r="AP17" i="4"/>
  <c r="AN17" i="4" s="1"/>
  <c r="AG17" i="4"/>
  <c r="AP29" i="4"/>
  <c r="AF29" i="4"/>
  <c r="AX29" i="4"/>
  <c r="AW32" i="4"/>
  <c r="BA32" i="4" s="1"/>
  <c r="AY31" i="4"/>
  <c r="BA31" i="4"/>
  <c r="AH66" i="4"/>
  <c r="AY60" i="4"/>
  <c r="AZ60" i="4" s="1"/>
  <c r="BA60" i="4"/>
  <c r="AH55" i="4"/>
  <c r="AQ55" i="4"/>
  <c r="AX70" i="4"/>
  <c r="AW70" i="4"/>
  <c r="BA76" i="4"/>
  <c r="AY76" i="4"/>
  <c r="AZ76" i="4" s="1"/>
  <c r="AY55" i="4"/>
  <c r="AZ55" i="4" s="1"/>
  <c r="BA55" i="4"/>
  <c r="AH57" i="4"/>
  <c r="AG79" i="4"/>
  <c r="AP79" i="4"/>
  <c r="AN79" i="4" s="1"/>
  <c r="AN75" i="4"/>
  <c r="AW44" i="4"/>
  <c r="AE44" i="4"/>
  <c r="AX44" i="4"/>
  <c r="AS44" i="4"/>
  <c r="AV44" i="4" s="1"/>
  <c r="BC44" i="4" s="1"/>
  <c r="AW65" i="4"/>
  <c r="AX65" i="4"/>
  <c r="AS65" i="4"/>
  <c r="AV65" i="4" s="1"/>
  <c r="BC65" i="4" s="1"/>
  <c r="AE65" i="4"/>
  <c r="AH4" i="4"/>
  <c r="AQ4" i="4"/>
  <c r="AQ22" i="4"/>
  <c r="AH22" i="4"/>
  <c r="AF19" i="4"/>
  <c r="AU83" i="4"/>
  <c r="AX18" i="4"/>
  <c r="AP21" i="4"/>
  <c r="AN21" i="4" s="1"/>
  <c r="AG21" i="4"/>
  <c r="AF37" i="4"/>
  <c r="AW37" i="4"/>
  <c r="AX37" i="4"/>
  <c r="AH26" i="4"/>
  <c r="AV29" i="4"/>
  <c r="BC29" i="4" s="1"/>
  <c r="AF23" i="4"/>
  <c r="AG23" i="4" s="1"/>
  <c r="AY39" i="4"/>
  <c r="AZ39" i="4" s="1"/>
  <c r="BA39" i="4"/>
  <c r="AG47" i="4"/>
  <c r="AP47" i="4"/>
  <c r="AN47" i="4" s="1"/>
  <c r="AZ47" i="4"/>
  <c r="AZ64" i="4"/>
  <c r="AG64" i="4"/>
  <c r="AP64" i="4"/>
  <c r="AN64" i="4" s="1"/>
  <c r="AX49" i="4"/>
  <c r="AX58" i="4"/>
  <c r="AV79" i="4"/>
  <c r="BC79" i="4" s="1"/>
  <c r="AG73" i="4"/>
  <c r="AP73" i="4"/>
  <c r="AN73" i="4" s="1"/>
  <c r="AZ73" i="4"/>
  <c r="AG81" i="4"/>
  <c r="AP81" i="4"/>
  <c r="AN81" i="4" s="1"/>
  <c r="AJ87" i="5" l="1"/>
  <c r="AG71" i="5"/>
  <c r="AJ71" i="5"/>
  <c r="AH42" i="5"/>
  <c r="AF42" i="5"/>
  <c r="AG11" i="5"/>
  <c r="AJ11" i="5"/>
  <c r="BH30" i="5"/>
  <c r="BI30" i="5"/>
  <c r="AO52" i="5"/>
  <c r="AF52" i="5"/>
  <c r="AH52" i="5"/>
  <c r="AO53" i="5"/>
  <c r="BH66" i="5"/>
  <c r="BI66" i="5"/>
  <c r="AH17" i="5"/>
  <c r="AO17" i="5"/>
  <c r="AF17" i="5"/>
  <c r="AG50" i="5"/>
  <c r="AJ50" i="5"/>
  <c r="BH28" i="5"/>
  <c r="BI28" i="5"/>
  <c r="BH74" i="5"/>
  <c r="BI74" i="5"/>
  <c r="AG75" i="5"/>
  <c r="AJ75" i="5"/>
  <c r="AO75" i="5"/>
  <c r="AF75" i="5"/>
  <c r="AO26" i="5"/>
  <c r="AF72" i="5"/>
  <c r="AO72" i="5"/>
  <c r="AH72" i="5"/>
  <c r="AJ60" i="5"/>
  <c r="AO60" i="5"/>
  <c r="AG60" i="5"/>
  <c r="AF60" i="5"/>
  <c r="AO3" i="5"/>
  <c r="AG62" i="5"/>
  <c r="AJ62" i="5"/>
  <c r="AO38" i="5"/>
  <c r="AH27" i="5"/>
  <c r="AF27" i="5"/>
  <c r="AH70" i="5"/>
  <c r="AO70" i="5"/>
  <c r="AF70" i="5"/>
  <c r="AG42" i="5"/>
  <c r="AJ42" i="5"/>
  <c r="AF77" i="5"/>
  <c r="AH77" i="5"/>
  <c r="AG27" i="5"/>
  <c r="AJ27" i="5"/>
  <c r="BI69" i="5"/>
  <c r="BH69" i="5"/>
  <c r="AF8" i="5"/>
  <c r="AH8" i="5"/>
  <c r="AO8" i="5"/>
  <c r="AG8" i="5"/>
  <c r="BH78" i="5"/>
  <c r="BI78" i="5"/>
  <c r="AF51" i="5"/>
  <c r="AH51" i="5"/>
  <c r="AO51" i="5"/>
  <c r="AF33" i="5"/>
  <c r="AH33" i="5"/>
  <c r="AO33" i="5"/>
  <c r="AF24" i="5"/>
  <c r="AH24" i="5"/>
  <c r="AF11" i="5"/>
  <c r="AF80" i="5"/>
  <c r="AH80" i="5"/>
  <c r="AO80" i="5"/>
  <c r="BH9" i="5"/>
  <c r="BI9" i="5"/>
  <c r="AO57" i="5"/>
  <c r="BH20" i="5"/>
  <c r="BI20" i="5"/>
  <c r="AJ2" i="5"/>
  <c r="AG2" i="5"/>
  <c r="AF63" i="5"/>
  <c r="AH63" i="5"/>
  <c r="AO63" i="5"/>
  <c r="AG63" i="5"/>
  <c r="BH56" i="5"/>
  <c r="BI56" i="5"/>
  <c r="AO64" i="5"/>
  <c r="BH34" i="5"/>
  <c r="BI34" i="5"/>
  <c r="BH55" i="5"/>
  <c r="BI55" i="5"/>
  <c r="AG80" i="5"/>
  <c r="BH10" i="5"/>
  <c r="BI10" i="5"/>
  <c r="BH45" i="5"/>
  <c r="BI45" i="5"/>
  <c r="AO48" i="5"/>
  <c r="AF59" i="5"/>
  <c r="AO59" i="5"/>
  <c r="AH59" i="5"/>
  <c r="BH65" i="5"/>
  <c r="BI65" i="5"/>
  <c r="BH81" i="5"/>
  <c r="BI81" i="5"/>
  <c r="AJ25" i="5"/>
  <c r="AO25" i="5"/>
  <c r="AG25" i="5"/>
  <c r="BH36" i="5"/>
  <c r="BI36" i="5"/>
  <c r="AH7" i="5"/>
  <c r="AO7" i="5"/>
  <c r="AF7" i="5"/>
  <c r="AO71" i="5"/>
  <c r="BH12" i="5"/>
  <c r="BI12" i="5"/>
  <c r="BH6" i="5"/>
  <c r="BI6" i="5"/>
  <c r="AG33" i="5"/>
  <c r="BI58" i="5"/>
  <c r="BH58" i="5"/>
  <c r="AF44" i="5"/>
  <c r="AH44" i="5"/>
  <c r="AO44" i="5"/>
  <c r="AJ48" i="5"/>
  <c r="AG48" i="5"/>
  <c r="BH14" i="5"/>
  <c r="BI14" i="5"/>
  <c r="AO13" i="5"/>
  <c r="AO54" i="5"/>
  <c r="BH4" i="5"/>
  <c r="BI4" i="5"/>
  <c r="AJ77" i="5"/>
  <c r="AG77" i="5"/>
  <c r="AF16" i="5"/>
  <c r="AH16" i="5"/>
  <c r="AO16" i="5"/>
  <c r="AG24" i="5"/>
  <c r="AJ24" i="5"/>
  <c r="AG31" i="5"/>
  <c r="AJ31" i="5"/>
  <c r="AO31" i="5"/>
  <c r="AF31" i="5"/>
  <c r="AG70" i="5"/>
  <c r="AG59" i="5"/>
  <c r="AG54" i="5"/>
  <c r="AJ54" i="5"/>
  <c r="AF71" i="5"/>
  <c r="AG18" i="5"/>
  <c r="AJ18" i="5"/>
  <c r="AO18" i="5"/>
  <c r="AF43" i="5"/>
  <c r="AH43" i="5"/>
  <c r="AO43" i="5"/>
  <c r="AO61" i="5"/>
  <c r="BH47" i="5"/>
  <c r="BI47" i="5"/>
  <c r="AO49" i="5"/>
  <c r="AG46" i="5"/>
  <c r="AJ46" i="5"/>
  <c r="AO46" i="5"/>
  <c r="BH22" i="5"/>
  <c r="BI22" i="5"/>
  <c r="AJ5" i="5"/>
  <c r="AO5" i="5"/>
  <c r="AG5" i="5"/>
  <c r="AF5" i="5"/>
  <c r="AJ38" i="5"/>
  <c r="AG38" i="5"/>
  <c r="AH15" i="5"/>
  <c r="AF15" i="5"/>
  <c r="AF79" i="5"/>
  <c r="AH79" i="5"/>
  <c r="AO79" i="5"/>
  <c r="AF50" i="5"/>
  <c r="AH50" i="5"/>
  <c r="AG15" i="5"/>
  <c r="AJ15" i="5"/>
  <c r="AO37" i="5"/>
  <c r="BH29" i="5"/>
  <c r="BI29" i="5"/>
  <c r="AG17" i="5"/>
  <c r="BH39" i="5"/>
  <c r="BI39" i="5"/>
  <c r="AJ21" i="5"/>
  <c r="AO21" i="5"/>
  <c r="AG21" i="5"/>
  <c r="AJ13" i="5"/>
  <c r="AG13" i="5"/>
  <c r="AG35" i="5"/>
  <c r="AJ35" i="5"/>
  <c r="AO35" i="5"/>
  <c r="BI23" i="5"/>
  <c r="BH23" i="5"/>
  <c r="AO11" i="5"/>
  <c r="BH76" i="5"/>
  <c r="BI76" i="5"/>
  <c r="AJ40" i="5"/>
  <c r="AO40" i="5"/>
  <c r="AG40" i="5"/>
  <c r="AF40" i="5"/>
  <c r="AF25" i="5"/>
  <c r="AF46" i="5"/>
  <c r="AG19" i="5"/>
  <c r="AJ19" i="5"/>
  <c r="AO19" i="5"/>
  <c r="AF19" i="5"/>
  <c r="BH41" i="5"/>
  <c r="BI41" i="5"/>
  <c r="AG7" i="5"/>
  <c r="AJ7" i="5"/>
  <c r="AO32" i="5"/>
  <c r="AH62" i="5"/>
  <c r="AF62" i="5"/>
  <c r="AG51" i="5"/>
  <c r="AF13" i="5"/>
  <c r="AF38" i="5"/>
  <c r="AO73" i="5"/>
  <c r="AF54" i="5"/>
  <c r="AF21" i="5"/>
  <c r="AG78" i="4"/>
  <c r="AP78" i="4"/>
  <c r="AN78" i="4" s="1"/>
  <c r="AH78" i="4"/>
  <c r="BA37" i="4"/>
  <c r="AY37" i="4"/>
  <c r="AZ37" i="4" s="1"/>
  <c r="AH19" i="4"/>
  <c r="AQ19" i="4"/>
  <c r="BA29" i="4"/>
  <c r="AY29" i="4"/>
  <c r="AZ29" i="4" s="1"/>
  <c r="AY20" i="4"/>
  <c r="BA20" i="4"/>
  <c r="AF83" i="4"/>
  <c r="AY16" i="4"/>
  <c r="BA16" i="4"/>
  <c r="AP46" i="4"/>
  <c r="AN46" i="4" s="1"/>
  <c r="AG46" i="4"/>
  <c r="AH46" i="4"/>
  <c r="AY80" i="4"/>
  <c r="BA80" i="4"/>
  <c r="AY77" i="4"/>
  <c r="AZ77" i="4" s="1"/>
  <c r="BA77" i="4"/>
  <c r="BA40" i="4"/>
  <c r="AY40" i="4"/>
  <c r="AZ40" i="4" s="1"/>
  <c r="AY27" i="4"/>
  <c r="BA27" i="4"/>
  <c r="AY6" i="4"/>
  <c r="AZ6" i="4" s="1"/>
  <c r="BA6" i="4"/>
  <c r="BA11" i="4"/>
  <c r="AY11" i="4"/>
  <c r="AZ11" i="4" s="1"/>
  <c r="AY10" i="4"/>
  <c r="BA10" i="4"/>
  <c r="AH29" i="4"/>
  <c r="AQ29" i="4"/>
  <c r="BA15" i="4"/>
  <c r="AY15" i="4"/>
  <c r="AG61" i="4"/>
  <c r="AP61" i="4"/>
  <c r="AN61" i="4" s="1"/>
  <c r="AH61" i="4"/>
  <c r="AP24" i="4"/>
  <c r="AN24" i="4" s="1"/>
  <c r="AG24" i="4"/>
  <c r="AN22" i="4"/>
  <c r="AN63" i="4"/>
  <c r="AY17" i="4"/>
  <c r="AZ17" i="4" s="1"/>
  <c r="BA17" i="4"/>
  <c r="AY46" i="4"/>
  <c r="AZ46" i="4" s="1"/>
  <c r="BA46" i="4"/>
  <c r="AP69" i="4"/>
  <c r="AN69" i="4" s="1"/>
  <c r="AG69" i="4"/>
  <c r="AH69" i="4"/>
  <c r="AG50" i="4"/>
  <c r="AP50" i="4"/>
  <c r="AN50" i="4" s="1"/>
  <c r="AZ50" i="4"/>
  <c r="AH50" i="4"/>
  <c r="AP14" i="4"/>
  <c r="AN14" i="4" s="1"/>
  <c r="AG14" i="4"/>
  <c r="AH14" i="4"/>
  <c r="AP10" i="4"/>
  <c r="AN10" i="4" s="1"/>
  <c r="AG10" i="4"/>
  <c r="AZ10" i="4"/>
  <c r="AY63" i="4"/>
  <c r="AZ63" i="4" s="1"/>
  <c r="BA63" i="4"/>
  <c r="AY33" i="4"/>
  <c r="BA33" i="4"/>
  <c r="AY41" i="4"/>
  <c r="BA41" i="4"/>
  <c r="AY65" i="4"/>
  <c r="AZ65" i="4" s="1"/>
  <c r="BA65" i="4"/>
  <c r="AP59" i="4"/>
  <c r="AN59" i="4" s="1"/>
  <c r="AG59" i="4"/>
  <c r="AY51" i="4"/>
  <c r="AZ51" i="4" s="1"/>
  <c r="BA51" i="4"/>
  <c r="AY14" i="4"/>
  <c r="AZ14" i="4" s="1"/>
  <c r="BA14" i="4"/>
  <c r="AH37" i="4"/>
  <c r="AQ37" i="4"/>
  <c r="AN37" i="4" s="1"/>
  <c r="AY44" i="4"/>
  <c r="AZ44" i="4" s="1"/>
  <c r="BA44" i="4"/>
  <c r="AN29" i="4"/>
  <c r="AZ15" i="4"/>
  <c r="AP15" i="4"/>
  <c r="AN15" i="4" s="1"/>
  <c r="AG15" i="4"/>
  <c r="AG49" i="4"/>
  <c r="AP49" i="4"/>
  <c r="AN49" i="4" s="1"/>
  <c r="AZ49" i="4"/>
  <c r="AH49" i="4"/>
  <c r="AP12" i="4"/>
  <c r="AN12" i="4" s="1"/>
  <c r="AG12" i="4"/>
  <c r="AH12" i="4"/>
  <c r="BA2" i="4"/>
  <c r="AY2" i="4"/>
  <c r="AX83" i="4"/>
  <c r="BA19" i="4"/>
  <c r="AY19" i="4"/>
  <c r="AY50" i="4"/>
  <c r="BA50" i="4"/>
  <c r="AH52" i="4"/>
  <c r="AQ52" i="4"/>
  <c r="AN28" i="4"/>
  <c r="AH8" i="4"/>
  <c r="AQ8" i="4"/>
  <c r="AQ83" i="4" s="1"/>
  <c r="AP52" i="4"/>
  <c r="AG52" i="4"/>
  <c r="BA69" i="4"/>
  <c r="AY69" i="4"/>
  <c r="AZ69" i="4" s="1"/>
  <c r="AG33" i="4"/>
  <c r="AP33" i="4"/>
  <c r="AN33" i="4" s="1"/>
  <c r="AZ33" i="4"/>
  <c r="AH33" i="4"/>
  <c r="AY58" i="4"/>
  <c r="AZ58" i="4" s="1"/>
  <c r="BA58" i="4"/>
  <c r="AG44" i="4"/>
  <c r="AP44" i="4"/>
  <c r="AN44" i="4" s="1"/>
  <c r="AH44" i="4"/>
  <c r="BA24" i="4"/>
  <c r="AY24" i="4"/>
  <c r="AZ24" i="4" s="1"/>
  <c r="AP42" i="4"/>
  <c r="AN42" i="4" s="1"/>
  <c r="AG42" i="4"/>
  <c r="BA54" i="4"/>
  <c r="AY54" i="4"/>
  <c r="AW83" i="4"/>
  <c r="AN8" i="4"/>
  <c r="AY62" i="4"/>
  <c r="BA62" i="4"/>
  <c r="AY4" i="4"/>
  <c r="AZ4" i="4" s="1"/>
  <c r="BA4" i="4"/>
  <c r="AH59" i="4"/>
  <c r="AH11" i="4"/>
  <c r="AQ11" i="4"/>
  <c r="AN11" i="4" s="1"/>
  <c r="AY52" i="4"/>
  <c r="AZ52" i="4" s="1"/>
  <c r="BA52" i="4"/>
  <c r="AN39" i="4"/>
  <c r="AQ48" i="4"/>
  <c r="AH48" i="4"/>
  <c r="AN23" i="4"/>
  <c r="AY49" i="4"/>
  <c r="BA49" i="4"/>
  <c r="AG29" i="4"/>
  <c r="AY21" i="4"/>
  <c r="AZ21" i="4" s="1"/>
  <c r="BA21" i="4"/>
  <c r="AY12" i="4"/>
  <c r="AZ12" i="4" s="1"/>
  <c r="BA12" i="4"/>
  <c r="AY42" i="4"/>
  <c r="AZ42" i="4" s="1"/>
  <c r="BA42" i="4"/>
  <c r="AZ67" i="4"/>
  <c r="AP67" i="4"/>
  <c r="AN67" i="4" s="1"/>
  <c r="AG67" i="4"/>
  <c r="AQ51" i="4"/>
  <c r="AH51" i="4"/>
  <c r="AH24" i="4"/>
  <c r="AG2" i="4"/>
  <c r="AZ2" i="4"/>
  <c r="AE83" i="4"/>
  <c r="AH42" i="4"/>
  <c r="AG35" i="4"/>
  <c r="AP35" i="4"/>
  <c r="AN35" i="4" s="1"/>
  <c r="AY13" i="4"/>
  <c r="AZ13" i="4" s="1"/>
  <c r="BA13" i="4"/>
  <c r="AG80" i="4"/>
  <c r="AP80" i="4"/>
  <c r="AN80" i="4" s="1"/>
  <c r="AZ80" i="4"/>
  <c r="AP27" i="4"/>
  <c r="AN27" i="4" s="1"/>
  <c r="AZ27" i="4"/>
  <c r="AG27" i="4"/>
  <c r="AH23" i="4"/>
  <c r="AQ23" i="4"/>
  <c r="AG65" i="4"/>
  <c r="AP65" i="4"/>
  <c r="AN65" i="4" s="1"/>
  <c r="AH65" i="4"/>
  <c r="BA48" i="4"/>
  <c r="AY48" i="4"/>
  <c r="AZ48" i="4" s="1"/>
  <c r="AG48" i="4"/>
  <c r="AS83" i="4"/>
  <c r="AP54" i="4"/>
  <c r="AN54" i="4" s="1"/>
  <c r="AZ54" i="4"/>
  <c r="AG54" i="4"/>
  <c r="AP51" i="4"/>
  <c r="AG51" i="4"/>
  <c r="AY35" i="4"/>
  <c r="AZ35" i="4" s="1"/>
  <c r="BA35" i="4"/>
  <c r="AG4" i="4"/>
  <c r="AP4" i="4"/>
  <c r="AN4" i="4" s="1"/>
  <c r="AZ19" i="4"/>
  <c r="AG19" i="4"/>
  <c r="AP19" i="4"/>
  <c r="AN19" i="4" s="1"/>
  <c r="AY78" i="4"/>
  <c r="AZ78" i="4" s="1"/>
  <c r="BA78" i="4"/>
  <c r="AH35" i="4"/>
  <c r="AQ35" i="4"/>
  <c r="AN18" i="4"/>
  <c r="AN43" i="4"/>
  <c r="AY70" i="4"/>
  <c r="AZ70" i="4" s="1"/>
  <c r="BA70" i="4"/>
  <c r="AY25" i="4"/>
  <c r="BA25" i="4"/>
  <c r="BA61" i="4"/>
  <c r="AY61" i="4"/>
  <c r="AZ61" i="4" s="1"/>
  <c r="AG62" i="4"/>
  <c r="AP62" i="4"/>
  <c r="AN62" i="4" s="1"/>
  <c r="AZ62" i="4"/>
  <c r="AH62" i="4"/>
  <c r="AH80" i="4"/>
  <c r="AY18" i="4"/>
  <c r="AZ18" i="4" s="1"/>
  <c r="BA18" i="4"/>
  <c r="AP20" i="4"/>
  <c r="AN20" i="4" s="1"/>
  <c r="AG20" i="4"/>
  <c r="AZ20" i="4"/>
  <c r="AH20" i="4"/>
  <c r="AP25" i="4"/>
  <c r="AN25" i="4" s="1"/>
  <c r="AG25" i="4"/>
  <c r="AZ25" i="4"/>
  <c r="AH25" i="4"/>
  <c r="AY59" i="4"/>
  <c r="AZ59" i="4" s="1"/>
  <c r="BA59" i="4"/>
  <c r="AP16" i="4"/>
  <c r="AN16" i="4" s="1"/>
  <c r="AG16" i="4"/>
  <c r="AZ16" i="4"/>
  <c r="AH16" i="4"/>
  <c r="AH15" i="4"/>
  <c r="AN48" i="4"/>
  <c r="AN36" i="4"/>
  <c r="AG41" i="4"/>
  <c r="AP41" i="4"/>
  <c r="AN41" i="4" s="1"/>
  <c r="AZ41" i="4"/>
  <c r="AH41" i="4"/>
  <c r="AG6" i="4"/>
  <c r="AP6" i="4"/>
  <c r="AN6" i="4" s="1"/>
  <c r="AH6" i="4"/>
  <c r="AH83" i="4" s="1"/>
  <c r="BH46" i="5" l="1"/>
  <c r="BI46" i="5"/>
  <c r="BH18" i="5"/>
  <c r="BI18" i="5"/>
  <c r="BI25" i="5"/>
  <c r="BH25" i="5"/>
  <c r="BH21" i="5"/>
  <c r="BI21" i="5"/>
  <c r="BI35" i="5"/>
  <c r="BH35" i="5"/>
  <c r="BH37" i="5"/>
  <c r="BI37" i="5"/>
  <c r="BH44" i="5"/>
  <c r="BI44" i="5"/>
  <c r="BH59" i="5"/>
  <c r="BI59" i="5"/>
  <c r="BH38" i="5"/>
  <c r="BI38" i="5"/>
  <c r="BH75" i="5"/>
  <c r="BI75" i="5"/>
  <c r="BI53" i="5"/>
  <c r="BH53" i="5"/>
  <c r="BI79" i="5"/>
  <c r="BH79" i="5"/>
  <c r="BH63" i="5"/>
  <c r="BI63" i="5"/>
  <c r="BH57" i="5"/>
  <c r="BI57" i="5"/>
  <c r="AO24" i="5"/>
  <c r="BH2" i="5"/>
  <c r="BI2" i="5"/>
  <c r="BI60" i="5"/>
  <c r="BH60" i="5"/>
  <c r="AO62" i="5"/>
  <c r="BI40" i="5"/>
  <c r="BH40" i="5"/>
  <c r="BH49" i="5"/>
  <c r="BI49" i="5"/>
  <c r="BI13" i="5"/>
  <c r="BH13" i="5"/>
  <c r="BH71" i="5"/>
  <c r="BI71" i="5"/>
  <c r="BI48" i="5"/>
  <c r="BH48" i="5"/>
  <c r="AO42" i="5"/>
  <c r="BI19" i="5"/>
  <c r="BH19" i="5"/>
  <c r="AO15" i="5"/>
  <c r="BI31" i="5"/>
  <c r="BH31" i="5"/>
  <c r="BH33" i="5"/>
  <c r="BI33" i="5"/>
  <c r="BH70" i="5"/>
  <c r="BI70" i="5"/>
  <c r="BI17" i="5"/>
  <c r="BH17" i="5"/>
  <c r="BH52" i="5"/>
  <c r="BI52" i="5"/>
  <c r="BH32" i="5"/>
  <c r="BI32" i="5"/>
  <c r="AO50" i="5"/>
  <c r="BI7" i="5"/>
  <c r="BH7" i="5"/>
  <c r="BI80" i="5"/>
  <c r="BH80" i="5"/>
  <c r="BH8" i="5"/>
  <c r="BI8" i="5"/>
  <c r="BH72" i="5"/>
  <c r="BI72" i="5"/>
  <c r="BH16" i="5"/>
  <c r="BI16" i="5"/>
  <c r="BI5" i="5"/>
  <c r="BH5" i="5"/>
  <c r="BH73" i="5"/>
  <c r="BI73" i="5"/>
  <c r="BI61" i="5"/>
  <c r="BH61" i="5"/>
  <c r="BH64" i="5"/>
  <c r="BI64" i="5"/>
  <c r="BI54" i="5"/>
  <c r="BH54" i="5"/>
  <c r="BH11" i="5"/>
  <c r="BI11" i="5"/>
  <c r="BH43" i="5"/>
  <c r="BI43" i="5"/>
  <c r="BH51" i="5"/>
  <c r="BI51" i="5"/>
  <c r="AO77" i="5"/>
  <c r="AO27" i="5"/>
  <c r="BH3" i="5"/>
  <c r="BI3" i="5"/>
  <c r="BH26" i="5"/>
  <c r="BI26" i="5"/>
  <c r="AG83" i="4"/>
  <c r="AZ83" i="4"/>
  <c r="AP83" i="4"/>
  <c r="BA83" i="4"/>
  <c r="BC2" i="4"/>
  <c r="BC83" i="4" s="1"/>
  <c r="AV83" i="4"/>
  <c r="AN52" i="4"/>
  <c r="AN51" i="4"/>
  <c r="BI15" i="5" l="1"/>
  <c r="BH15" i="5"/>
  <c r="BI50" i="5"/>
  <c r="BH50" i="5"/>
  <c r="BI42" i="5"/>
  <c r="BH42" i="5"/>
  <c r="BH24" i="5"/>
  <c r="BI24" i="5"/>
  <c r="BH77" i="5"/>
  <c r="BI77" i="5"/>
  <c r="BI62" i="5"/>
  <c r="BH62" i="5"/>
  <c r="BI27" i="5"/>
  <c r="BH27" i="5"/>
  <c r="AN83" i="4"/>
</calcChain>
</file>

<file path=xl/sharedStrings.xml><?xml version="1.0" encoding="utf-8"?>
<sst xmlns="http://schemas.openxmlformats.org/spreadsheetml/2006/main" count="469" uniqueCount="190">
  <si>
    <t>Hints 
used</t>
  </si>
  <si>
    <t xml:space="preserve">Sample 
Number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</si>
  <si>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</si>
  <si>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</si>
  <si>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</si>
  <si>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</si>
  <si>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</si>
  <si>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</si>
  <si>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</si>
  <si>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</si>
  <si>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</si>
  <si>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</si>
  <si>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</si>
  <si>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</si>
  <si>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</si>
  <si>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</si>
  <si>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/>
  </si>
  <si>
    <t xml:space="preserve">Flow 
Orientation 
</t>
  </si>
  <si>
    <t>Notes</t>
  </si>
  <si>
    <t>Specific Heat 
Hot Fluid 
Cph 
[kJ/kg K]</t>
  </si>
  <si>
    <t>Specific Heat 
Cold Fluid 
Cpc 
[kJ/kg K]</t>
  </si>
  <si>
    <t>Hot Fluid 
Average 
Temperature 
[%]</t>
  </si>
  <si>
    <t>Density 
Hot Fluid 
[kg/m³]</t>
  </si>
  <si>
    <t>Cold Fluid 
Average 
Temperature 
[%]</t>
  </si>
  <si>
    <t>Density 
Cold Fluid 
[kg/m³]</t>
  </si>
  <si>
    <t>Thot 
[°C]</t>
  </si>
  <si>
    <t>Tcold 
[°C]</t>
  </si>
  <si>
    <t>Hot Mass 
Flow Rate 
qmh 
[kg/s]</t>
  </si>
  <si>
    <t>Cold Mass 
Flow Rate 
qmc 
[kg/s]</t>
  </si>
  <si>
    <t>Heat Power 
emitted 
Qe 
[W]</t>
  </si>
  <si>
    <t>Heat Power 
absorbed 
Qa 
[W]</t>
  </si>
  <si>
    <t>Heat Power 
lost 
Qf 
[W]</t>
  </si>
  <si>
    <t>Overall 
Efficiency 
[%]</t>
  </si>
  <si>
    <t>Thermal Efficiency with Hot Fluid
[%]</t>
  </si>
  <si>
    <t>Thermal Efficiency with Cold  Fluid [%]</t>
  </si>
  <si>
    <t>Mean 
Temp 
Efficiency 
[%]</t>
  </si>
  <si>
    <t xml:space="preserve">LMTD 
</t>
  </si>
  <si>
    <t>Overall Heat 
Transfer 
Coefficient 
U</t>
  </si>
  <si>
    <t>Questions 
Score 
[%]</t>
  </si>
  <si>
    <t>As</t>
  </si>
  <si>
    <t>Qmaxh</t>
  </si>
  <si>
    <t>Qmaxc</t>
  </si>
  <si>
    <t>Reh</t>
  </si>
  <si>
    <t>Rec</t>
  </si>
  <si>
    <t>µ1</t>
  </si>
  <si>
    <t>µ2</t>
  </si>
  <si>
    <t>µ3</t>
  </si>
  <si>
    <t>µ4</t>
  </si>
  <si>
    <t>Dh</t>
  </si>
  <si>
    <t>µh</t>
  </si>
  <si>
    <t>µc</t>
  </si>
  <si>
    <t>Nuh</t>
  </si>
  <si>
    <t>Nuc</t>
  </si>
  <si>
    <t>Prh</t>
  </si>
  <si>
    <t>Prc</t>
  </si>
  <si>
    <t>NTUh</t>
  </si>
  <si>
    <t>NTUc</t>
  </si>
  <si>
    <t>hi</t>
  </si>
  <si>
    <t>ho</t>
  </si>
  <si>
    <t>Temp Efficiency Hot Fluid</t>
  </si>
  <si>
    <t>Temp Efficiency Cold Fluid</t>
  </si>
  <si>
    <t>Chot</t>
  </si>
  <si>
    <t>Ccold</t>
  </si>
  <si>
    <t>Cmin</t>
  </si>
  <si>
    <t>Cmax</t>
  </si>
  <si>
    <t>c</t>
  </si>
  <si>
    <t>Avg Temp</t>
  </si>
  <si>
    <t>MTE</t>
  </si>
  <si>
    <t>NTU(proper)</t>
  </si>
  <si>
    <t>ech</t>
  </si>
  <si>
    <t>1</t>
  </si>
  <si>
    <t xml:space="preserve">40% Heat </t>
  </si>
  <si>
    <t xml:space="preserve">Hidden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</si>
  <si>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</si>
  <si>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</si>
  <si>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</si>
  <si>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</si>
  <si>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</si>
  <si>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</si>
  <si>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</si>
  <si>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</si>
  <si>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</si>
  <si>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</si>
  <si>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</si>
  <si>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</si>
  <si>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</si>
  <si>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</si>
  <si>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</si>
  <si>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</si>
  <si>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</si>
  <si>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</si>
  <si>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</si>
  <si>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</si>
  <si>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</si>
  <si>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</si>
  <si>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</si>
  <si>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</si>
  <si>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</si>
  <si>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</si>
  <si>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</si>
  <si>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</si>
  <si>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</si>
  <si>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</si>
  <si>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</si>
  <si>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</si>
  <si>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</si>
  <si>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</si>
  <si>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</si>
  <si>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</si>
  <si>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</si>
  <si>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</si>
  <si>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</si>
  <si>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</si>
  <si>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 xml:space="preserve">80% Heat 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</si>
  <si>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</si>
  <si>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</si>
  <si>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</si>
  <si>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</si>
  <si>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</si>
  <si>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</si>
  <si>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</si>
  <si>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</si>
  <si>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</si>
  <si>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</si>
  <si>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</si>
  <si>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</si>
  <si>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</si>
  <si>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</si>
  <si>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</si>
  <si>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</si>
  <si>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</si>
  <si>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</si>
  <si>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</si>
  <si>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</si>
  <si>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</si>
  <si>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</si>
  <si>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</si>
  <si>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</si>
  <si>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</si>
  <si>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</si>
  <si>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</si>
  <si>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</si>
  <si>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</si>
  <si>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</si>
  <si>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</si>
  <si>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</si>
  <si>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</si>
  <si>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</si>
  <si>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</si>
  <si>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</si>
  <si>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</si>
  <si>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</si>
  <si>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</si>
  <si>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Hot fluid 
Average 
Temperature 
[°C]</t>
  </si>
  <si>
    <t>Cold fluid 
Average 
Temperature 
[°C]</t>
  </si>
  <si>
    <t>Temp 
Efficiency 
of hot fluid 
[%]</t>
  </si>
  <si>
    <t>Temp 
Efficiency 
of cold fluid 
[%]</t>
  </si>
  <si>
    <t>Overall 
Heat Transfer 
Coefficient 
U</t>
  </si>
  <si>
    <t>h_i</t>
  </si>
  <si>
    <t>h_o</t>
  </si>
  <si>
    <t>mu_hot</t>
  </si>
  <si>
    <t>Re_hot</t>
  </si>
  <si>
    <t>Pr_hot</t>
  </si>
  <si>
    <t>k_hot</t>
  </si>
  <si>
    <t>Nu_hot</t>
  </si>
  <si>
    <t>C_max</t>
  </si>
  <si>
    <t>C_min</t>
  </si>
  <si>
    <t>Q_max</t>
  </si>
  <si>
    <t>effectiveness</t>
  </si>
  <si>
    <t>c=C_min/C_max</t>
  </si>
  <si>
    <t>NTU</t>
  </si>
  <si>
    <t>h(Re)</t>
  </si>
  <si>
    <t>NTU( proper)</t>
  </si>
  <si>
    <t>ech (proper)</t>
  </si>
  <si>
    <t>40% heat</t>
  </si>
  <si>
    <t>answers --&gt;</t>
  </si>
  <si>
    <t xml:space="preserve">graphs </t>
  </si>
  <si>
    <t>below</t>
  </si>
  <si>
    <t>red means</t>
  </si>
  <si>
    <t>interpolation</t>
  </si>
  <si>
    <t>change</t>
  </si>
  <si>
    <t xml:space="preserve">because </t>
  </si>
  <si>
    <t>temperature</t>
  </si>
  <si>
    <t>range</t>
  </si>
  <si>
    <t>changes</t>
  </si>
  <si>
    <t xml:space="preserve">80% heat </t>
  </si>
  <si>
    <t>avg</t>
  </si>
  <si>
    <t>A_i [m^3]</t>
  </si>
  <si>
    <t>A_o [m^3]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</si>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</sst>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##0.0"/>
    <numFmt numFmtId="167" formatCode="000.0"/>
    <numFmt numFmtId="168" formatCode="#0.000"/>
    <numFmt numFmtId="169" formatCode="#0.0"/>
    <numFmt numFmtId="170" formatCode="#0.00"/>
    <numFmt numFmtId="171" formatCode="##0.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2" fillId="0" borderId="0" xfId="1"/>
    <xf numFmtId="0" fontId="2" fillId="8" borderId="1" xfId="1" applyFill="1" applyBorder="1"/>
    <xf numFmtId="9" fontId="2" fillId="0" borderId="0" xfId="1" applyNumberFormat="1" applyAlignment="1">
      <alignment horizontal="center"/>
    </xf>
    <xf numFmtId="170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169" fontId="2" fillId="0" borderId="0" xfId="1" applyNumberFormat="1" applyAlignment="1">
      <alignment horizontal="center"/>
    </xf>
    <xf numFmtId="168" fontId="2" fillId="0" borderId="0" xfId="1" applyNumberFormat="1" applyAlignment="1">
      <alignment horizontal="center"/>
    </xf>
    <xf numFmtId="166" fontId="2" fillId="0" borderId="0" xfId="1" applyNumberFormat="1" applyAlignment="1">
      <alignment horizontal="center"/>
    </xf>
    <xf numFmtId="167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166" fontId="2" fillId="0" borderId="0" xfId="1" applyNumberFormat="1" applyAlignment="1" applyProtection="1">
      <alignment horizontal="center"/>
      <protection locked="0"/>
    </xf>
    <xf numFmtId="164" fontId="2" fillId="0" borderId="0" xfId="1" applyNumberFormat="1" applyAlignment="1" applyProtection="1">
      <alignment horizontal="center"/>
      <protection locked="0"/>
    </xf>
    <xf numFmtId="2" fontId="2" fillId="0" borderId="0" xfId="1" applyNumberFormat="1" applyAlignment="1" applyProtection="1">
      <alignment horizontal="center"/>
      <protection locked="0"/>
    </xf>
    <xf numFmtId="1" fontId="2" fillId="0" borderId="0" xfId="1" applyNumberFormat="1" applyAlignment="1" applyProtection="1">
      <alignment horizontal="center"/>
      <protection locked="0"/>
    </xf>
    <xf numFmtId="165" fontId="2" fillId="0" borderId="0" xfId="1" applyNumberFormat="1" applyAlignment="1" applyProtection="1">
      <alignment horizontal="center"/>
      <protection locked="0"/>
    </xf>
    <xf numFmtId="0" fontId="1" fillId="2" borderId="0" xfId="1" applyFont="1" applyFill="1" applyAlignment="1">
      <alignment horizontal="center" vertical="center" wrapText="1"/>
    </xf>
    <xf numFmtId="0" fontId="2" fillId="3" borderId="0" xfId="1" applyFill="1"/>
    <xf numFmtId="0" fontId="2" fillId="3" borderId="0" xfId="1" applyFill="1" applyAlignment="1">
      <alignment horizontal="center"/>
    </xf>
    <xf numFmtId="11" fontId="2" fillId="3" borderId="0" xfId="1" applyNumberFormat="1" applyFill="1" applyAlignment="1">
      <alignment horizontal="center"/>
    </xf>
    <xf numFmtId="169" fontId="2" fillId="3" borderId="0" xfId="1" applyNumberFormat="1" applyFill="1" applyAlignment="1">
      <alignment horizontal="center"/>
    </xf>
    <xf numFmtId="168" fontId="1" fillId="3" borderId="0" xfId="1" applyNumberFormat="1" applyFont="1" applyFill="1" applyAlignment="1">
      <alignment horizontal="center"/>
    </xf>
    <xf numFmtId="0" fontId="2" fillId="7" borderId="0" xfId="1" applyFill="1" applyAlignment="1">
      <alignment horizontal="center"/>
    </xf>
    <xf numFmtId="165" fontId="2" fillId="7" borderId="0" xfId="1" applyNumberFormat="1" applyFill="1" applyAlignment="1">
      <alignment horizontal="center"/>
    </xf>
    <xf numFmtId="0" fontId="2" fillId="6" borderId="0" xfId="1" applyFill="1"/>
    <xf numFmtId="0" fontId="2" fillId="6" borderId="0" xfId="1" applyFill="1" applyAlignment="1">
      <alignment horizontal="center"/>
    </xf>
    <xf numFmtId="9" fontId="2" fillId="6" borderId="0" xfId="1" applyNumberFormat="1" applyFill="1" applyAlignment="1">
      <alignment horizontal="center"/>
    </xf>
    <xf numFmtId="169" fontId="2" fillId="6" borderId="0" xfId="1" applyNumberFormat="1" applyFill="1" applyAlignment="1">
      <alignment horizontal="center"/>
    </xf>
    <xf numFmtId="168" fontId="2" fillId="6" borderId="0" xfId="1" applyNumberFormat="1" applyFill="1" applyAlignment="1">
      <alignment horizontal="center"/>
    </xf>
    <xf numFmtId="166" fontId="2" fillId="6" borderId="0" xfId="1" applyNumberFormat="1" applyFill="1" applyAlignment="1">
      <alignment horizontal="center"/>
    </xf>
    <xf numFmtId="167" fontId="2" fillId="6" borderId="0" xfId="1" applyNumberFormat="1" applyFill="1" applyAlignment="1">
      <alignment horizontal="center"/>
    </xf>
    <xf numFmtId="165" fontId="2" fillId="6" borderId="0" xfId="1" applyNumberFormat="1" applyFill="1" applyAlignment="1">
      <alignment horizontal="center"/>
    </xf>
    <xf numFmtId="0" fontId="2" fillId="6" borderId="0" xfId="1" applyFill="1" applyAlignment="1" applyProtection="1">
      <alignment horizontal="center"/>
      <protection locked="0"/>
    </xf>
    <xf numFmtId="166" fontId="2" fillId="6" borderId="0" xfId="1" applyNumberFormat="1" applyFill="1" applyAlignment="1" applyProtection="1">
      <alignment horizontal="center"/>
      <protection locked="0"/>
    </xf>
    <xf numFmtId="164" fontId="2" fillId="6" borderId="0" xfId="1" applyNumberFormat="1" applyFill="1" applyAlignment="1" applyProtection="1">
      <alignment horizontal="center"/>
      <protection locked="0"/>
    </xf>
    <xf numFmtId="2" fontId="2" fillId="6" borderId="0" xfId="1" applyNumberFormat="1" applyFill="1" applyAlignment="1" applyProtection="1">
      <alignment horizontal="center"/>
      <protection locked="0"/>
    </xf>
    <xf numFmtId="1" fontId="2" fillId="6" borderId="0" xfId="1" applyNumberFormat="1" applyFill="1" applyAlignment="1" applyProtection="1">
      <alignment horizontal="center"/>
      <protection locked="0"/>
    </xf>
    <xf numFmtId="165" fontId="2" fillId="6" borderId="0" xfId="1" applyNumberFormat="1" applyFill="1" applyAlignment="1" applyProtection="1">
      <alignment horizontal="center"/>
      <protection locked="0"/>
    </xf>
    <xf numFmtId="0" fontId="2" fillId="5" borderId="0" xfId="1" applyFill="1"/>
    <xf numFmtId="0" fontId="2" fillId="5" borderId="0" xfId="1" applyFill="1" applyAlignment="1">
      <alignment horizontal="center"/>
    </xf>
    <xf numFmtId="9" fontId="2" fillId="5" borderId="0" xfId="1" applyNumberFormat="1" applyFill="1" applyAlignment="1">
      <alignment horizontal="center"/>
    </xf>
    <xf numFmtId="169" fontId="2" fillId="5" borderId="0" xfId="1" applyNumberFormat="1" applyFill="1" applyAlignment="1">
      <alignment horizontal="center"/>
    </xf>
    <xf numFmtId="168" fontId="2" fillId="5" borderId="0" xfId="1" applyNumberFormat="1" applyFill="1" applyAlignment="1">
      <alignment horizontal="center"/>
    </xf>
    <xf numFmtId="166" fontId="2" fillId="5" borderId="0" xfId="1" applyNumberFormat="1" applyFill="1" applyAlignment="1">
      <alignment horizontal="center"/>
    </xf>
    <xf numFmtId="167" fontId="2" fillId="5" borderId="0" xfId="1" applyNumberFormat="1" applyFill="1" applyAlignment="1">
      <alignment horizontal="center"/>
    </xf>
    <xf numFmtId="165" fontId="2" fillId="5" borderId="0" xfId="1" applyNumberFormat="1" applyFill="1" applyAlignment="1">
      <alignment horizontal="center"/>
    </xf>
    <xf numFmtId="0" fontId="2" fillId="5" borderId="0" xfId="1" applyFill="1" applyAlignment="1" applyProtection="1">
      <alignment horizontal="center"/>
      <protection locked="0"/>
    </xf>
    <xf numFmtId="166" fontId="2" fillId="5" borderId="0" xfId="1" applyNumberFormat="1" applyFill="1" applyAlignment="1" applyProtection="1">
      <alignment horizontal="center"/>
      <protection locked="0"/>
    </xf>
    <xf numFmtId="164" fontId="2" fillId="5" borderId="0" xfId="1" applyNumberFormat="1" applyFill="1" applyAlignment="1" applyProtection="1">
      <alignment horizontal="center"/>
      <protection locked="0"/>
    </xf>
    <xf numFmtId="2" fontId="2" fillId="5" borderId="0" xfId="1" applyNumberFormat="1" applyFill="1" applyAlignment="1" applyProtection="1">
      <alignment horizontal="center"/>
      <protection locked="0"/>
    </xf>
    <xf numFmtId="1" fontId="2" fillId="5" borderId="0" xfId="1" applyNumberFormat="1" applyFill="1" applyAlignment="1" applyProtection="1">
      <alignment horizontal="center"/>
      <protection locked="0"/>
    </xf>
    <xf numFmtId="165" fontId="2" fillId="5" borderId="0" xfId="1" applyNumberFormat="1" applyFill="1" applyAlignment="1" applyProtection="1">
      <alignment horizontal="center"/>
      <protection locked="0"/>
    </xf>
    <xf numFmtId="0" fontId="2" fillId="4" borderId="0" xfId="1" applyFill="1"/>
    <xf numFmtId="0" fontId="2" fillId="4" borderId="0" xfId="1" applyFill="1" applyAlignment="1">
      <alignment horizontal="center"/>
    </xf>
    <xf numFmtId="9" fontId="2" fillId="4" borderId="0" xfId="1" applyNumberFormat="1" applyFill="1" applyAlignment="1">
      <alignment horizontal="center"/>
    </xf>
    <xf numFmtId="169" fontId="2" fillId="4" borderId="0" xfId="1" applyNumberFormat="1" applyFill="1" applyAlignment="1">
      <alignment horizontal="center"/>
    </xf>
    <xf numFmtId="168" fontId="2" fillId="4" borderId="0" xfId="1" applyNumberFormat="1" applyFill="1" applyAlignment="1">
      <alignment horizontal="center"/>
    </xf>
    <xf numFmtId="166" fontId="2" fillId="4" borderId="0" xfId="1" applyNumberFormat="1" applyFill="1" applyAlignment="1">
      <alignment horizontal="center"/>
    </xf>
    <xf numFmtId="167" fontId="2" fillId="4" borderId="0" xfId="1" applyNumberFormat="1" applyFill="1" applyAlignment="1">
      <alignment horizontal="center"/>
    </xf>
    <xf numFmtId="165" fontId="2" fillId="4" borderId="0" xfId="1" applyNumberFormat="1" applyFill="1" applyAlignment="1">
      <alignment horizontal="center"/>
    </xf>
    <xf numFmtId="0" fontId="2" fillId="4" borderId="0" xfId="1" applyFill="1" applyAlignment="1" applyProtection="1">
      <alignment horizontal="center"/>
      <protection locked="0"/>
    </xf>
    <xf numFmtId="166" fontId="2" fillId="4" borderId="0" xfId="1" applyNumberFormat="1" applyFill="1" applyAlignment="1" applyProtection="1">
      <alignment horizontal="center"/>
      <protection locked="0"/>
    </xf>
    <xf numFmtId="164" fontId="2" fillId="4" borderId="0" xfId="1" applyNumberFormat="1" applyFill="1" applyAlignment="1" applyProtection="1">
      <alignment horizontal="center"/>
      <protection locked="0"/>
    </xf>
    <xf numFmtId="2" fontId="2" fillId="4" borderId="0" xfId="1" applyNumberFormat="1" applyFill="1" applyAlignment="1" applyProtection="1">
      <alignment horizontal="center"/>
      <protection locked="0"/>
    </xf>
    <xf numFmtId="1" fontId="2" fillId="4" borderId="0" xfId="1" applyNumberFormat="1" applyFill="1" applyAlignment="1" applyProtection="1">
      <alignment horizontal="center"/>
      <protection locked="0"/>
    </xf>
    <xf numFmtId="165" fontId="2" fillId="4" borderId="0" xfId="1" applyNumberFormat="1" applyFill="1" applyAlignment="1" applyProtection="1">
      <alignment horizontal="center"/>
      <protection locked="0"/>
    </xf>
    <xf numFmtId="9" fontId="2" fillId="3" borderId="0" xfId="1" applyNumberFormat="1" applyFill="1" applyAlignment="1">
      <alignment horizontal="center"/>
    </xf>
    <xf numFmtId="168" fontId="2" fillId="3" borderId="0" xfId="1" applyNumberFormat="1" applyFill="1" applyAlignment="1">
      <alignment horizontal="center"/>
    </xf>
    <xf numFmtId="166" fontId="2" fillId="3" borderId="0" xfId="1" applyNumberFormat="1" applyFill="1" applyAlignment="1">
      <alignment horizontal="center"/>
    </xf>
    <xf numFmtId="167" fontId="2" fillId="3" borderId="0" xfId="1" applyNumberFormat="1" applyFill="1" applyAlignment="1">
      <alignment horizontal="center"/>
    </xf>
    <xf numFmtId="165" fontId="2" fillId="3" borderId="0" xfId="1" applyNumberFormat="1" applyFill="1" applyAlignment="1">
      <alignment horizontal="center"/>
    </xf>
    <xf numFmtId="0" fontId="2" fillId="3" borderId="0" xfId="1" applyFill="1" applyAlignment="1" applyProtection="1">
      <alignment horizontal="center"/>
      <protection locked="0"/>
    </xf>
    <xf numFmtId="166" fontId="2" fillId="3" borderId="0" xfId="1" applyNumberFormat="1" applyFill="1" applyAlignment="1" applyProtection="1">
      <alignment horizontal="center"/>
      <protection locked="0"/>
    </xf>
    <xf numFmtId="164" fontId="2" fillId="3" borderId="0" xfId="1" applyNumberFormat="1" applyFill="1" applyAlignment="1" applyProtection="1">
      <alignment horizontal="center"/>
      <protection locked="0"/>
    </xf>
    <xf numFmtId="2" fontId="2" fillId="3" borderId="0" xfId="1" applyNumberFormat="1" applyFill="1" applyAlignment="1" applyProtection="1">
      <alignment horizontal="center"/>
      <protection locked="0"/>
    </xf>
    <xf numFmtId="1" fontId="2" fillId="3" borderId="0" xfId="1" applyNumberFormat="1" applyFill="1" applyAlignment="1" applyProtection="1">
      <alignment horizontal="center"/>
      <protection locked="0"/>
    </xf>
    <xf numFmtId="165" fontId="2" fillId="3" borderId="0" xfId="1" applyNumberFormat="1" applyFill="1" applyAlignment="1" applyProtection="1">
      <alignment horizontal="center"/>
      <protection locked="0"/>
    </xf>
    <xf numFmtId="171" fontId="2" fillId="0" borderId="0" xfId="1" applyNumberFormat="1" applyAlignment="1">
      <alignment horizontal="center"/>
    </xf>
    <xf numFmtId="0" fontId="2" fillId="0" borderId="0" xfId="1" applyAlignment="1" applyProtection="1">
      <alignment horizontal="center"/>
      <protection locked="0"/>
    </xf>
    <xf numFmtId="171" fontId="2" fillId="6" borderId="0" xfId="1" applyNumberFormat="1" applyFill="1" applyAlignment="1">
      <alignment horizontal="center"/>
    </xf>
    <xf numFmtId="1" fontId="2" fillId="6" borderId="0" xfId="1" applyNumberFormat="1" applyFill="1"/>
    <xf numFmtId="171" fontId="2" fillId="5" borderId="0" xfId="1" applyNumberFormat="1" applyFill="1" applyAlignment="1">
      <alignment horizontal="center"/>
    </xf>
    <xf numFmtId="1" fontId="2" fillId="5" borderId="0" xfId="1" applyNumberFormat="1" applyFill="1"/>
    <xf numFmtId="171" fontId="2" fillId="4" borderId="0" xfId="1" applyNumberFormat="1" applyFill="1" applyAlignment="1">
      <alignment horizontal="center"/>
    </xf>
    <xf numFmtId="1" fontId="2" fillId="4" borderId="0" xfId="1" applyNumberFormat="1" applyFill="1"/>
    <xf numFmtId="171" fontId="2" fillId="3" borderId="0" xfId="1" applyNumberFormat="1" applyFill="1" applyAlignment="1">
      <alignment horizontal="center"/>
    </xf>
    <xf numFmtId="1" fontId="2" fillId="3" borderId="0" xfId="1" applyNumberFormat="1" applyFill="1"/>
    <xf numFmtId="0" fontId="3" fillId="2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2C0934AA-FDA5-4A19-AE22-A6E71A2D3D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Nusselt versus Reynolds Numbers for Hot Fluid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'Plate '!$AT$2:$AT$81</c:f>
              <c:numCache>
                <c:formatCode>General</c:formatCode>
                <c:ptCount val="80"/>
                <c:pt idx="0">
                  <c:v>14008.689491553638</c:v>
                </c:pt>
                <c:pt idx="1">
                  <c:v>13823.945818844297</c:v>
                </c:pt>
                <c:pt idx="2">
                  <c:v>14328.469388875114</c:v>
                </c:pt>
                <c:pt idx="3">
                  <c:v>14109.471430341793</c:v>
                </c:pt>
                <c:pt idx="4">
                  <c:v>13383.642441779581</c:v>
                </c:pt>
                <c:pt idx="5">
                  <c:v>13580.775470617311</c:v>
                </c:pt>
                <c:pt idx="6">
                  <c:v>13966.206783159483</c:v>
                </c:pt>
                <c:pt idx="7">
                  <c:v>14284.963828353026</c:v>
                </c:pt>
                <c:pt idx="8">
                  <c:v>14306.683434798621</c:v>
                </c:pt>
                <c:pt idx="9">
                  <c:v>13496.568907658369</c:v>
                </c:pt>
                <c:pt idx="10">
                  <c:v>13543.477226649105</c:v>
                </c:pt>
                <c:pt idx="11">
                  <c:v>13543.477226649105</c:v>
                </c:pt>
                <c:pt idx="12">
                  <c:v>14132.405852304195</c:v>
                </c:pt>
                <c:pt idx="13">
                  <c:v>13246.90473263489</c:v>
                </c:pt>
                <c:pt idx="14">
                  <c:v>13741.192222658583</c:v>
                </c:pt>
                <c:pt idx="15">
                  <c:v>13831.796372812898</c:v>
                </c:pt>
                <c:pt idx="16">
                  <c:v>13543.477226649105</c:v>
                </c:pt>
                <c:pt idx="17">
                  <c:v>14041.95409810461</c:v>
                </c:pt>
                <c:pt idx="18">
                  <c:v>13559.659216373526</c:v>
                </c:pt>
                <c:pt idx="19">
                  <c:v>13563.71077023368</c:v>
                </c:pt>
                <c:pt idx="20">
                  <c:v>31356.288323001401</c:v>
                </c:pt>
                <c:pt idx="21">
                  <c:v>30705.741021225225</c:v>
                </c:pt>
                <c:pt idx="22">
                  <c:v>31489.854181754832</c:v>
                </c:pt>
                <c:pt idx="23">
                  <c:v>31250.382807847309</c:v>
                </c:pt>
                <c:pt idx="24">
                  <c:v>31443.88363018692</c:v>
                </c:pt>
                <c:pt idx="25">
                  <c:v>30001.386975711222</c:v>
                </c:pt>
                <c:pt idx="26">
                  <c:v>31734.134863696341</c:v>
                </c:pt>
                <c:pt idx="27">
                  <c:v>31535.959467810491</c:v>
                </c:pt>
                <c:pt idx="28">
                  <c:v>30723.702854658601</c:v>
                </c:pt>
                <c:pt idx="29">
                  <c:v>31416.365721426322</c:v>
                </c:pt>
                <c:pt idx="30">
                  <c:v>31367.094435545263</c:v>
                </c:pt>
                <c:pt idx="31">
                  <c:v>32172.824473698653</c:v>
                </c:pt>
                <c:pt idx="32">
                  <c:v>33146.894615418758</c:v>
                </c:pt>
                <c:pt idx="33">
                  <c:v>31699.710123196306</c:v>
                </c:pt>
                <c:pt idx="34">
                  <c:v>31662.082784468879</c:v>
                </c:pt>
                <c:pt idx="35">
                  <c:v>32271.212316125857</c:v>
                </c:pt>
                <c:pt idx="36">
                  <c:v>32261.633051606292</c:v>
                </c:pt>
                <c:pt idx="37">
                  <c:v>31732.162941463062</c:v>
                </c:pt>
                <c:pt idx="38">
                  <c:v>31385.721734280938</c:v>
                </c:pt>
                <c:pt idx="39">
                  <c:v>31521.547736769393</c:v>
                </c:pt>
                <c:pt idx="40">
                  <c:v>18790.371695673181</c:v>
                </c:pt>
                <c:pt idx="41">
                  <c:v>17654.501367654066</c:v>
                </c:pt>
                <c:pt idx="42">
                  <c:v>18353.039941372994</c:v>
                </c:pt>
                <c:pt idx="43">
                  <c:v>17904.703842155948</c:v>
                </c:pt>
                <c:pt idx="44">
                  <c:v>16096.437298579438</c:v>
                </c:pt>
                <c:pt idx="45">
                  <c:v>17466.425137907761</c:v>
                </c:pt>
                <c:pt idx="46">
                  <c:v>17856.985128111563</c:v>
                </c:pt>
                <c:pt idx="47">
                  <c:v>17717.740607517946</c:v>
                </c:pt>
                <c:pt idx="48">
                  <c:v>16580.513283279808</c:v>
                </c:pt>
                <c:pt idx="49">
                  <c:v>17466.425137907761</c:v>
                </c:pt>
                <c:pt idx="50">
                  <c:v>15818.98634064756</c:v>
                </c:pt>
                <c:pt idx="51">
                  <c:v>15813.547207669531</c:v>
                </c:pt>
                <c:pt idx="52">
                  <c:v>15938.274059584131</c:v>
                </c:pt>
                <c:pt idx="53">
                  <c:v>15938.274059584133</c:v>
                </c:pt>
                <c:pt idx="54">
                  <c:v>15808.111841975899</c:v>
                </c:pt>
                <c:pt idx="55">
                  <c:v>15829.875924313681</c:v>
                </c:pt>
                <c:pt idx="56">
                  <c:v>15443.444574471747</c:v>
                </c:pt>
                <c:pt idx="57">
                  <c:v>16043.160275446911</c:v>
                </c:pt>
                <c:pt idx="58">
                  <c:v>15318.455540947793</c:v>
                </c:pt>
                <c:pt idx="59">
                  <c:v>15162.228352098566</c:v>
                </c:pt>
                <c:pt idx="60">
                  <c:v>35937.121873685937</c:v>
                </c:pt>
                <c:pt idx="61">
                  <c:v>36143.034143618941</c:v>
                </c:pt>
                <c:pt idx="62">
                  <c:v>35872.719779069543</c:v>
                </c:pt>
                <c:pt idx="63">
                  <c:v>35984.467605992933</c:v>
                </c:pt>
                <c:pt idx="64">
                  <c:v>36602.563759880031</c:v>
                </c:pt>
                <c:pt idx="65">
                  <c:v>35889.901338103693</c:v>
                </c:pt>
                <c:pt idx="66">
                  <c:v>35996.323660199618</c:v>
                </c:pt>
                <c:pt idx="67">
                  <c:v>36005.877691752728</c:v>
                </c:pt>
                <c:pt idx="68">
                  <c:v>35521.146240244139</c:v>
                </c:pt>
                <c:pt idx="69">
                  <c:v>35831.050961261317</c:v>
                </c:pt>
                <c:pt idx="70">
                  <c:v>36696.550681406297</c:v>
                </c:pt>
                <c:pt idx="71">
                  <c:v>37689.874510694935</c:v>
                </c:pt>
                <c:pt idx="72">
                  <c:v>37664.109050540806</c:v>
                </c:pt>
                <c:pt idx="73">
                  <c:v>36283.531426613044</c:v>
                </c:pt>
                <c:pt idx="74">
                  <c:v>36960.210061785256</c:v>
                </c:pt>
                <c:pt idx="75">
                  <c:v>37324.792752788184</c:v>
                </c:pt>
                <c:pt idx="76">
                  <c:v>36571.765331725524</c:v>
                </c:pt>
                <c:pt idx="77">
                  <c:v>37735.545274105069</c:v>
                </c:pt>
                <c:pt idx="78">
                  <c:v>38203.519880377418</c:v>
                </c:pt>
                <c:pt idx="79">
                  <c:v>37514.83636972322</c:v>
                </c:pt>
              </c:numCache>
            </c:numRef>
          </c:xVal>
          <c:yVal>
            <c:numRef>
              <c:f>'Plate '!$BD$2:$BD$81</c:f>
              <c:numCache>
                <c:formatCode>General</c:formatCode>
                <c:ptCount val="80"/>
                <c:pt idx="0">
                  <c:v>92.297299101919123</c:v>
                </c:pt>
                <c:pt idx="1">
                  <c:v>85.183184023193846</c:v>
                </c:pt>
                <c:pt idx="2">
                  <c:v>87.661337190143229</c:v>
                </c:pt>
                <c:pt idx="3">
                  <c:v>86.62743022515528</c:v>
                </c:pt>
                <c:pt idx="4">
                  <c:v>83.09103041980029</c:v>
                </c:pt>
                <c:pt idx="5">
                  <c:v>84.078287705175299</c:v>
                </c:pt>
                <c:pt idx="6">
                  <c:v>86.02107857079568</c:v>
                </c:pt>
                <c:pt idx="7">
                  <c:v>87.548260039207577</c:v>
                </c:pt>
                <c:pt idx="8">
                  <c:v>87.604741714487133</c:v>
                </c:pt>
                <c:pt idx="9">
                  <c:v>83.622804232886409</c:v>
                </c:pt>
                <c:pt idx="10">
                  <c:v>84.444591655277677</c:v>
                </c:pt>
                <c:pt idx="11">
                  <c:v>84.444591655277677</c:v>
                </c:pt>
                <c:pt idx="12">
                  <c:v>87.379411310751152</c:v>
                </c:pt>
                <c:pt idx="13">
                  <c:v>82.962002231056886</c:v>
                </c:pt>
                <c:pt idx="14">
                  <c:v>85.429374475914756</c:v>
                </c:pt>
                <c:pt idx="15">
                  <c:v>85.898904685251907</c:v>
                </c:pt>
                <c:pt idx="16">
                  <c:v>84.444591655277677</c:v>
                </c:pt>
                <c:pt idx="17">
                  <c:v>86.912287031895133</c:v>
                </c:pt>
                <c:pt idx="18">
                  <c:v>84.487487383633308</c:v>
                </c:pt>
                <c:pt idx="19">
                  <c:v>84.498221917289555</c:v>
                </c:pt>
                <c:pt idx="20">
                  <c:v>166.61008734560792</c:v>
                </c:pt>
                <c:pt idx="21">
                  <c:v>163.78531510196535</c:v>
                </c:pt>
                <c:pt idx="22">
                  <c:v>167.10458143098401</c:v>
                </c:pt>
                <c:pt idx="23">
                  <c:v>166.1778903076642</c:v>
                </c:pt>
                <c:pt idx="24">
                  <c:v>167.00055407370161</c:v>
                </c:pt>
                <c:pt idx="25">
                  <c:v>160.82539952922392</c:v>
                </c:pt>
                <c:pt idx="26">
                  <c:v>168.23265474591312</c:v>
                </c:pt>
                <c:pt idx="27">
                  <c:v>167.20881022086672</c:v>
                </c:pt>
                <c:pt idx="28">
                  <c:v>163.82614403998321</c:v>
                </c:pt>
                <c:pt idx="29">
                  <c:v>166.93823405931127</c:v>
                </c:pt>
                <c:pt idx="30">
                  <c:v>165.66789470825594</c:v>
                </c:pt>
                <c:pt idx="31">
                  <c:v>169.02608308429888</c:v>
                </c:pt>
                <c:pt idx="32">
                  <c:v>172.93440572061519</c:v>
                </c:pt>
                <c:pt idx="33">
                  <c:v>166.99751155793027</c:v>
                </c:pt>
                <c:pt idx="34">
                  <c:v>166.91313115151982</c:v>
                </c:pt>
                <c:pt idx="35">
                  <c:v>169.4394762494947</c:v>
                </c:pt>
                <c:pt idx="36">
                  <c:v>169.41807147829599</c:v>
                </c:pt>
                <c:pt idx="37">
                  <c:v>167.26433821437763</c:v>
                </c:pt>
                <c:pt idx="38">
                  <c:v>165.70975369870061</c:v>
                </c:pt>
                <c:pt idx="39">
                  <c:v>166.20922354309559</c:v>
                </c:pt>
                <c:pt idx="40">
                  <c:v>99.765319104858435</c:v>
                </c:pt>
                <c:pt idx="41">
                  <c:v>94.896686639900253</c:v>
                </c:pt>
                <c:pt idx="42">
                  <c:v>98.019749793865259</c:v>
                </c:pt>
                <c:pt idx="43">
                  <c:v>96.241675239271714</c:v>
                </c:pt>
                <c:pt idx="44">
                  <c:v>88.475123159474919</c:v>
                </c:pt>
                <c:pt idx="45">
                  <c:v>94.477481225043192</c:v>
                </c:pt>
                <c:pt idx="46">
                  <c:v>96.135519089763832</c:v>
                </c:pt>
                <c:pt idx="47">
                  <c:v>95.563435972090943</c:v>
                </c:pt>
                <c:pt idx="48">
                  <c:v>90.637366596745565</c:v>
                </c:pt>
                <c:pt idx="49">
                  <c:v>94.477481225043192</c:v>
                </c:pt>
                <c:pt idx="50">
                  <c:v>90.660753718023486</c:v>
                </c:pt>
                <c:pt idx="51">
                  <c:v>90.647698811998936</c:v>
                </c:pt>
                <c:pt idx="52">
                  <c:v>91.195303853501642</c:v>
                </c:pt>
                <c:pt idx="53">
                  <c:v>91.195303853501642</c:v>
                </c:pt>
                <c:pt idx="54">
                  <c:v>90.634649815404686</c:v>
                </c:pt>
                <c:pt idx="55">
                  <c:v>90.686881276664451</c:v>
                </c:pt>
                <c:pt idx="56">
                  <c:v>88.759521330779165</c:v>
                </c:pt>
                <c:pt idx="57">
                  <c:v>91.446022919543879</c:v>
                </c:pt>
                <c:pt idx="58">
                  <c:v>88.207625070361843</c:v>
                </c:pt>
                <c:pt idx="59">
                  <c:v>87.579365940974327</c:v>
                </c:pt>
                <c:pt idx="60">
                  <c:v>177.74021715496517</c:v>
                </c:pt>
                <c:pt idx="61">
                  <c:v>178.5767473603255</c:v>
                </c:pt>
                <c:pt idx="62">
                  <c:v>177.19714643392595</c:v>
                </c:pt>
                <c:pt idx="63">
                  <c:v>177.83872540703595</c:v>
                </c:pt>
                <c:pt idx="64">
                  <c:v>180.34583102547029</c:v>
                </c:pt>
                <c:pt idx="65">
                  <c:v>177.64187993674079</c:v>
                </c:pt>
                <c:pt idx="66">
                  <c:v>177.86337925423922</c:v>
                </c:pt>
                <c:pt idx="67">
                  <c:v>177.67859513934863</c:v>
                </c:pt>
                <c:pt idx="68">
                  <c:v>175.8505232078291</c:v>
                </c:pt>
                <c:pt idx="69">
                  <c:v>177.51919815110352</c:v>
                </c:pt>
                <c:pt idx="70">
                  <c:v>178.27094929414685</c:v>
                </c:pt>
                <c:pt idx="71">
                  <c:v>181.95521782480833</c:v>
                </c:pt>
                <c:pt idx="72">
                  <c:v>181.90308503948245</c:v>
                </c:pt>
                <c:pt idx="73">
                  <c:v>176.80163075036862</c:v>
                </c:pt>
                <c:pt idx="74">
                  <c:v>179.22496611987421</c:v>
                </c:pt>
                <c:pt idx="75">
                  <c:v>180.59088644357433</c:v>
                </c:pt>
                <c:pt idx="76">
                  <c:v>178.01656826162724</c:v>
                </c:pt>
                <c:pt idx="77">
                  <c:v>182.46325916972239</c:v>
                </c:pt>
                <c:pt idx="78">
                  <c:v>184.03213523400606</c:v>
                </c:pt>
                <c:pt idx="79">
                  <c:v>181.18433686805056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3-4E2C-A2B5-1A8E878C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57615"/>
        <c:axId val="1049658575"/>
      </c:scatterChart>
      <c:valAx>
        <c:axId val="104965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Reynold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58575"/>
        <c:crosses val="autoZero"/>
        <c:crossBetween val="midCat"/>
      </c:valAx>
      <c:valAx>
        <c:axId val="10496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Nusselt</a:t>
                </a:r>
                <a:r>
                  <a:rPr lang="en-ZA" baseline="0"/>
                  <a:t> Numbers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5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374300087489064"/>
          <c:y val="3.7114358617490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Nusselt versus Reynolds Numbers for Cold Fluid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'Plate '!$AU$2:$AU$81</c:f>
              <c:numCache>
                <c:formatCode>General</c:formatCode>
                <c:ptCount val="80"/>
                <c:pt idx="0">
                  <c:v>16577.315072697889</c:v>
                </c:pt>
                <c:pt idx="1">
                  <c:v>16492.626996563125</c:v>
                </c:pt>
                <c:pt idx="2">
                  <c:v>16225.17899121345</c:v>
                </c:pt>
                <c:pt idx="3">
                  <c:v>15333.685640047874</c:v>
                </c:pt>
                <c:pt idx="4">
                  <c:v>17027.523007262465</c:v>
                </c:pt>
                <c:pt idx="5">
                  <c:v>16488.18972284468</c:v>
                </c:pt>
                <c:pt idx="6">
                  <c:v>16483.754823992454</c:v>
                </c:pt>
                <c:pt idx="7">
                  <c:v>15503.639672295605</c:v>
                </c:pt>
                <c:pt idx="8">
                  <c:v>16933.81647211075</c:v>
                </c:pt>
                <c:pt idx="9">
                  <c:v>16127.349314284511</c:v>
                </c:pt>
                <c:pt idx="10">
                  <c:v>20048.054411988</c:v>
                </c:pt>
                <c:pt idx="11">
                  <c:v>19518.149890085231</c:v>
                </c:pt>
                <c:pt idx="12">
                  <c:v>20495.106197048935</c:v>
                </c:pt>
                <c:pt idx="13">
                  <c:v>20489.641513573639</c:v>
                </c:pt>
                <c:pt idx="14">
                  <c:v>20577.958933890768</c:v>
                </c:pt>
                <c:pt idx="15">
                  <c:v>20760.129122010778</c:v>
                </c:pt>
                <c:pt idx="16">
                  <c:v>18718.302163696375</c:v>
                </c:pt>
                <c:pt idx="17">
                  <c:v>20754.593774525019</c:v>
                </c:pt>
                <c:pt idx="18">
                  <c:v>21284.498296427788</c:v>
                </c:pt>
                <c:pt idx="19">
                  <c:v>20406.765222061658</c:v>
                </c:pt>
                <c:pt idx="20">
                  <c:v>20085.542422482587</c:v>
                </c:pt>
                <c:pt idx="21">
                  <c:v>19908.577291006972</c:v>
                </c:pt>
                <c:pt idx="22">
                  <c:v>20361.868487282543</c:v>
                </c:pt>
                <c:pt idx="23">
                  <c:v>20174.024988220397</c:v>
                </c:pt>
                <c:pt idx="24">
                  <c:v>20787.849948445273</c:v>
                </c:pt>
                <c:pt idx="25">
                  <c:v>20876.308884396109</c:v>
                </c:pt>
                <c:pt idx="26">
                  <c:v>19825.390609956721</c:v>
                </c:pt>
                <c:pt idx="27">
                  <c:v>20013.097886710773</c:v>
                </c:pt>
                <c:pt idx="28">
                  <c:v>21341.400843793344</c:v>
                </c:pt>
                <c:pt idx="29">
                  <c:v>20527.955251171628</c:v>
                </c:pt>
                <c:pt idx="30">
                  <c:v>16260.185875232793</c:v>
                </c:pt>
                <c:pt idx="31">
                  <c:v>14477.256669200302</c:v>
                </c:pt>
                <c:pt idx="32">
                  <c:v>14663.899821376586</c:v>
                </c:pt>
                <c:pt idx="33">
                  <c:v>15102.817142560809</c:v>
                </c:pt>
                <c:pt idx="34">
                  <c:v>15817.74339782996</c:v>
                </c:pt>
                <c:pt idx="35">
                  <c:v>15545.452430167616</c:v>
                </c:pt>
                <c:pt idx="36">
                  <c:v>15370.91448828674</c:v>
                </c:pt>
                <c:pt idx="37">
                  <c:v>15992.16083333335</c:v>
                </c:pt>
                <c:pt idx="38">
                  <c:v>15460.280270195386</c:v>
                </c:pt>
                <c:pt idx="39">
                  <c:v>15553.841926222753</c:v>
                </c:pt>
                <c:pt idx="40">
                  <c:v>11004.207847820486</c:v>
                </c:pt>
                <c:pt idx="41">
                  <c:v>11304.331248947463</c:v>
                </c:pt>
                <c:pt idx="42">
                  <c:v>11301.064140819031</c:v>
                </c:pt>
                <c:pt idx="43">
                  <c:v>10430.07526445594</c:v>
                </c:pt>
                <c:pt idx="44">
                  <c:v>10131.306773240802</c:v>
                </c:pt>
                <c:pt idx="45">
                  <c:v>11370.545920251678</c:v>
                </c:pt>
                <c:pt idx="46">
                  <c:v>11080.698416295865</c:v>
                </c:pt>
                <c:pt idx="47">
                  <c:v>10128.385441568722</c:v>
                </c:pt>
                <c:pt idx="48">
                  <c:v>10895.933699523126</c:v>
                </c:pt>
                <c:pt idx="49">
                  <c:v>10695.522235104027</c:v>
                </c:pt>
                <c:pt idx="50">
                  <c:v>21238.140889141632</c:v>
                </c:pt>
                <c:pt idx="51">
                  <c:v>20330.528030631307</c:v>
                </c:pt>
                <c:pt idx="52">
                  <c:v>20875.095745737501</c:v>
                </c:pt>
                <c:pt idx="53">
                  <c:v>21334.746642496477</c:v>
                </c:pt>
                <c:pt idx="54">
                  <c:v>21607.105110273027</c:v>
                </c:pt>
                <c:pt idx="55">
                  <c:v>21867.479473287989</c:v>
                </c:pt>
                <c:pt idx="56">
                  <c:v>22073.132652045428</c:v>
                </c:pt>
                <c:pt idx="57">
                  <c:v>19989.38649449034</c:v>
                </c:pt>
                <c:pt idx="58">
                  <c:v>21539.928007524268</c:v>
                </c:pt>
                <c:pt idx="59">
                  <c:v>21522.216381549853</c:v>
                </c:pt>
                <c:pt idx="60">
                  <c:v>20961.226769364257</c:v>
                </c:pt>
                <c:pt idx="61">
                  <c:v>20124.398311961992</c:v>
                </c:pt>
                <c:pt idx="62">
                  <c:v>21046.573377096818</c:v>
                </c:pt>
                <c:pt idx="63">
                  <c:v>20955.462669836659</c:v>
                </c:pt>
                <c:pt idx="64">
                  <c:v>20955.462669836659</c:v>
                </c:pt>
                <c:pt idx="65">
                  <c:v>20483.01128496907</c:v>
                </c:pt>
                <c:pt idx="66">
                  <c:v>20408.798426275698</c:v>
                </c:pt>
                <c:pt idx="67">
                  <c:v>21058.154873984357</c:v>
                </c:pt>
                <c:pt idx="68">
                  <c:v>20693.51149954307</c:v>
                </c:pt>
                <c:pt idx="69">
                  <c:v>20027.833256414204</c:v>
                </c:pt>
                <c:pt idx="70">
                  <c:v>14948.331582607794</c:v>
                </c:pt>
                <c:pt idx="71">
                  <c:v>15695.503722579524</c:v>
                </c:pt>
                <c:pt idx="72">
                  <c:v>15421.207561599767</c:v>
                </c:pt>
                <c:pt idx="73">
                  <c:v>15867.906953746255</c:v>
                </c:pt>
                <c:pt idx="74">
                  <c:v>16155.339722818357</c:v>
                </c:pt>
                <c:pt idx="75">
                  <c:v>15699.904083797355</c:v>
                </c:pt>
                <c:pt idx="76">
                  <c:v>15222.606524697892</c:v>
                </c:pt>
                <c:pt idx="77">
                  <c:v>15024.33896316559</c:v>
                </c:pt>
                <c:pt idx="78">
                  <c:v>15872.351925142317</c:v>
                </c:pt>
                <c:pt idx="79">
                  <c:v>15978.600605994938</c:v>
                </c:pt>
              </c:numCache>
            </c:numRef>
          </c:xVal>
          <c:yVal>
            <c:numRef>
              <c:f>'Plate '!$BE$2:$BE$81</c:f>
              <c:numCache>
                <c:formatCode>General</c:formatCode>
                <c:ptCount val="80"/>
                <c:pt idx="0">
                  <c:v>111.81025994842349</c:v>
                </c:pt>
                <c:pt idx="1">
                  <c:v>111.3037751735459</c:v>
                </c:pt>
                <c:pt idx="2">
                  <c:v>109.73720631062371</c:v>
                </c:pt>
                <c:pt idx="3">
                  <c:v>104.49010601711096</c:v>
                </c:pt>
                <c:pt idx="4">
                  <c:v>114.42684818920232</c:v>
                </c:pt>
                <c:pt idx="5">
                  <c:v>111.28889315043378</c:v>
                </c:pt>
                <c:pt idx="6">
                  <c:v>111.2740167202208</c:v>
                </c:pt>
                <c:pt idx="7">
                  <c:v>105.51448293033677</c:v>
                </c:pt>
                <c:pt idx="8">
                  <c:v>113.8920228451577</c:v>
                </c:pt>
                <c:pt idx="9">
                  <c:v>109.18505600153686</c:v>
                </c:pt>
                <c:pt idx="10">
                  <c:v>132.28854098677658</c:v>
                </c:pt>
                <c:pt idx="11">
                  <c:v>129.25159459088474</c:v>
                </c:pt>
                <c:pt idx="12">
                  <c:v>134.82905463749768</c:v>
                </c:pt>
                <c:pt idx="13">
                  <c:v>134.81117418518107</c:v>
                </c:pt>
                <c:pt idx="14">
                  <c:v>135.31482866716792</c:v>
                </c:pt>
                <c:pt idx="15">
                  <c:v>136.33935752660585</c:v>
                </c:pt>
                <c:pt idx="16">
                  <c:v>124.65893595283627</c:v>
                </c:pt>
                <c:pt idx="17">
                  <c:v>136.32127678438215</c:v>
                </c:pt>
                <c:pt idx="18">
                  <c:v>139.33383296078486</c:v>
                </c:pt>
                <c:pt idx="19">
                  <c:v>134.32504449915393</c:v>
                </c:pt>
                <c:pt idx="20">
                  <c:v>132.41149940589997</c:v>
                </c:pt>
                <c:pt idx="21">
                  <c:v>131.39944427832825</c:v>
                </c:pt>
                <c:pt idx="22">
                  <c:v>133.96295622150845</c:v>
                </c:pt>
                <c:pt idx="23">
                  <c:v>132.91708176160174</c:v>
                </c:pt>
                <c:pt idx="24">
                  <c:v>136.42986231265283</c:v>
                </c:pt>
                <c:pt idx="25">
                  <c:v>136.93305921582387</c:v>
                </c:pt>
                <c:pt idx="26">
                  <c:v>130.91035846503888</c:v>
                </c:pt>
                <c:pt idx="27">
                  <c:v>131.95821380524214</c:v>
                </c:pt>
                <c:pt idx="28">
                  <c:v>139.51894623665015</c:v>
                </c:pt>
                <c:pt idx="29">
                  <c:v>134.93647731978618</c:v>
                </c:pt>
                <c:pt idx="30">
                  <c:v>109.85478576733682</c:v>
                </c:pt>
                <c:pt idx="31">
                  <c:v>99.32185095710652</c:v>
                </c:pt>
                <c:pt idx="32">
                  <c:v>100.41101173139751</c:v>
                </c:pt>
                <c:pt idx="33">
                  <c:v>103.03222052639089</c:v>
                </c:pt>
                <c:pt idx="34">
                  <c:v>107.24773001890431</c:v>
                </c:pt>
                <c:pt idx="35">
                  <c:v>105.65578628433499</c:v>
                </c:pt>
                <c:pt idx="36">
                  <c:v>104.61608180041114</c:v>
                </c:pt>
                <c:pt idx="37">
                  <c:v>108.28309636375269</c:v>
                </c:pt>
                <c:pt idx="38">
                  <c:v>105.14321640333806</c:v>
                </c:pt>
                <c:pt idx="39">
                  <c:v>105.68411086633213</c:v>
                </c:pt>
                <c:pt idx="40">
                  <c:v>76.335325146383852</c:v>
                </c:pt>
                <c:pt idx="41">
                  <c:v>78.103421329099888</c:v>
                </c:pt>
                <c:pt idx="42">
                  <c:v>78.092275482428875</c:v>
                </c:pt>
                <c:pt idx="43">
                  <c:v>72.870090000771341</c:v>
                </c:pt>
                <c:pt idx="44">
                  <c:v>71.087485335447965</c:v>
                </c:pt>
                <c:pt idx="45">
                  <c:v>78.576074977785112</c:v>
                </c:pt>
                <c:pt idx="46">
                  <c:v>76.84477754885431</c:v>
                </c:pt>
                <c:pt idx="47">
                  <c:v>71.077362006066139</c:v>
                </c:pt>
                <c:pt idx="48">
                  <c:v>75.716315567003335</c:v>
                </c:pt>
                <c:pt idx="49">
                  <c:v>74.531435909325197</c:v>
                </c:pt>
                <c:pt idx="50">
                  <c:v>137.6722429833498</c:v>
                </c:pt>
                <c:pt idx="51">
                  <c:v>132.5565741940886</c:v>
                </c:pt>
                <c:pt idx="52">
                  <c:v>135.62953523090562</c:v>
                </c:pt>
                <c:pt idx="53">
                  <c:v>138.20097552122073</c:v>
                </c:pt>
                <c:pt idx="54">
                  <c:v>139.72930334858202</c:v>
                </c:pt>
                <c:pt idx="55">
                  <c:v>141.21668028826875</c:v>
                </c:pt>
                <c:pt idx="56">
                  <c:v>142.30954159104965</c:v>
                </c:pt>
                <c:pt idx="57">
                  <c:v>130.57286125148369</c:v>
                </c:pt>
                <c:pt idx="58">
                  <c:v>139.29590954942822</c:v>
                </c:pt>
                <c:pt idx="59">
                  <c:v>139.23907674429796</c:v>
                </c:pt>
                <c:pt idx="60">
                  <c:v>135.90683426394574</c:v>
                </c:pt>
                <c:pt idx="61">
                  <c:v>131.23017108949125</c:v>
                </c:pt>
                <c:pt idx="62">
                  <c:v>136.40038981096825</c:v>
                </c:pt>
                <c:pt idx="63">
                  <c:v>135.88829787134915</c:v>
                </c:pt>
                <c:pt idx="64">
                  <c:v>135.88829787134915</c:v>
                </c:pt>
                <c:pt idx="65">
                  <c:v>133.26884794504613</c:v>
                </c:pt>
                <c:pt idx="66">
                  <c:v>132.80947404431822</c:v>
                </c:pt>
                <c:pt idx="67">
                  <c:v>136.4376094697113</c:v>
                </c:pt>
                <c:pt idx="68">
                  <c:v>134.38689915157255</c:v>
                </c:pt>
                <c:pt idx="69">
                  <c:v>130.69737483609961</c:v>
                </c:pt>
                <c:pt idx="70">
                  <c:v>100.6802301036891</c:v>
                </c:pt>
                <c:pt idx="71">
                  <c:v>105.01810962297635</c:v>
                </c:pt>
                <c:pt idx="72">
                  <c:v>103.41425554812048</c:v>
                </c:pt>
                <c:pt idx="73">
                  <c:v>106.05064669892838</c:v>
                </c:pt>
                <c:pt idx="74">
                  <c:v>107.69173235799465</c:v>
                </c:pt>
                <c:pt idx="75">
                  <c:v>105.03268567665732</c:v>
                </c:pt>
                <c:pt idx="76">
                  <c:v>102.29055566989179</c:v>
                </c:pt>
                <c:pt idx="77">
                  <c:v>101.1660517186335</c:v>
                </c:pt>
                <c:pt idx="78">
                  <c:v>106.0653548509511</c:v>
                </c:pt>
                <c:pt idx="79">
                  <c:v>106.64729907137678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0-4D5A-991A-6F387F9E3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57615"/>
        <c:axId val="1049658575"/>
      </c:scatterChart>
      <c:valAx>
        <c:axId val="104965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Reynold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58575"/>
        <c:crosses val="autoZero"/>
        <c:crossBetween val="midCat"/>
      </c:valAx>
      <c:valAx>
        <c:axId val="10496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Nusselt</a:t>
                </a:r>
                <a:r>
                  <a:rPr lang="en-ZA" baseline="0"/>
                  <a:t> Numbers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5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 Transfer Coefficient versus Reynolds Numbers for Hot Fluid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'Plate '!$AT$2:$AT$81</c:f>
              <c:numCache>
                <c:formatCode>General</c:formatCode>
                <c:ptCount val="80"/>
                <c:pt idx="0">
                  <c:v>14008.689491553638</c:v>
                </c:pt>
                <c:pt idx="1">
                  <c:v>13823.945818844297</c:v>
                </c:pt>
                <c:pt idx="2">
                  <c:v>14328.469388875114</c:v>
                </c:pt>
                <c:pt idx="3">
                  <c:v>14109.471430341793</c:v>
                </c:pt>
                <c:pt idx="4">
                  <c:v>13383.642441779581</c:v>
                </c:pt>
                <c:pt idx="5">
                  <c:v>13580.775470617311</c:v>
                </c:pt>
                <c:pt idx="6">
                  <c:v>13966.206783159483</c:v>
                </c:pt>
                <c:pt idx="7">
                  <c:v>14284.963828353026</c:v>
                </c:pt>
                <c:pt idx="8">
                  <c:v>14306.683434798621</c:v>
                </c:pt>
                <c:pt idx="9">
                  <c:v>13496.568907658369</c:v>
                </c:pt>
                <c:pt idx="10">
                  <c:v>13543.477226649105</c:v>
                </c:pt>
                <c:pt idx="11">
                  <c:v>13543.477226649105</c:v>
                </c:pt>
                <c:pt idx="12">
                  <c:v>14132.405852304195</c:v>
                </c:pt>
                <c:pt idx="13">
                  <c:v>13246.90473263489</c:v>
                </c:pt>
                <c:pt idx="14">
                  <c:v>13741.192222658583</c:v>
                </c:pt>
                <c:pt idx="15">
                  <c:v>13831.796372812898</c:v>
                </c:pt>
                <c:pt idx="16">
                  <c:v>13543.477226649105</c:v>
                </c:pt>
                <c:pt idx="17">
                  <c:v>14041.95409810461</c:v>
                </c:pt>
                <c:pt idx="18">
                  <c:v>13559.659216373526</c:v>
                </c:pt>
                <c:pt idx="19">
                  <c:v>13563.71077023368</c:v>
                </c:pt>
                <c:pt idx="20">
                  <c:v>31356.288323001401</c:v>
                </c:pt>
                <c:pt idx="21">
                  <c:v>30705.741021225225</c:v>
                </c:pt>
                <c:pt idx="22">
                  <c:v>31489.854181754832</c:v>
                </c:pt>
                <c:pt idx="23">
                  <c:v>31250.382807847309</c:v>
                </c:pt>
                <c:pt idx="24">
                  <c:v>31443.88363018692</c:v>
                </c:pt>
                <c:pt idx="25">
                  <c:v>30001.386975711222</c:v>
                </c:pt>
                <c:pt idx="26">
                  <c:v>31734.134863696341</c:v>
                </c:pt>
                <c:pt idx="27">
                  <c:v>31535.959467810491</c:v>
                </c:pt>
                <c:pt idx="28">
                  <c:v>30723.702854658601</c:v>
                </c:pt>
                <c:pt idx="29">
                  <c:v>31416.365721426322</c:v>
                </c:pt>
                <c:pt idx="30">
                  <c:v>31367.094435545263</c:v>
                </c:pt>
                <c:pt idx="31">
                  <c:v>32172.824473698653</c:v>
                </c:pt>
                <c:pt idx="32">
                  <c:v>33146.894615418758</c:v>
                </c:pt>
                <c:pt idx="33">
                  <c:v>31699.710123196306</c:v>
                </c:pt>
                <c:pt idx="34">
                  <c:v>31662.082784468879</c:v>
                </c:pt>
                <c:pt idx="35">
                  <c:v>32271.212316125857</c:v>
                </c:pt>
                <c:pt idx="36">
                  <c:v>32261.633051606292</c:v>
                </c:pt>
                <c:pt idx="37">
                  <c:v>31732.162941463062</c:v>
                </c:pt>
                <c:pt idx="38">
                  <c:v>31385.721734280938</c:v>
                </c:pt>
                <c:pt idx="39">
                  <c:v>31521.547736769393</c:v>
                </c:pt>
                <c:pt idx="40">
                  <c:v>18790.371695673181</c:v>
                </c:pt>
                <c:pt idx="41">
                  <c:v>17654.501367654066</c:v>
                </c:pt>
                <c:pt idx="42">
                  <c:v>18353.039941372994</c:v>
                </c:pt>
                <c:pt idx="43">
                  <c:v>17904.703842155948</c:v>
                </c:pt>
                <c:pt idx="44">
                  <c:v>16096.437298579438</c:v>
                </c:pt>
                <c:pt idx="45">
                  <c:v>17466.425137907761</c:v>
                </c:pt>
                <c:pt idx="46">
                  <c:v>17856.985128111563</c:v>
                </c:pt>
                <c:pt idx="47">
                  <c:v>17717.740607517946</c:v>
                </c:pt>
                <c:pt idx="48">
                  <c:v>16580.513283279808</c:v>
                </c:pt>
                <c:pt idx="49">
                  <c:v>17466.425137907761</c:v>
                </c:pt>
                <c:pt idx="50">
                  <c:v>15818.98634064756</c:v>
                </c:pt>
                <c:pt idx="51">
                  <c:v>15813.547207669531</c:v>
                </c:pt>
                <c:pt idx="52">
                  <c:v>15938.274059584131</c:v>
                </c:pt>
                <c:pt idx="53">
                  <c:v>15938.274059584133</c:v>
                </c:pt>
                <c:pt idx="54">
                  <c:v>15808.111841975899</c:v>
                </c:pt>
                <c:pt idx="55">
                  <c:v>15829.875924313681</c:v>
                </c:pt>
                <c:pt idx="56">
                  <c:v>15443.444574471747</c:v>
                </c:pt>
                <c:pt idx="57">
                  <c:v>16043.160275446911</c:v>
                </c:pt>
                <c:pt idx="58">
                  <c:v>15318.455540947793</c:v>
                </c:pt>
                <c:pt idx="59">
                  <c:v>15162.228352098566</c:v>
                </c:pt>
                <c:pt idx="60">
                  <c:v>35937.121873685937</c:v>
                </c:pt>
                <c:pt idx="61">
                  <c:v>36143.034143618941</c:v>
                </c:pt>
                <c:pt idx="62">
                  <c:v>35872.719779069543</c:v>
                </c:pt>
                <c:pt idx="63">
                  <c:v>35984.467605992933</c:v>
                </c:pt>
                <c:pt idx="64">
                  <c:v>36602.563759880031</c:v>
                </c:pt>
                <c:pt idx="65">
                  <c:v>35889.901338103693</c:v>
                </c:pt>
                <c:pt idx="66">
                  <c:v>35996.323660199618</c:v>
                </c:pt>
                <c:pt idx="67">
                  <c:v>36005.877691752728</c:v>
                </c:pt>
                <c:pt idx="68">
                  <c:v>35521.146240244139</c:v>
                </c:pt>
                <c:pt idx="69">
                  <c:v>35831.050961261317</c:v>
                </c:pt>
                <c:pt idx="70">
                  <c:v>36696.550681406297</c:v>
                </c:pt>
                <c:pt idx="71">
                  <c:v>37689.874510694935</c:v>
                </c:pt>
                <c:pt idx="72">
                  <c:v>37664.109050540806</c:v>
                </c:pt>
                <c:pt idx="73">
                  <c:v>36283.531426613044</c:v>
                </c:pt>
                <c:pt idx="74">
                  <c:v>36960.210061785256</c:v>
                </c:pt>
                <c:pt idx="75">
                  <c:v>37324.792752788184</c:v>
                </c:pt>
                <c:pt idx="76">
                  <c:v>36571.765331725524</c:v>
                </c:pt>
                <c:pt idx="77">
                  <c:v>37735.545274105069</c:v>
                </c:pt>
                <c:pt idx="78">
                  <c:v>38203.519880377418</c:v>
                </c:pt>
                <c:pt idx="79">
                  <c:v>37514.83636972322</c:v>
                </c:pt>
              </c:numCache>
            </c:numRef>
          </c:xVal>
          <c:yVal>
            <c:numRef>
              <c:f>'Plate '!$BJ$2:$BJ$81</c:f>
              <c:numCache>
                <c:formatCode>General</c:formatCode>
                <c:ptCount val="80"/>
                <c:pt idx="0">
                  <c:v>2545.6577718415861</c:v>
                </c:pt>
                <c:pt idx="1">
                  <c:v>2520.1987282135392</c:v>
                </c:pt>
                <c:pt idx="2">
                  <c:v>2551.7521537079829</c:v>
                </c:pt>
                <c:pt idx="3">
                  <c:v>2509.5004217801679</c:v>
                </c:pt>
                <c:pt idx="4">
                  <c:v>2397.990880554757</c:v>
                </c:pt>
                <c:pt idx="5">
                  <c:v>2449.0863539350653</c:v>
                </c:pt>
                <c:pt idx="6">
                  <c:v>2509.8604694744959</c:v>
                </c:pt>
                <c:pt idx="7">
                  <c:v>2601.1775972587366</c:v>
                </c:pt>
                <c:pt idx="8">
                  <c:v>2591.4655920298533</c:v>
                </c:pt>
                <c:pt idx="9">
                  <c:v>2430.6882804474426</c:v>
                </c:pt>
                <c:pt idx="10">
                  <c:v>2685.6251561870372</c:v>
                </c:pt>
                <c:pt idx="11">
                  <c:v>2685.6251561870372</c:v>
                </c:pt>
                <c:pt idx="12">
                  <c:v>2765.7295903509198</c:v>
                </c:pt>
                <c:pt idx="13">
                  <c:v>2626.8158461975404</c:v>
                </c:pt>
                <c:pt idx="14">
                  <c:v>2724.8313628467026</c:v>
                </c:pt>
                <c:pt idx="15">
                  <c:v>2733.0295679384967</c:v>
                </c:pt>
                <c:pt idx="16">
                  <c:v>2712.1228029005433</c:v>
                </c:pt>
                <c:pt idx="17">
                  <c:v>2759.7317044215984</c:v>
                </c:pt>
                <c:pt idx="18">
                  <c:v>2690.6023284356452</c:v>
                </c:pt>
                <c:pt idx="19">
                  <c:v>2673.6588691633724</c:v>
                </c:pt>
                <c:pt idx="20">
                  <c:v>3342.380937371609</c:v>
                </c:pt>
                <c:pt idx="21">
                  <c:v>3540.2641733142405</c:v>
                </c:pt>
                <c:pt idx="22">
                  <c:v>3420.3542022506704</c:v>
                </c:pt>
                <c:pt idx="23">
                  <c:v>3385.6386899959371</c:v>
                </c:pt>
                <c:pt idx="24">
                  <c:v>3485.8153461433267</c:v>
                </c:pt>
                <c:pt idx="25">
                  <c:v>3270.8820293467893</c:v>
                </c:pt>
                <c:pt idx="26">
                  <c:v>3449.5841899673919</c:v>
                </c:pt>
                <c:pt idx="27">
                  <c:v>3597.7964727235731</c:v>
                </c:pt>
                <c:pt idx="28">
                  <c:v>3293.6044579619847</c:v>
                </c:pt>
                <c:pt idx="29">
                  <c:v>3395.3823242604476</c:v>
                </c:pt>
                <c:pt idx="30">
                  <c:v>3058.1075151322698</c:v>
                </c:pt>
                <c:pt idx="31">
                  <c:v>3208.4908084555186</c:v>
                </c:pt>
                <c:pt idx="32">
                  <c:v>3358.3791708119775</c:v>
                </c:pt>
                <c:pt idx="33">
                  <c:v>2977.5720631254762</c:v>
                </c:pt>
                <c:pt idx="34">
                  <c:v>3178.5912469965456</c:v>
                </c:pt>
                <c:pt idx="35">
                  <c:v>3207.4863810008915</c:v>
                </c:pt>
                <c:pt idx="36">
                  <c:v>3185.5992530545473</c:v>
                </c:pt>
                <c:pt idx="37">
                  <c:v>3164.5857702486805</c:v>
                </c:pt>
                <c:pt idx="38">
                  <c:v>3132.3407936736207</c:v>
                </c:pt>
                <c:pt idx="39">
                  <c:v>3194.6132346752929</c:v>
                </c:pt>
                <c:pt idx="40">
                  <c:v>2402.9046162009149</c:v>
                </c:pt>
                <c:pt idx="41">
                  <c:v>2229.6804316489693</c:v>
                </c:pt>
                <c:pt idx="42">
                  <c:v>2310.5960434195567</c:v>
                </c:pt>
                <c:pt idx="43">
                  <c:v>2251.8761525624709</c:v>
                </c:pt>
                <c:pt idx="44">
                  <c:v>2029.9915389119767</c:v>
                </c:pt>
                <c:pt idx="45">
                  <c:v>2236.1551071719609</c:v>
                </c:pt>
                <c:pt idx="46">
                  <c:v>2290.8282745654155</c:v>
                </c:pt>
                <c:pt idx="47">
                  <c:v>2268.652676052126</c:v>
                </c:pt>
                <c:pt idx="48">
                  <c:v>2121.9181981923703</c:v>
                </c:pt>
                <c:pt idx="49">
                  <c:v>2230.7526890137715</c:v>
                </c:pt>
                <c:pt idx="50">
                  <c:v>2735.2889143827674</c:v>
                </c:pt>
                <c:pt idx="51">
                  <c:v>2730.2074997812829</c:v>
                </c:pt>
                <c:pt idx="52">
                  <c:v>2777.9269684979477</c:v>
                </c:pt>
                <c:pt idx="53">
                  <c:v>2763.4547532646516</c:v>
                </c:pt>
                <c:pt idx="54">
                  <c:v>2729.3048028649205</c:v>
                </c:pt>
                <c:pt idx="55">
                  <c:v>2777.4891503006374</c:v>
                </c:pt>
                <c:pt idx="56">
                  <c:v>2723.0801156040975</c:v>
                </c:pt>
                <c:pt idx="57">
                  <c:v>2780.9164745722396</c:v>
                </c:pt>
                <c:pt idx="58">
                  <c:v>2632.0892243554272</c:v>
                </c:pt>
                <c:pt idx="59">
                  <c:v>2597.1468943065097</c:v>
                </c:pt>
                <c:pt idx="60">
                  <c:v>3508.4206456846796</c:v>
                </c:pt>
                <c:pt idx="61">
                  <c:v>3589.7789321985683</c:v>
                </c:pt>
                <c:pt idx="62">
                  <c:v>3618.7506589832342</c:v>
                </c:pt>
                <c:pt idx="63">
                  <c:v>3575.1063580749806</c:v>
                </c:pt>
                <c:pt idx="64">
                  <c:v>3632.9891190145213</c:v>
                </c:pt>
                <c:pt idx="65">
                  <c:v>3604.3244207278026</c:v>
                </c:pt>
                <c:pt idx="66">
                  <c:v>3689.1118900044103</c:v>
                </c:pt>
                <c:pt idx="67">
                  <c:v>3630.5651685815387</c:v>
                </c:pt>
                <c:pt idx="68">
                  <c:v>3468.5944056453941</c:v>
                </c:pt>
                <c:pt idx="69">
                  <c:v>3512.1955988582185</c:v>
                </c:pt>
                <c:pt idx="70">
                  <c:v>3306.8531650937302</c:v>
                </c:pt>
                <c:pt idx="71">
                  <c:v>3378.9103885685336</c:v>
                </c:pt>
                <c:pt idx="72">
                  <c:v>3304.7400206199109</c:v>
                </c:pt>
                <c:pt idx="73">
                  <c:v>3253.215549941568</c:v>
                </c:pt>
                <c:pt idx="74">
                  <c:v>3290.0849493463802</c:v>
                </c:pt>
                <c:pt idx="75">
                  <c:v>3320.2320868100001</c:v>
                </c:pt>
                <c:pt idx="76">
                  <c:v>3082.6121975426213</c:v>
                </c:pt>
                <c:pt idx="77">
                  <c:v>3400.6976793090498</c:v>
                </c:pt>
                <c:pt idx="78">
                  <c:v>3392.9925629437475</c:v>
                </c:pt>
                <c:pt idx="79">
                  <c:v>3344.6350102116016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C-418A-BCE1-3B22B84C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57615"/>
        <c:axId val="1049658575"/>
      </c:scatterChart>
      <c:valAx>
        <c:axId val="104965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Reynold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58575"/>
        <c:crosses val="autoZero"/>
        <c:crossBetween val="midCat"/>
      </c:valAx>
      <c:valAx>
        <c:axId val="10496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Heat</a:t>
                </a:r>
                <a:r>
                  <a:rPr lang="en-ZA" baseline="0"/>
                  <a:t> Transfer Coefficient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5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 Transfer Coefficient versus Reynolds Numbers for Cold Fluid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'Plate '!$AU$2:$AU$81</c:f>
              <c:numCache>
                <c:formatCode>General</c:formatCode>
                <c:ptCount val="80"/>
                <c:pt idx="0">
                  <c:v>16577.315072697889</c:v>
                </c:pt>
                <c:pt idx="1">
                  <c:v>16492.626996563125</c:v>
                </c:pt>
                <c:pt idx="2">
                  <c:v>16225.17899121345</c:v>
                </c:pt>
                <c:pt idx="3">
                  <c:v>15333.685640047874</c:v>
                </c:pt>
                <c:pt idx="4">
                  <c:v>17027.523007262465</c:v>
                </c:pt>
                <c:pt idx="5">
                  <c:v>16488.18972284468</c:v>
                </c:pt>
                <c:pt idx="6">
                  <c:v>16483.754823992454</c:v>
                </c:pt>
                <c:pt idx="7">
                  <c:v>15503.639672295605</c:v>
                </c:pt>
                <c:pt idx="8">
                  <c:v>16933.81647211075</c:v>
                </c:pt>
                <c:pt idx="9">
                  <c:v>16127.349314284511</c:v>
                </c:pt>
                <c:pt idx="10">
                  <c:v>20048.054411988</c:v>
                </c:pt>
                <c:pt idx="11">
                  <c:v>19518.149890085231</c:v>
                </c:pt>
                <c:pt idx="12">
                  <c:v>20495.106197048935</c:v>
                </c:pt>
                <c:pt idx="13">
                  <c:v>20489.641513573639</c:v>
                </c:pt>
                <c:pt idx="14">
                  <c:v>20577.958933890768</c:v>
                </c:pt>
                <c:pt idx="15">
                  <c:v>20760.129122010778</c:v>
                </c:pt>
                <c:pt idx="16">
                  <c:v>18718.302163696375</c:v>
                </c:pt>
                <c:pt idx="17">
                  <c:v>20754.593774525019</c:v>
                </c:pt>
                <c:pt idx="18">
                  <c:v>21284.498296427788</c:v>
                </c:pt>
                <c:pt idx="19">
                  <c:v>20406.765222061658</c:v>
                </c:pt>
                <c:pt idx="20">
                  <c:v>20085.542422482587</c:v>
                </c:pt>
                <c:pt idx="21">
                  <c:v>19908.577291006972</c:v>
                </c:pt>
                <c:pt idx="22">
                  <c:v>20361.868487282543</c:v>
                </c:pt>
                <c:pt idx="23">
                  <c:v>20174.024988220397</c:v>
                </c:pt>
                <c:pt idx="24">
                  <c:v>20787.849948445273</c:v>
                </c:pt>
                <c:pt idx="25">
                  <c:v>20876.308884396109</c:v>
                </c:pt>
                <c:pt idx="26">
                  <c:v>19825.390609956721</c:v>
                </c:pt>
                <c:pt idx="27">
                  <c:v>20013.097886710773</c:v>
                </c:pt>
                <c:pt idx="28">
                  <c:v>21341.400843793344</c:v>
                </c:pt>
                <c:pt idx="29">
                  <c:v>20527.955251171628</c:v>
                </c:pt>
                <c:pt idx="30">
                  <c:v>16260.185875232793</c:v>
                </c:pt>
                <c:pt idx="31">
                  <c:v>14477.256669200302</c:v>
                </c:pt>
                <c:pt idx="32">
                  <c:v>14663.899821376586</c:v>
                </c:pt>
                <c:pt idx="33">
                  <c:v>15102.817142560809</c:v>
                </c:pt>
                <c:pt idx="34">
                  <c:v>15817.74339782996</c:v>
                </c:pt>
                <c:pt idx="35">
                  <c:v>15545.452430167616</c:v>
                </c:pt>
                <c:pt idx="36">
                  <c:v>15370.91448828674</c:v>
                </c:pt>
                <c:pt idx="37">
                  <c:v>15992.16083333335</c:v>
                </c:pt>
                <c:pt idx="38">
                  <c:v>15460.280270195386</c:v>
                </c:pt>
                <c:pt idx="39">
                  <c:v>15553.841926222753</c:v>
                </c:pt>
                <c:pt idx="40">
                  <c:v>11004.207847820486</c:v>
                </c:pt>
                <c:pt idx="41">
                  <c:v>11304.331248947463</c:v>
                </c:pt>
                <c:pt idx="42">
                  <c:v>11301.064140819031</c:v>
                </c:pt>
                <c:pt idx="43">
                  <c:v>10430.07526445594</c:v>
                </c:pt>
                <c:pt idx="44">
                  <c:v>10131.306773240802</c:v>
                </c:pt>
                <c:pt idx="45">
                  <c:v>11370.545920251678</c:v>
                </c:pt>
                <c:pt idx="46">
                  <c:v>11080.698416295865</c:v>
                </c:pt>
                <c:pt idx="47">
                  <c:v>10128.385441568722</c:v>
                </c:pt>
                <c:pt idx="48">
                  <c:v>10895.933699523126</c:v>
                </c:pt>
                <c:pt idx="49">
                  <c:v>10695.522235104027</c:v>
                </c:pt>
                <c:pt idx="50">
                  <c:v>21238.140889141632</c:v>
                </c:pt>
                <c:pt idx="51">
                  <c:v>20330.528030631307</c:v>
                </c:pt>
                <c:pt idx="52">
                  <c:v>20875.095745737501</c:v>
                </c:pt>
                <c:pt idx="53">
                  <c:v>21334.746642496477</c:v>
                </c:pt>
                <c:pt idx="54">
                  <c:v>21607.105110273027</c:v>
                </c:pt>
                <c:pt idx="55">
                  <c:v>21867.479473287989</c:v>
                </c:pt>
                <c:pt idx="56">
                  <c:v>22073.132652045428</c:v>
                </c:pt>
                <c:pt idx="57">
                  <c:v>19989.38649449034</c:v>
                </c:pt>
                <c:pt idx="58">
                  <c:v>21539.928007524268</c:v>
                </c:pt>
                <c:pt idx="59">
                  <c:v>21522.216381549853</c:v>
                </c:pt>
                <c:pt idx="60">
                  <c:v>20961.226769364257</c:v>
                </c:pt>
                <c:pt idx="61">
                  <c:v>20124.398311961992</c:v>
                </c:pt>
                <c:pt idx="62">
                  <c:v>21046.573377096818</c:v>
                </c:pt>
                <c:pt idx="63">
                  <c:v>20955.462669836659</c:v>
                </c:pt>
                <c:pt idx="64">
                  <c:v>20955.462669836659</c:v>
                </c:pt>
                <c:pt idx="65">
                  <c:v>20483.01128496907</c:v>
                </c:pt>
                <c:pt idx="66">
                  <c:v>20408.798426275698</c:v>
                </c:pt>
                <c:pt idx="67">
                  <c:v>21058.154873984357</c:v>
                </c:pt>
                <c:pt idx="68">
                  <c:v>20693.51149954307</c:v>
                </c:pt>
                <c:pt idx="69">
                  <c:v>20027.833256414204</c:v>
                </c:pt>
                <c:pt idx="70">
                  <c:v>14948.331582607794</c:v>
                </c:pt>
                <c:pt idx="71">
                  <c:v>15695.503722579524</c:v>
                </c:pt>
                <c:pt idx="72">
                  <c:v>15421.207561599767</c:v>
                </c:pt>
                <c:pt idx="73">
                  <c:v>15867.906953746255</c:v>
                </c:pt>
                <c:pt idx="74">
                  <c:v>16155.339722818357</c:v>
                </c:pt>
                <c:pt idx="75">
                  <c:v>15699.904083797355</c:v>
                </c:pt>
                <c:pt idx="76">
                  <c:v>15222.606524697892</c:v>
                </c:pt>
                <c:pt idx="77">
                  <c:v>15024.33896316559</c:v>
                </c:pt>
                <c:pt idx="78">
                  <c:v>15872.351925142317</c:v>
                </c:pt>
                <c:pt idx="79">
                  <c:v>15978.600605994938</c:v>
                </c:pt>
              </c:numCache>
            </c:numRef>
          </c:xVal>
          <c:yVal>
            <c:numRef>
              <c:f>'Plate '!$BK$2:$BK$81</c:f>
              <c:numCache>
                <c:formatCode>General</c:formatCode>
                <c:ptCount val="80"/>
                <c:pt idx="0">
                  <c:v>2483.1916536036802</c:v>
                </c:pt>
                <c:pt idx="1">
                  <c:v>2472.1650949963691</c:v>
                </c:pt>
                <c:pt idx="2">
                  <c:v>2430.4338686077922</c:v>
                </c:pt>
                <c:pt idx="3">
                  <c:v>2317.7219260904599</c:v>
                </c:pt>
                <c:pt idx="4">
                  <c:v>2603.8948842194995</c:v>
                </c:pt>
                <c:pt idx="5">
                  <c:v>2503.3652138497828</c:v>
                </c:pt>
                <c:pt idx="6">
                  <c:v>2501.2373513884936</c:v>
                </c:pt>
                <c:pt idx="7">
                  <c:v>2331.7844824759618</c:v>
                </c:pt>
                <c:pt idx="8">
                  <c:v>2542.11411782596</c:v>
                </c:pt>
                <c:pt idx="9">
                  <c:v>2439.8097389587506</c:v>
                </c:pt>
                <c:pt idx="10">
                  <c:v>2614.2510964177932</c:v>
                </c:pt>
                <c:pt idx="11">
                  <c:v>2545.1519484948553</c:v>
                </c:pt>
                <c:pt idx="12">
                  <c:v>2708.5927306479894</c:v>
                </c:pt>
                <c:pt idx="13">
                  <c:v>2671.8337196869074</c:v>
                </c:pt>
                <c:pt idx="14">
                  <c:v>2683.3502443407306</c:v>
                </c:pt>
                <c:pt idx="15">
                  <c:v>2699.7009686325346</c:v>
                </c:pt>
                <c:pt idx="16">
                  <c:v>2413.6897475572864</c:v>
                </c:pt>
                <c:pt idx="17">
                  <c:v>2698.6619798498436</c:v>
                </c:pt>
                <c:pt idx="18">
                  <c:v>2749.0876756737921</c:v>
                </c:pt>
                <c:pt idx="19">
                  <c:v>2659.2038297544832</c:v>
                </c:pt>
                <c:pt idx="20">
                  <c:v>3391.9424149758261</c:v>
                </c:pt>
                <c:pt idx="21">
                  <c:v>3263.0961800108671</c:v>
                </c:pt>
                <c:pt idx="22">
                  <c:v>3413.8933869682596</c:v>
                </c:pt>
                <c:pt idx="23">
                  <c:v>3351.6467523330352</c:v>
                </c:pt>
                <c:pt idx="24">
                  <c:v>3475.8713464937041</c:v>
                </c:pt>
                <c:pt idx="25">
                  <c:v>3413.4768427542817</c:v>
                </c:pt>
                <c:pt idx="26">
                  <c:v>3335.3421508943948</c:v>
                </c:pt>
                <c:pt idx="27">
                  <c:v>3341.7500459483781</c:v>
                </c:pt>
                <c:pt idx="28">
                  <c:v>3612.0676212700432</c:v>
                </c:pt>
                <c:pt idx="29">
                  <c:v>3510.7150994500103</c:v>
                </c:pt>
                <c:pt idx="30">
                  <c:v>3325.996179878648</c:v>
                </c:pt>
                <c:pt idx="31">
                  <c:v>2926.6971294406721</c:v>
                </c:pt>
                <c:pt idx="32">
                  <c:v>2943.3477267420749</c:v>
                </c:pt>
                <c:pt idx="33">
                  <c:v>3086.6074092997187</c:v>
                </c:pt>
                <c:pt idx="34">
                  <c:v>3217.0447036146047</c:v>
                </c:pt>
                <c:pt idx="35">
                  <c:v>3109.9055325192603</c:v>
                </c:pt>
                <c:pt idx="36">
                  <c:v>3117.8984978955295</c:v>
                </c:pt>
                <c:pt idx="37">
                  <c:v>3249.1626737655201</c:v>
                </c:pt>
                <c:pt idx="38">
                  <c:v>3173.7617726452459</c:v>
                </c:pt>
                <c:pt idx="39">
                  <c:v>3137.1412790075869</c:v>
                </c:pt>
                <c:pt idx="40">
                  <c:v>2274.0993647752939</c:v>
                </c:pt>
                <c:pt idx="41">
                  <c:v>2367.8943427613849</c:v>
                </c:pt>
                <c:pt idx="42">
                  <c:v>2384.9744685534079</c:v>
                </c:pt>
                <c:pt idx="43">
                  <c:v>2204.3371973224348</c:v>
                </c:pt>
                <c:pt idx="44">
                  <c:v>2128.1856493157215</c:v>
                </c:pt>
                <c:pt idx="45">
                  <c:v>2384.8186494120064</c:v>
                </c:pt>
                <c:pt idx="46">
                  <c:v>2309.596500704416</c:v>
                </c:pt>
                <c:pt idx="47">
                  <c:v>2136.0169785644139</c:v>
                </c:pt>
                <c:pt idx="48">
                  <c:v>2296.634719555052</c:v>
                </c:pt>
                <c:pt idx="49">
                  <c:v>2239.1367699793304</c:v>
                </c:pt>
                <c:pt idx="50">
                  <c:v>2868.1983712993656</c:v>
                </c:pt>
                <c:pt idx="51">
                  <c:v>2748.9943704584703</c:v>
                </c:pt>
                <c:pt idx="52">
                  <c:v>2816.600406308723</c:v>
                </c:pt>
                <c:pt idx="53">
                  <c:v>2894.7704268789362</c:v>
                </c:pt>
                <c:pt idx="54">
                  <c:v>2914.304687258676</c:v>
                </c:pt>
                <c:pt idx="55">
                  <c:v>2930.4329316941635</c:v>
                </c:pt>
                <c:pt idx="56">
                  <c:v>2950.10636147982</c:v>
                </c:pt>
                <c:pt idx="57">
                  <c:v>2693.289773043472</c:v>
                </c:pt>
                <c:pt idx="58">
                  <c:v>2916.0853404316267</c:v>
                </c:pt>
                <c:pt idx="59">
                  <c:v>2920.4382677518124</c:v>
                </c:pt>
                <c:pt idx="60">
                  <c:v>3688.4510857973873</c:v>
                </c:pt>
                <c:pt idx="61">
                  <c:v>3479.4622462826269</c:v>
                </c:pt>
                <c:pt idx="62">
                  <c:v>3596.8581917221545</c:v>
                </c:pt>
                <c:pt idx="63">
                  <c:v>3637.7346495140332</c:v>
                </c:pt>
                <c:pt idx="64">
                  <c:v>3621.1202550602638</c:v>
                </c:pt>
                <c:pt idx="65">
                  <c:v>3536.6281357506477</c:v>
                </c:pt>
                <c:pt idx="66">
                  <c:v>3500.4754460637478</c:v>
                </c:pt>
                <c:pt idx="67">
                  <c:v>3631.734164152439</c:v>
                </c:pt>
                <c:pt idx="68">
                  <c:v>3595.3311812020538</c:v>
                </c:pt>
                <c:pt idx="69">
                  <c:v>3489.8949296788655</c:v>
                </c:pt>
                <c:pt idx="70">
                  <c:v>3138.2533104638019</c:v>
                </c:pt>
                <c:pt idx="71">
                  <c:v>3274.3553786778662</c:v>
                </c:pt>
                <c:pt idx="72">
                  <c:v>3247.2609779394029</c:v>
                </c:pt>
                <c:pt idx="73">
                  <c:v>3356.5315386300927</c:v>
                </c:pt>
                <c:pt idx="74">
                  <c:v>3402.2341456254699</c:v>
                </c:pt>
                <c:pt idx="75">
                  <c:v>3304.4329012877988</c:v>
                </c:pt>
                <c:pt idx="76">
                  <c:v>3240.8508780947777</c:v>
                </c:pt>
                <c:pt idx="77">
                  <c:v>3149.3113039401178</c:v>
                </c:pt>
                <c:pt idx="78">
                  <c:v>3299.5634098131291</c:v>
                </c:pt>
                <c:pt idx="79">
                  <c:v>3354.999179983984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5-4DD0-BABD-42B30643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57615"/>
        <c:axId val="1049658575"/>
      </c:scatterChart>
      <c:valAx>
        <c:axId val="104965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Reynold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58575"/>
        <c:crosses val="autoZero"/>
        <c:crossBetween val="midCat"/>
      </c:valAx>
      <c:valAx>
        <c:axId val="10496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Heat</a:t>
                </a:r>
                <a:r>
                  <a:rPr lang="en-ZA" baseline="0"/>
                  <a:t> Transfer Coefficient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5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243840</xdr:colOff>
      <xdr:row>0</xdr:row>
      <xdr:rowOff>831532</xdr:rowOff>
    </xdr:from>
    <xdr:to>
      <xdr:col>82</xdr:col>
      <xdr:colOff>548640</xdr:colOff>
      <xdr:row>17</xdr:row>
      <xdr:rowOff>134302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7DB21-F04B-4A95-83C5-1B3A16EDA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220980</xdr:colOff>
      <xdr:row>19</xdr:row>
      <xdr:rowOff>152400</xdr:rowOff>
    </xdr:from>
    <xdr:to>
      <xdr:col>82</xdr:col>
      <xdr:colOff>525780</xdr:colOff>
      <xdr:row>36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F4A02-FFF2-4329-8528-7B056FD5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472440</xdr:colOff>
      <xdr:row>41</xdr:row>
      <xdr:rowOff>78105</xdr:rowOff>
    </xdr:from>
    <xdr:to>
      <xdr:col>83</xdr:col>
      <xdr:colOff>167640</xdr:colOff>
      <xdr:row>58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1AF9A-0AC5-4A0A-8932-F7D744852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436245</xdr:colOff>
      <xdr:row>57</xdr:row>
      <xdr:rowOff>59055</xdr:rowOff>
    </xdr:from>
    <xdr:to>
      <xdr:col>85</xdr:col>
      <xdr:colOff>131445</xdr:colOff>
      <xdr:row>74</xdr:row>
      <xdr:rowOff>36195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972D2-54C9-4219-A5B4-0DD30A2D8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D9F-FD1D-4DA5-AF93-0D22C293E5B7}">
  <dimension ref="A1:BV87"/>
  <sheetViews>
    <sheetView showRowColHeaders="0" showOutlineSymbols="0" topLeftCell="BA41" zoomScaleNormal="100" workbookViewId="0">
      <selection activeCell="BN2" sqref="BN2"/>
    </sheetView>
  </sheetViews>
  <sheetFormatPr defaultColWidth="8.85546875" defaultRowHeight="12.75" customHeight="1" x14ac:dyDescent="0.2"/>
  <cols>
    <col min="1" max="1" width="0" style="1" hidden="1" customWidth="1"/>
    <col min="2" max="2" width="8.85546875" style="1" customWidth="1"/>
    <col min="3" max="6" width="7.140625" style="1" customWidth="1"/>
    <col min="7" max="12" width="0" style="1" hidden="1" customWidth="1"/>
    <col min="13" max="16" width="11.85546875" style="1" customWidth="1"/>
    <col min="17" max="17" width="0" style="1" hidden="1" customWidth="1"/>
    <col min="18" max="18" width="13.7109375" style="1" customWidth="1"/>
    <col min="19" max="19" width="34.140625" style="1" customWidth="1"/>
    <col min="20" max="21" width="13.85546875" style="1" customWidth="1"/>
    <col min="22" max="25" width="12.85546875" style="1" customWidth="1"/>
    <col min="26" max="27" width="8.85546875" style="1"/>
    <col min="28" max="29" width="11.42578125" style="1" customWidth="1"/>
    <col min="30" max="32" width="12.5703125" style="1" customWidth="1"/>
    <col min="33" max="33" width="10.28515625" style="1" customWidth="1"/>
    <col min="34" max="34" width="13" style="1" customWidth="1"/>
    <col min="35" max="35" width="0" style="1" hidden="1" customWidth="1"/>
    <col min="36" max="36" width="13" style="1" customWidth="1"/>
    <col min="37" max="37" width="0" style="1" hidden="1" customWidth="1"/>
    <col min="38" max="38" width="12.85546875" style="1" customWidth="1"/>
    <col min="39" max="39" width="0" style="1" hidden="1" customWidth="1"/>
    <col min="40" max="41" width="14.28515625" style="1" customWidth="1"/>
    <col min="42" max="42" width="10.85546875" style="1" customWidth="1"/>
    <col min="43" max="16384" width="8.85546875" style="1"/>
  </cols>
  <sheetData>
    <row r="1" spans="1:74" ht="66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16</v>
      </c>
      <c r="AJ1" s="16" t="s">
        <v>34</v>
      </c>
      <c r="AK1" s="16" t="s">
        <v>16</v>
      </c>
      <c r="AL1" s="16" t="s">
        <v>35</v>
      </c>
      <c r="AM1" s="16" t="s">
        <v>16</v>
      </c>
      <c r="AN1" s="16" t="s">
        <v>36</v>
      </c>
      <c r="AO1" s="16" t="s">
        <v>37</v>
      </c>
      <c r="AP1" s="16" t="s">
        <v>38</v>
      </c>
      <c r="AQ1" s="16" t="s">
        <v>39</v>
      </c>
      <c r="AR1" s="16" t="s">
        <v>40</v>
      </c>
      <c r="AS1" s="16" t="s">
        <v>41</v>
      </c>
      <c r="AT1" s="16" t="s">
        <v>42</v>
      </c>
      <c r="AU1" s="16" t="s">
        <v>43</v>
      </c>
      <c r="AV1" s="87" t="s">
        <v>44</v>
      </c>
      <c r="AW1" s="87" t="s">
        <v>45</v>
      </c>
      <c r="AX1" s="87" t="s">
        <v>46</v>
      </c>
      <c r="AY1" s="87" t="s">
        <v>47</v>
      </c>
      <c r="AZ1" s="87" t="s">
        <v>48</v>
      </c>
      <c r="BA1" s="87" t="s">
        <v>49</v>
      </c>
      <c r="BB1" s="87" t="s">
        <v>50</v>
      </c>
      <c r="BC1" s="87" t="s">
        <v>48</v>
      </c>
      <c r="BD1" s="87" t="s">
        <v>51</v>
      </c>
      <c r="BE1" s="87" t="s">
        <v>52</v>
      </c>
      <c r="BF1" s="87" t="s">
        <v>53</v>
      </c>
      <c r="BG1" s="87" t="s">
        <v>54</v>
      </c>
      <c r="BH1" s="87" t="s">
        <v>55</v>
      </c>
      <c r="BI1" s="87" t="s">
        <v>56</v>
      </c>
      <c r="BJ1" s="87" t="s">
        <v>57</v>
      </c>
      <c r="BK1" s="87" t="s">
        <v>58</v>
      </c>
      <c r="BL1" s="87" t="s">
        <v>59</v>
      </c>
      <c r="BM1" s="87" t="s">
        <v>60</v>
      </c>
      <c r="BN1" s="87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87" t="s">
        <v>66</v>
      </c>
      <c r="BT1" s="1" t="s">
        <v>67</v>
      </c>
      <c r="BU1" s="1" t="s">
        <v>68</v>
      </c>
      <c r="BV1" s="1" t="s">
        <v>69</v>
      </c>
    </row>
    <row r="2" spans="1:74" ht="12.75" customHeight="1" x14ac:dyDescent="0.2">
      <c r="A2" s="5">
        <v>1E-3</v>
      </c>
      <c r="B2" s="75" t="s">
        <v>70</v>
      </c>
      <c r="C2" s="73">
        <v>32.01611328125</v>
      </c>
      <c r="D2" s="73">
        <v>26.30126953125</v>
      </c>
      <c r="E2" s="73">
        <v>24.255615234375</v>
      </c>
      <c r="F2" s="73">
        <v>20.099365234375</v>
      </c>
      <c r="G2" s="73">
        <v>132.967529296875</v>
      </c>
      <c r="H2" s="73">
        <v>132.967529296875</v>
      </c>
      <c r="I2" s="73">
        <v>132.967529296875</v>
      </c>
      <c r="J2" s="73">
        <v>132.967529296875</v>
      </c>
      <c r="K2" s="73">
        <v>132.967529296875</v>
      </c>
      <c r="L2" s="73">
        <v>132.967529296875</v>
      </c>
      <c r="M2" s="75">
        <v>30</v>
      </c>
      <c r="N2" s="73">
        <v>1.69677734375</v>
      </c>
      <c r="O2" s="86">
        <v>30</v>
      </c>
      <c r="P2" s="74">
        <v>2.2705078125</v>
      </c>
      <c r="Q2" s="72">
        <v>1</v>
      </c>
      <c r="R2" s="71" t="str">
        <f t="shared" ref="R2:R33" si="0">IF(ISNUMBER(Q2),IF(Q2=1,"Countercurrent","Cocurrent"),"")</f>
        <v>Countercurrent</v>
      </c>
      <c r="S2" s="71" t="s">
        <v>71</v>
      </c>
      <c r="T2" s="70">
        <f t="shared" ref="T2:T33" si="1">IF(ISNUMBER(N2),1.15290498E-12*(V2^6)-3.5879038802E-10*(V2^5)+4.710833256816E-08*(V2^4)-3.38194190874219E-06*(V2^3)+0.000148978977392744*(V2^2)-0.00373903643230733*(V2)+4.21734712411944,"")</f>
        <v>4.1783443078980858</v>
      </c>
      <c r="U2" s="70">
        <f t="shared" ref="U2:U33" si="2">IF(ISNUMBER(N2),1.15290498E-12*(X2^6)-3.5879038802E-10*(X2^5)+4.710833256816E-08*(X2^4)-3.38194190874219E-06*(X2^3)+0.000148978977392744*(X2^2)-0.00373903643230733*(X2)+4.21734712411944,"")</f>
        <v>4.1804172745636023</v>
      </c>
      <c r="V2" s="18">
        <f t="shared" ref="V2:V33" si="3">IF(ISNUMBER(C2),AVERAGE(C2:D2),"")</f>
        <v>29.15869140625</v>
      </c>
      <c r="W2" s="68">
        <f t="shared" ref="W2:W33" si="4">IF(ISNUMBER(D2),-0.0000002301*(V2^4)+0.0000569866*(V2^3)-0.0082923226*(V2^2)+0.0654036947*V2+999.8017570756,"")</f>
        <v>995.90491823645618</v>
      </c>
      <c r="X2" s="18">
        <f t="shared" ref="X2:X33" si="5">IF(ISNUMBER(E2),AVERAGE(E2:F2),"")</f>
        <v>22.177490234375</v>
      </c>
      <c r="Y2" s="68">
        <f t="shared" ref="Y2:Y33" si="6">IF(ISNUMBER(D2),-0.0000002301*(X2^4)+0.0000569866*(X2^3)-0.0082923226*(X2^2)+0.0654036947*X2+999.8017570756,"")</f>
        <v>997.73967755123681</v>
      </c>
      <c r="Z2" s="68">
        <f t="shared" ref="Z2:Z33" si="7">IF(ISNUMBER(C2),IF(R2="Countercurrent",C2-D2,D2-C2),"")</f>
        <v>5.71484375</v>
      </c>
      <c r="AA2" s="68">
        <f t="shared" ref="AA2:AA33" si="8">IF(ISNUMBER(E2),F2-E2,"")</f>
        <v>-4.15625</v>
      </c>
      <c r="AB2" s="67">
        <f t="shared" ref="AB2:AB33" si="9">IF(ISNUMBER(N2),N2*W2/(1000*60),"")</f>
        <v>2.8163815029880249E-2</v>
      </c>
      <c r="AC2" s="67">
        <f t="shared" ref="AC2:AC33" si="10">IF(ISNUMBER(P2),P2*Y2/(1000*60),"")</f>
        <v>3.7756262212021899E-2</v>
      </c>
      <c r="AD2" s="85">
        <f t="shared" ref="AD2:AD33" si="11">AB2*T2*(C2-D2)*1000</f>
        <v>672.51204698475237</v>
      </c>
      <c r="AE2" s="85">
        <f t="shared" ref="AE2:AE33" si="12">AC2*U2*(E2-F2)*1000</f>
        <v>656.0097435298087</v>
      </c>
      <c r="AF2" s="85">
        <f t="shared" ref="AF2:AF33" si="13">AD2-AE2</f>
        <v>16.502303454943672</v>
      </c>
      <c r="AG2" s="85">
        <f t="shared" ref="AG2:AG33" si="14">AE2*100/AD2</f>
        <v>97.546169837561621</v>
      </c>
      <c r="AH2" s="85">
        <f t="shared" ref="AH2:AH33" si="15">AD2*100/AR2</f>
        <v>47.956403269754766</v>
      </c>
      <c r="AI2" s="85" t="s">
        <v>72</v>
      </c>
      <c r="AJ2" s="85">
        <f>AE2*100/AR2</f>
        <v>46.779634581500943</v>
      </c>
      <c r="AK2" s="85">
        <f>AF2*100/AS2</f>
        <v>3.374016473352782</v>
      </c>
      <c r="AL2" s="85">
        <f t="shared" ref="AL2:AL33" si="16">(BL2+BM2)/2</f>
        <v>82.833787465940048</v>
      </c>
      <c r="AM2" s="85" t="s">
        <v>72</v>
      </c>
      <c r="AN2" s="85">
        <f t="shared" ref="AN2:AN33" si="17">((C2-E2)-(D2-F2))/(LN((C2-E2)/(D2-F2)))*0.95</f>
        <v>6.6045017364828471</v>
      </c>
      <c r="AO2" s="85">
        <f>((1/BJ2)+(1/BK2))^-1</f>
        <v>1257.018374816156</v>
      </c>
      <c r="AP2" s="85"/>
      <c r="AQ2" s="17">
        <f t="shared" ref="AQ2:AQ33" si="18">5*0.008</f>
        <v>0.04</v>
      </c>
      <c r="AR2" s="17">
        <f t="shared" ref="AR2:AR33" si="19">BN2*(C2-F2)</f>
        <v>1402.3404616102507</v>
      </c>
      <c r="AS2" s="17">
        <f t="shared" ref="AS2:AS33" si="20">BN2*(E2-F2)</f>
        <v>489.09967053436543</v>
      </c>
      <c r="AT2" s="17">
        <f>(4*AB2)/(BA2*PI()*BC2)</f>
        <v>14008.689491553638</v>
      </c>
      <c r="AU2" s="17">
        <f t="shared" ref="AU2:AU33" si="21">(4*AC2)/(BB2*PI()*BC2)</f>
        <v>16577.315072697889</v>
      </c>
      <c r="AV2" s="17">
        <f t="shared" ref="AV2:AV33" si="22">0.001002+((C2-20)/25)*(0.000596-0.001002)</f>
        <v>8.0685832031249997E-4</v>
      </c>
      <c r="AW2" s="17">
        <f t="shared" ref="AW2:AW33" si="23">0.001002+((D2-20)/25)*(0.000596-0.001002)</f>
        <v>8.9966738281250006E-4</v>
      </c>
      <c r="AX2" s="17">
        <f t="shared" ref="AX2:AX33" si="24">0.001002+((E2-20)/25)*(0.000596-0.001002)</f>
        <v>9.3288880859375011E-4</v>
      </c>
      <c r="AY2" s="17">
        <f t="shared" ref="AY2:AY33" si="25">0.001002+((F2-20)/25)*(0.000596-0.001002)</f>
        <v>1.00038630859375E-3</v>
      </c>
      <c r="AZ2" s="17">
        <f t="shared" ref="AZ2:AZ33" si="26">0.003</f>
        <v>3.0000000000000001E-3</v>
      </c>
      <c r="BA2" s="17">
        <f t="shared" ref="BA2:BA33" si="27">(AV2+AW2)/2</f>
        <v>8.5326285156250002E-4</v>
      </c>
      <c r="BB2" s="17">
        <f t="shared" ref="BB2:BB33" si="28">(AX2+AY2)/2</f>
        <v>9.6663755859375004E-4</v>
      </c>
      <c r="BC2" s="17">
        <f t="shared" ref="BC2:BC33" si="29">0.003</f>
        <v>3.0000000000000001E-3</v>
      </c>
      <c r="BD2" s="17">
        <f>(0.013*AT2^0.867)*(BF2^0.333333)</f>
        <v>92.297299101919123</v>
      </c>
      <c r="BE2" s="17">
        <f>(0.013*AU2^0.867)*(BG2^0.333333)</f>
        <v>111.81025994842349</v>
      </c>
      <c r="BF2" s="17">
        <f>7.01+((AVERAGE(C2:D2)-20)/25)*(3.91-7.01)</f>
        <v>5.8743222656250005</v>
      </c>
      <c r="BG2" s="17">
        <f>7.01+((AVERAGE(E2:F2)-20)/25)*(3.91-7.01)</f>
        <v>6.7399912109375002</v>
      </c>
      <c r="BH2" s="17">
        <f t="shared" ref="BH2:BH33" si="30">(AO2*AQ2)/((AB2*T2)*1000)</f>
        <v>0.4272734524332551</v>
      </c>
      <c r="BI2" s="17">
        <f t="shared" ref="BI2:BI33" si="31">(AO2*AQ2)/(AC2*U2*1000)</f>
        <v>0.31856128186256133</v>
      </c>
      <c r="BJ2" s="17">
        <f>AD2/(AQ2*AN2)</f>
        <v>2545.6577718415861</v>
      </c>
      <c r="BK2" s="17">
        <f>AE2/(AQ2*AN2)</f>
        <v>2483.1916536036802</v>
      </c>
      <c r="BL2" s="17">
        <f t="shared" ref="BL2:BL33" si="32">(C2-D2)*100/(C2-BS2)</f>
        <v>95.912806539509532</v>
      </c>
      <c r="BM2" s="17">
        <f t="shared" ref="BM2:BM33" si="33">(E2-F2)*100/(BS2-F2)</f>
        <v>69.754768392370579</v>
      </c>
      <c r="BN2" s="17">
        <f>AB2*T2*1000</f>
        <v>117.67811621879468</v>
      </c>
      <c r="BO2" s="17">
        <f>AC2*U2*1000</f>
        <v>157.8369307740893</v>
      </c>
      <c r="BP2" s="17">
        <f>IF(BO2&lt;BN2,BO2,BN2)</f>
        <v>117.67811621879468</v>
      </c>
      <c r="BQ2" s="17">
        <f>IF(BN2&gt;BO2,BN2,BO2)</f>
        <v>157.8369307740893</v>
      </c>
      <c r="BR2" s="17">
        <f>BP2/BQ2</f>
        <v>0.74556769218495766</v>
      </c>
      <c r="BS2" s="17">
        <f t="shared" ref="BS2:BS33" si="34">(C2+F2)/2</f>
        <v>26.0577392578125</v>
      </c>
      <c r="BT2" s="1">
        <f t="shared" ref="BT2:BT33" si="35">(E2-F2)/(C2-F2)</f>
        <v>0.34877384196185285</v>
      </c>
      <c r="BU2" s="1">
        <f t="shared" ref="BU2:BU33" si="36">AO2*AQ2/BP2</f>
        <v>0.4272734524332551</v>
      </c>
      <c r="BV2" s="1">
        <f>(1-EXP(-BU2*(1-BR2)))/(1-BR2*EXP(-BU2*(1-BR2)))</f>
        <v>0.31099266300587208</v>
      </c>
    </row>
    <row r="3" spans="1:74" ht="12.75" customHeight="1" x14ac:dyDescent="0.2">
      <c r="A3" s="5">
        <v>1E-3</v>
      </c>
      <c r="B3" s="75" t="s">
        <v>73</v>
      </c>
      <c r="C3" s="73">
        <v>32.113525390625</v>
      </c>
      <c r="D3" s="73">
        <v>26.333740234375</v>
      </c>
      <c r="E3" s="73">
        <v>24.2880859375</v>
      </c>
      <c r="F3" s="73">
        <v>20.099365234375</v>
      </c>
      <c r="G3" s="73">
        <v>132.967529296875</v>
      </c>
      <c r="H3" s="73">
        <v>132.967529296875</v>
      </c>
      <c r="I3" s="73">
        <v>132.967529296875</v>
      </c>
      <c r="J3" s="73">
        <v>132.967529296875</v>
      </c>
      <c r="K3" s="73">
        <v>132.967529296875</v>
      </c>
      <c r="L3" s="73">
        <v>132.967529296875</v>
      </c>
      <c r="M3" s="75">
        <v>30</v>
      </c>
      <c r="N3" s="73">
        <v>1.67236328125</v>
      </c>
      <c r="O3" s="86">
        <v>30</v>
      </c>
      <c r="P3" s="74">
        <v>2.25830078125</v>
      </c>
      <c r="Q3" s="72">
        <v>1</v>
      </c>
      <c r="R3" s="71" t="str">
        <f t="shared" si="0"/>
        <v>Countercurrent</v>
      </c>
      <c r="S3" s="71" t="s">
        <v>71</v>
      </c>
      <c r="T3" s="70">
        <f t="shared" si="1"/>
        <v>4.1783342024183341</v>
      </c>
      <c r="U3" s="70">
        <f t="shared" si="2"/>
        <v>4.1804097702307672</v>
      </c>
      <c r="V3" s="18">
        <f t="shared" si="3"/>
        <v>29.2236328125</v>
      </c>
      <c r="W3" s="68">
        <f t="shared" si="4"/>
        <v>995.88569967932062</v>
      </c>
      <c r="X3" s="18">
        <f t="shared" si="5"/>
        <v>22.1937255859375</v>
      </c>
      <c r="Y3" s="68">
        <f t="shared" si="6"/>
        <v>997.73596873635131</v>
      </c>
      <c r="Z3" s="68">
        <f t="shared" si="7"/>
        <v>5.77978515625</v>
      </c>
      <c r="AA3" s="68">
        <f t="shared" si="8"/>
        <v>-4.188720703125</v>
      </c>
      <c r="AB3" s="67">
        <f t="shared" si="9"/>
        <v>2.7758044607761011E-2</v>
      </c>
      <c r="AC3" s="67">
        <f t="shared" si="10"/>
        <v>3.75531319613088E-2</v>
      </c>
      <c r="AD3" s="85">
        <f t="shared" si="11"/>
        <v>670.35327979126521</v>
      </c>
      <c r="AE3" s="85">
        <f t="shared" si="12"/>
        <v>657.5767065762451</v>
      </c>
      <c r="AF3" s="85">
        <f t="shared" si="13"/>
        <v>12.776573215020107</v>
      </c>
      <c r="AG3" s="85">
        <f t="shared" si="14"/>
        <v>98.094053747451113</v>
      </c>
      <c r="AH3" s="85">
        <f t="shared" si="15"/>
        <v>48.108108108108105</v>
      </c>
      <c r="AI3" s="18"/>
      <c r="AJ3" s="85">
        <f t="shared" ref="AJ3:AJ34" si="37">AE3*100/AR3</f>
        <v>47.191193424449452</v>
      </c>
      <c r="AK3" s="18"/>
      <c r="AL3" s="85">
        <f t="shared" si="16"/>
        <v>82.972972972972968</v>
      </c>
      <c r="AM3" s="18"/>
      <c r="AN3" s="85">
        <f t="shared" si="17"/>
        <v>6.6498057503033685</v>
      </c>
      <c r="AO3" s="85">
        <f t="shared" ref="AO3:AO33" si="38">((1/BJ3)+(1/BK3))^-1</f>
        <v>1247.9754178528331</v>
      </c>
      <c r="AP3" s="66"/>
      <c r="AQ3" s="17">
        <f t="shared" si="18"/>
        <v>0.04</v>
      </c>
      <c r="AR3" s="17">
        <f t="shared" si="19"/>
        <v>1393.4309748470121</v>
      </c>
      <c r="AS3" s="17">
        <f t="shared" si="20"/>
        <v>485.81782636557983</v>
      </c>
      <c r="AT3" s="17">
        <f>(4*AB3)/(BA3*PI()*BC3)</f>
        <v>13823.945818844297</v>
      </c>
      <c r="AU3" s="17">
        <f t="shared" si="21"/>
        <v>16492.626996563125</v>
      </c>
      <c r="AV3" s="17">
        <f t="shared" si="22"/>
        <v>8.0527634765624999E-4</v>
      </c>
      <c r="AW3" s="17">
        <f t="shared" si="23"/>
        <v>8.9914005859375006E-4</v>
      </c>
      <c r="AX3" s="17">
        <f t="shared" si="24"/>
        <v>9.32361484375E-4</v>
      </c>
      <c r="AY3" s="17">
        <f t="shared" si="25"/>
        <v>1.00038630859375E-3</v>
      </c>
      <c r="AZ3" s="17">
        <f t="shared" si="26"/>
        <v>3.0000000000000001E-3</v>
      </c>
      <c r="BA3" s="17">
        <f t="shared" si="27"/>
        <v>8.5220820312500003E-4</v>
      </c>
      <c r="BB3" s="17">
        <f t="shared" si="28"/>
        <v>9.6637389648437499E-4</v>
      </c>
      <c r="BC3" s="17">
        <f t="shared" si="29"/>
        <v>3.0000000000000001E-3</v>
      </c>
      <c r="BD3" s="17">
        <f t="shared" ref="BD3:BD34" si="39">(0.023*AT3^0.8)*(BF3^0.333333)</f>
        <v>85.183184023193846</v>
      </c>
      <c r="BE3" s="17">
        <f t="shared" ref="BE3:BE34" si="40">(0.013*AU3^0.867)*(BG3^0.333333)</f>
        <v>111.3037751735459</v>
      </c>
      <c r="BF3" s="17">
        <f t="shared" ref="BF3:BF33" si="41">7.01+((AVERAGE(C3:D3)-20)/25)*(3.91-7.01)</f>
        <v>5.8662695312499995</v>
      </c>
      <c r="BG3" s="17">
        <f t="shared" ref="BG3:BG33" si="42">7.01+((AVERAGE(E3:F3)-20)/25)*(3.91-7.01)</f>
        <v>6.7379780273437495</v>
      </c>
      <c r="BH3" s="17">
        <f t="shared" si="30"/>
        <v>0.43040170088922014</v>
      </c>
      <c r="BI3" s="17">
        <f t="shared" si="31"/>
        <v>0.31798087842669792</v>
      </c>
      <c r="BJ3" s="17">
        <f t="shared" ref="BJ3:BJ66" si="43">AD3/(AQ3*AN3)</f>
        <v>2520.1987282135392</v>
      </c>
      <c r="BK3" s="17">
        <f t="shared" ref="BK3:BK66" si="44">AE3/(AQ3*AN3)</f>
        <v>2472.1650949963691</v>
      </c>
      <c r="BL3" s="17">
        <f t="shared" si="32"/>
        <v>96.21621621621621</v>
      </c>
      <c r="BM3" s="17">
        <f t="shared" si="33"/>
        <v>69.729729729729726</v>
      </c>
      <c r="BN3" s="17">
        <f t="shared" ref="BN3:BN66" si="45">AB3*T3*1000</f>
        <v>115.98238717686164</v>
      </c>
      <c r="BO3" s="17">
        <f t="shared" ref="BO3:BO66" si="46">AC3*U3*1000</f>
        <v>156.98747975382059</v>
      </c>
      <c r="BP3" s="17">
        <f t="shared" ref="BP3:BP66" si="47">IF(BO3&lt;BN3,BO3,BN3)</f>
        <v>115.98238717686164</v>
      </c>
      <c r="BQ3" s="17">
        <f t="shared" ref="BQ3:BQ66" si="48">IF(BN3&gt;BO3,BN3,BO3)</f>
        <v>156.98747975382059</v>
      </c>
      <c r="BR3" s="17">
        <f t="shared" ref="BR3:BR66" si="49">BP3/BQ3</f>
        <v>0.73880023654586369</v>
      </c>
      <c r="BS3" s="17">
        <f t="shared" si="34"/>
        <v>26.1064453125</v>
      </c>
      <c r="BT3" s="1">
        <f t="shared" si="35"/>
        <v>0.34864864864864864</v>
      </c>
      <c r="BU3" s="1">
        <f t="shared" si="36"/>
        <v>0.43040170088922014</v>
      </c>
      <c r="BV3" s="1">
        <f t="shared" ref="BV3:BV66" si="50">(1-EXP(-BU3*(1-BR3)))/(1-BR3*EXP(-BU3*(1-BR3)))</f>
        <v>0.31296382022072344</v>
      </c>
    </row>
    <row r="4" spans="1:74" ht="12.75" customHeight="1" x14ac:dyDescent="0.2">
      <c r="A4" s="5">
        <v>1E-3</v>
      </c>
      <c r="B4" s="75" t="s">
        <v>74</v>
      </c>
      <c r="C4" s="73">
        <v>32.048583984375</v>
      </c>
      <c r="D4" s="73">
        <v>26.398681640625</v>
      </c>
      <c r="E4" s="73">
        <v>24.2880859375</v>
      </c>
      <c r="F4" s="73">
        <v>20.099365234375</v>
      </c>
      <c r="G4" s="73">
        <v>132.967529296875</v>
      </c>
      <c r="H4" s="73">
        <v>132.967529296875</v>
      </c>
      <c r="I4" s="73">
        <v>132.967529296875</v>
      </c>
      <c r="J4" s="73">
        <v>132.967529296875</v>
      </c>
      <c r="K4" s="73">
        <v>132.967529296875</v>
      </c>
      <c r="L4" s="73">
        <v>132.967529296875</v>
      </c>
      <c r="M4" s="75">
        <v>30</v>
      </c>
      <c r="N4" s="73">
        <v>1.7333984375</v>
      </c>
      <c r="O4" s="86">
        <v>30</v>
      </c>
      <c r="P4" s="74">
        <v>2.2216796875</v>
      </c>
      <c r="Q4" s="72">
        <v>1</v>
      </c>
      <c r="R4" s="71" t="str">
        <f t="shared" si="0"/>
        <v>Countercurrent</v>
      </c>
      <c r="S4" s="71" t="s">
        <v>71</v>
      </c>
      <c r="T4" s="70">
        <f t="shared" si="1"/>
        <v>4.1783342024183341</v>
      </c>
      <c r="U4" s="70">
        <f t="shared" si="2"/>
        <v>4.1804097702307672</v>
      </c>
      <c r="V4" s="18">
        <f t="shared" si="3"/>
        <v>29.2236328125</v>
      </c>
      <c r="W4" s="68">
        <f t="shared" si="4"/>
        <v>995.88569967932062</v>
      </c>
      <c r="X4" s="18">
        <f t="shared" si="5"/>
        <v>22.1937255859375</v>
      </c>
      <c r="Y4" s="68">
        <f t="shared" si="6"/>
        <v>997.73596873635131</v>
      </c>
      <c r="Z4" s="68">
        <f t="shared" si="7"/>
        <v>5.64990234375</v>
      </c>
      <c r="AA4" s="68">
        <f t="shared" si="8"/>
        <v>-4.188720703125</v>
      </c>
      <c r="AB4" s="67">
        <f t="shared" si="9"/>
        <v>2.8771111929212147E-2</v>
      </c>
      <c r="AC4" s="67">
        <f t="shared" si="10"/>
        <v>3.6944162253828114E-2</v>
      </c>
      <c r="AD4" s="85">
        <f t="shared" si="11"/>
        <v>679.204823959755</v>
      </c>
      <c r="AE4" s="85">
        <f t="shared" si="12"/>
        <v>646.9133005236572</v>
      </c>
      <c r="AF4" s="85">
        <f t="shared" si="13"/>
        <v>32.291523436097805</v>
      </c>
      <c r="AG4" s="85">
        <f t="shared" si="14"/>
        <v>95.245686971444258</v>
      </c>
      <c r="AH4" s="85">
        <f t="shared" si="15"/>
        <v>47.282608695652179</v>
      </c>
      <c r="AI4" s="18"/>
      <c r="AJ4" s="85">
        <f t="shared" si="37"/>
        <v>45.034645470193752</v>
      </c>
      <c r="AK4" s="18"/>
      <c r="AL4" s="85">
        <f t="shared" si="16"/>
        <v>82.336956521739125</v>
      </c>
      <c r="AM4" s="18"/>
      <c r="AN4" s="85">
        <f t="shared" si="17"/>
        <v>6.6542985275117132</v>
      </c>
      <c r="AO4" s="85">
        <f t="shared" si="38"/>
        <v>1244.807968005591</v>
      </c>
      <c r="AP4" s="66"/>
      <c r="AQ4" s="17">
        <f t="shared" si="18"/>
        <v>0.04</v>
      </c>
      <c r="AR4" s="17">
        <f t="shared" si="19"/>
        <v>1436.4791679148841</v>
      </c>
      <c r="AS4" s="17">
        <f t="shared" si="20"/>
        <v>503.54840397016312</v>
      </c>
      <c r="AT4" s="17">
        <f t="shared" ref="AT4:AT33" si="51">(4*AB4)/(BA4*PI()*BC4)</f>
        <v>14328.469388875114</v>
      </c>
      <c r="AU4" s="17">
        <f t="shared" si="21"/>
        <v>16225.17899121345</v>
      </c>
      <c r="AV4" s="17">
        <f t="shared" si="22"/>
        <v>8.0633099609375009E-4</v>
      </c>
      <c r="AW4" s="17">
        <f t="shared" si="23"/>
        <v>8.9808541015625007E-4</v>
      </c>
      <c r="AX4" s="17">
        <f t="shared" si="24"/>
        <v>9.32361484375E-4</v>
      </c>
      <c r="AY4" s="17">
        <f t="shared" si="25"/>
        <v>1.00038630859375E-3</v>
      </c>
      <c r="AZ4" s="17">
        <f t="shared" si="26"/>
        <v>3.0000000000000001E-3</v>
      </c>
      <c r="BA4" s="17">
        <f t="shared" si="27"/>
        <v>8.5220820312500003E-4</v>
      </c>
      <c r="BB4" s="17">
        <f t="shared" si="28"/>
        <v>9.6637389648437499E-4</v>
      </c>
      <c r="BC4" s="17">
        <f t="shared" si="29"/>
        <v>3.0000000000000001E-3</v>
      </c>
      <c r="BD4" s="17">
        <f t="shared" si="39"/>
        <v>87.661337190143229</v>
      </c>
      <c r="BE4" s="17">
        <f t="shared" si="40"/>
        <v>109.73720631062371</v>
      </c>
      <c r="BF4" s="17">
        <f t="shared" si="41"/>
        <v>5.8662695312499995</v>
      </c>
      <c r="BG4" s="17">
        <f t="shared" si="42"/>
        <v>6.7379780273437495</v>
      </c>
      <c r="BH4" s="17">
        <f t="shared" si="30"/>
        <v>0.41419278590813979</v>
      </c>
      <c r="BI4" s="17">
        <f t="shared" si="31"/>
        <v>0.3224019603726978</v>
      </c>
      <c r="BJ4" s="17">
        <f t="shared" si="43"/>
        <v>2551.7521537079829</v>
      </c>
      <c r="BK4" s="17">
        <f t="shared" si="44"/>
        <v>2430.4338686077922</v>
      </c>
      <c r="BL4" s="17">
        <f t="shared" si="32"/>
        <v>94.565217391304344</v>
      </c>
      <c r="BM4" s="17">
        <f t="shared" si="33"/>
        <v>70.108695652173907</v>
      </c>
      <c r="BN4" s="17">
        <f t="shared" si="45"/>
        <v>120.21532101543325</v>
      </c>
      <c r="BO4" s="17">
        <f t="shared" si="46"/>
        <v>154.44173683889375</v>
      </c>
      <c r="BP4" s="17">
        <f t="shared" si="47"/>
        <v>120.21532101543325</v>
      </c>
      <c r="BQ4" s="17">
        <f t="shared" si="48"/>
        <v>154.44173683889375</v>
      </c>
      <c r="BR4" s="17">
        <f t="shared" si="49"/>
        <v>0.77838622820485459</v>
      </c>
      <c r="BS4" s="17">
        <f t="shared" si="34"/>
        <v>26.073974609375</v>
      </c>
      <c r="BT4" s="1">
        <f t="shared" si="35"/>
        <v>0.35054347826086957</v>
      </c>
      <c r="BU4" s="1">
        <f t="shared" si="36"/>
        <v>0.41419278590813979</v>
      </c>
      <c r="BV4" s="1">
        <f t="shared" si="50"/>
        <v>0.30255147273053118</v>
      </c>
    </row>
    <row r="5" spans="1:74" ht="12.75" customHeight="1" x14ac:dyDescent="0.2">
      <c r="A5" s="5">
        <v>1E-3</v>
      </c>
      <c r="B5" s="75" t="s">
        <v>75</v>
      </c>
      <c r="C5" s="73">
        <v>31.951171875</v>
      </c>
      <c r="D5" s="73">
        <v>26.3662109375</v>
      </c>
      <c r="E5" s="73">
        <v>24.2880859375</v>
      </c>
      <c r="F5" s="73">
        <v>20.099365234375</v>
      </c>
      <c r="G5" s="73">
        <v>132.967529296875</v>
      </c>
      <c r="H5" s="73">
        <v>132.967529296875</v>
      </c>
      <c r="I5" s="73">
        <v>132.967529296875</v>
      </c>
      <c r="J5" s="73">
        <v>132.967529296875</v>
      </c>
      <c r="K5" s="73">
        <v>132.967529296875</v>
      </c>
      <c r="L5" s="73">
        <v>132.967529296875</v>
      </c>
      <c r="M5" s="75">
        <v>30</v>
      </c>
      <c r="N5" s="73">
        <v>1.708984375</v>
      </c>
      <c r="O5" s="86">
        <v>30</v>
      </c>
      <c r="P5" s="74">
        <v>2.099609375</v>
      </c>
      <c r="Q5" s="72">
        <v>1</v>
      </c>
      <c r="R5" s="71" t="str">
        <f t="shared" si="0"/>
        <v>Countercurrent</v>
      </c>
      <c r="S5" s="71" t="s">
        <v>71</v>
      </c>
      <c r="T5" s="70">
        <f t="shared" si="1"/>
        <v>4.1783443078980858</v>
      </c>
      <c r="U5" s="70">
        <f t="shared" si="2"/>
        <v>4.1804097702307672</v>
      </c>
      <c r="V5" s="18">
        <f t="shared" si="3"/>
        <v>29.15869140625</v>
      </c>
      <c r="W5" s="68">
        <f t="shared" si="4"/>
        <v>995.90491823645618</v>
      </c>
      <c r="X5" s="18">
        <f t="shared" si="5"/>
        <v>22.1937255859375</v>
      </c>
      <c r="Y5" s="68">
        <f t="shared" si="6"/>
        <v>997.73596873635131</v>
      </c>
      <c r="Z5" s="68">
        <f t="shared" si="7"/>
        <v>5.5849609375</v>
      </c>
      <c r="AA5" s="68">
        <f t="shared" si="8"/>
        <v>-4.188720703125</v>
      </c>
      <c r="AB5" s="67">
        <f t="shared" si="9"/>
        <v>2.8366432404195934E-2</v>
      </c>
      <c r="AC5" s="67">
        <f t="shared" si="10"/>
        <v>3.4914263228892496E-2</v>
      </c>
      <c r="AD5" s="85">
        <f t="shared" si="11"/>
        <v>661.95593898760796</v>
      </c>
      <c r="AE5" s="85">
        <f t="shared" si="12"/>
        <v>611.36861368169798</v>
      </c>
      <c r="AF5" s="85">
        <f t="shared" si="13"/>
        <v>50.587325305909985</v>
      </c>
      <c r="AG5" s="85">
        <f t="shared" si="14"/>
        <v>92.357901436268108</v>
      </c>
      <c r="AH5" s="85">
        <f t="shared" si="15"/>
        <v>47.12328767123288</v>
      </c>
      <c r="AI5" s="18"/>
      <c r="AJ5" s="85">
        <f t="shared" si="37"/>
        <v>43.522079580926338</v>
      </c>
      <c r="AK5" s="18"/>
      <c r="AL5" s="85">
        <f t="shared" si="16"/>
        <v>82.465753424657521</v>
      </c>
      <c r="AM5" s="18"/>
      <c r="AN5" s="85">
        <f t="shared" si="17"/>
        <v>6.5944991804188984</v>
      </c>
      <c r="AO5" s="85">
        <f t="shared" si="38"/>
        <v>1204.9008170628051</v>
      </c>
      <c r="AP5" s="66"/>
      <c r="AQ5" s="17">
        <f t="shared" si="18"/>
        <v>0.04</v>
      </c>
      <c r="AR5" s="17">
        <f t="shared" si="19"/>
        <v>1404.732079828354</v>
      </c>
      <c r="AS5" s="17">
        <f t="shared" si="20"/>
        <v>496.46695424070595</v>
      </c>
      <c r="AT5" s="17">
        <f t="shared" si="51"/>
        <v>14109.471430341793</v>
      </c>
      <c r="AU5" s="17">
        <f t="shared" si="21"/>
        <v>15333.685640047874</v>
      </c>
      <c r="AV5" s="17">
        <f t="shared" si="22"/>
        <v>8.0791296874999996E-4</v>
      </c>
      <c r="AW5" s="17">
        <f t="shared" si="23"/>
        <v>8.9861273437500007E-4</v>
      </c>
      <c r="AX5" s="17">
        <f t="shared" si="24"/>
        <v>9.32361484375E-4</v>
      </c>
      <c r="AY5" s="17">
        <f t="shared" si="25"/>
        <v>1.00038630859375E-3</v>
      </c>
      <c r="AZ5" s="17">
        <f t="shared" si="26"/>
        <v>3.0000000000000001E-3</v>
      </c>
      <c r="BA5" s="17">
        <f t="shared" si="27"/>
        <v>8.5326285156250002E-4</v>
      </c>
      <c r="BB5" s="17">
        <f t="shared" si="28"/>
        <v>9.6637389648437499E-4</v>
      </c>
      <c r="BC5" s="17">
        <f t="shared" si="29"/>
        <v>3.0000000000000001E-3</v>
      </c>
      <c r="BD5" s="17">
        <f t="shared" si="39"/>
        <v>86.62743022515528</v>
      </c>
      <c r="BE5" s="17">
        <f t="shared" si="40"/>
        <v>104.49010601711096</v>
      </c>
      <c r="BF5" s="17">
        <f t="shared" si="41"/>
        <v>5.8743222656250005</v>
      </c>
      <c r="BG5" s="17">
        <f t="shared" si="42"/>
        <v>6.7379780273437495</v>
      </c>
      <c r="BH5" s="17">
        <f t="shared" si="30"/>
        <v>0.40663274399497912</v>
      </c>
      <c r="BI5" s="17">
        <f t="shared" si="31"/>
        <v>0.3302094929113164</v>
      </c>
      <c r="BJ5" s="17">
        <f t="shared" si="43"/>
        <v>2509.5004217801679</v>
      </c>
      <c r="BK5" s="17">
        <f t="shared" si="44"/>
        <v>2317.7219260904599</v>
      </c>
      <c r="BL5" s="17">
        <f t="shared" si="32"/>
        <v>94.246575342465746</v>
      </c>
      <c r="BM5" s="17">
        <f t="shared" si="33"/>
        <v>70.68493150684931</v>
      </c>
      <c r="BN5" s="17">
        <f t="shared" si="45"/>
        <v>118.5247213714479</v>
      </c>
      <c r="BO5" s="17">
        <f t="shared" si="46"/>
        <v>145.955927122471</v>
      </c>
      <c r="BP5" s="17">
        <f t="shared" si="47"/>
        <v>118.5247213714479</v>
      </c>
      <c r="BQ5" s="17">
        <f t="shared" si="48"/>
        <v>145.955927122471</v>
      </c>
      <c r="BR5" s="17">
        <f t="shared" si="49"/>
        <v>0.81205829532358975</v>
      </c>
      <c r="BS5" s="17">
        <f t="shared" si="34"/>
        <v>26.0252685546875</v>
      </c>
      <c r="BT5" s="1">
        <f t="shared" si="35"/>
        <v>0.35342465753424657</v>
      </c>
      <c r="BU5" s="1">
        <f t="shared" si="36"/>
        <v>0.40663274399497912</v>
      </c>
      <c r="BV5" s="1">
        <f t="shared" si="50"/>
        <v>0.29704904141834648</v>
      </c>
    </row>
    <row r="6" spans="1:74" ht="12.75" customHeight="1" x14ac:dyDescent="0.2">
      <c r="A6" s="5">
        <v>1E-3</v>
      </c>
      <c r="B6" s="75" t="s">
        <v>76</v>
      </c>
      <c r="C6" s="73">
        <v>31.853759765625</v>
      </c>
      <c r="D6" s="73">
        <v>26.30126953125</v>
      </c>
      <c r="E6" s="73">
        <v>24.2880859375</v>
      </c>
      <c r="F6" s="73">
        <v>20.099365234375</v>
      </c>
      <c r="G6" s="73">
        <v>132.967529296875</v>
      </c>
      <c r="H6" s="73">
        <v>132.967529296875</v>
      </c>
      <c r="I6" s="73">
        <v>132.967529296875</v>
      </c>
      <c r="J6" s="73">
        <v>132.967529296875</v>
      </c>
      <c r="K6" s="73">
        <v>132.967529296875</v>
      </c>
      <c r="L6" s="73">
        <v>132.967529296875</v>
      </c>
      <c r="M6" s="75">
        <v>30</v>
      </c>
      <c r="N6" s="73">
        <v>1.62353515625</v>
      </c>
      <c r="O6" s="86">
        <v>30</v>
      </c>
      <c r="P6" s="74">
        <v>2.33154296875</v>
      </c>
      <c r="Q6" s="72">
        <v>1</v>
      </c>
      <c r="R6" s="71" t="str">
        <f t="shared" si="0"/>
        <v>Countercurrent</v>
      </c>
      <c r="S6" s="71" t="s">
        <v>71</v>
      </c>
      <c r="T6" s="70">
        <f t="shared" si="1"/>
        <v>4.1783571415676644</v>
      </c>
      <c r="U6" s="70">
        <f t="shared" si="2"/>
        <v>4.1804097702307672</v>
      </c>
      <c r="V6" s="18">
        <f t="shared" si="3"/>
        <v>29.0775146484375</v>
      </c>
      <c r="W6" s="68">
        <f t="shared" si="4"/>
        <v>995.92888827393108</v>
      </c>
      <c r="X6" s="18">
        <f t="shared" si="5"/>
        <v>22.1937255859375</v>
      </c>
      <c r="Y6" s="68">
        <f t="shared" si="6"/>
        <v>997.73596873635131</v>
      </c>
      <c r="Z6" s="68">
        <f t="shared" si="7"/>
        <v>5.552490234375</v>
      </c>
      <c r="AA6" s="68">
        <f t="shared" si="8"/>
        <v>-4.188720703125</v>
      </c>
      <c r="AB6" s="67">
        <f t="shared" si="9"/>
        <v>2.6948759387295091E-2</v>
      </c>
      <c r="AC6" s="67">
        <f t="shared" si="10"/>
        <v>3.8771071376270158E-2</v>
      </c>
      <c r="AD6" s="85">
        <f t="shared" si="11"/>
        <v>625.21895812340608</v>
      </c>
      <c r="AE6" s="85">
        <f t="shared" si="12"/>
        <v>678.90351868142056</v>
      </c>
      <c r="AF6" s="85">
        <f t="shared" si="13"/>
        <v>-53.684560558014482</v>
      </c>
      <c r="AG6" s="85">
        <f t="shared" si="14"/>
        <v>108.58652154745093</v>
      </c>
      <c r="AH6" s="85">
        <f t="shared" si="15"/>
        <v>47.237569060773474</v>
      </c>
      <c r="AI6" s="18"/>
      <c r="AJ6" s="85">
        <f t="shared" si="37"/>
        <v>51.2936331066688</v>
      </c>
      <c r="AK6" s="18"/>
      <c r="AL6" s="85">
        <f t="shared" si="16"/>
        <v>82.872928176795583</v>
      </c>
      <c r="AM6" s="18"/>
      <c r="AN6" s="85">
        <f t="shared" si="17"/>
        <v>6.5181540429666525</v>
      </c>
      <c r="AO6" s="85">
        <f t="shared" si="38"/>
        <v>1248.3524174533707</v>
      </c>
      <c r="AP6" s="66"/>
      <c r="AQ6" s="17">
        <f t="shared" si="18"/>
        <v>0.04</v>
      </c>
      <c r="AR6" s="17">
        <f t="shared" si="19"/>
        <v>1323.5629405887312</v>
      </c>
      <c r="AS6" s="17">
        <f t="shared" si="20"/>
        <v>471.65640700537654</v>
      </c>
      <c r="AT6" s="17">
        <f t="shared" si="51"/>
        <v>13383.642441779581</v>
      </c>
      <c r="AU6" s="17">
        <f t="shared" si="21"/>
        <v>17027.523007262465</v>
      </c>
      <c r="AV6" s="17">
        <f t="shared" si="22"/>
        <v>8.0949494140625006E-4</v>
      </c>
      <c r="AW6" s="17">
        <f t="shared" si="23"/>
        <v>8.9966738281250006E-4</v>
      </c>
      <c r="AX6" s="17">
        <f t="shared" si="24"/>
        <v>9.32361484375E-4</v>
      </c>
      <c r="AY6" s="17">
        <f t="shared" si="25"/>
        <v>1.00038630859375E-3</v>
      </c>
      <c r="AZ6" s="17">
        <f t="shared" si="26"/>
        <v>3.0000000000000001E-3</v>
      </c>
      <c r="BA6" s="17">
        <f t="shared" si="27"/>
        <v>8.5458116210937506E-4</v>
      </c>
      <c r="BB6" s="17">
        <f t="shared" si="28"/>
        <v>9.6637389648437499E-4</v>
      </c>
      <c r="BC6" s="17">
        <f t="shared" si="29"/>
        <v>3.0000000000000001E-3</v>
      </c>
      <c r="BD6" s="17">
        <f t="shared" si="39"/>
        <v>83.09103041980029</v>
      </c>
      <c r="BE6" s="17">
        <f t="shared" si="40"/>
        <v>114.42684818920232</v>
      </c>
      <c r="BF6" s="17">
        <f t="shared" si="41"/>
        <v>5.8843881835937495</v>
      </c>
      <c r="BG6" s="17">
        <f t="shared" si="42"/>
        <v>6.7379780273437495</v>
      </c>
      <c r="BH6" s="17">
        <f t="shared" si="30"/>
        <v>0.44345837674360011</v>
      </c>
      <c r="BI6" s="17">
        <f t="shared" si="31"/>
        <v>0.30808499127763783</v>
      </c>
      <c r="BJ6" s="17">
        <f t="shared" si="43"/>
        <v>2397.990880554757</v>
      </c>
      <c r="BK6" s="17">
        <f t="shared" si="44"/>
        <v>2603.8948842194995</v>
      </c>
      <c r="BL6" s="17">
        <f t="shared" si="32"/>
        <v>94.475138121546962</v>
      </c>
      <c r="BM6" s="17">
        <f t="shared" si="33"/>
        <v>71.270718232044203</v>
      </c>
      <c r="BN6" s="17">
        <f t="shared" si="45"/>
        <v>112.60154124229308</v>
      </c>
      <c r="BO6" s="17">
        <f t="shared" si="46"/>
        <v>162.0789655836742</v>
      </c>
      <c r="BP6" s="17">
        <f t="shared" si="47"/>
        <v>112.60154124229308</v>
      </c>
      <c r="BQ6" s="17">
        <f t="shared" si="48"/>
        <v>162.0789655836742</v>
      </c>
      <c r="BR6" s="17">
        <f t="shared" si="49"/>
        <v>0.69473260047530283</v>
      </c>
      <c r="BS6" s="17">
        <f t="shared" si="34"/>
        <v>25.9765625</v>
      </c>
      <c r="BT6" s="1">
        <f t="shared" si="35"/>
        <v>0.35635359116022097</v>
      </c>
      <c r="BU6" s="1">
        <f t="shared" si="36"/>
        <v>0.44345837674360011</v>
      </c>
      <c r="BV6" s="1">
        <f t="shared" si="50"/>
        <v>0.32197698262255958</v>
      </c>
    </row>
    <row r="7" spans="1:74" ht="12.75" customHeight="1" x14ac:dyDescent="0.2">
      <c r="A7" s="5">
        <v>1E-3</v>
      </c>
      <c r="B7" s="75" t="s">
        <v>77</v>
      </c>
      <c r="C7" s="73">
        <v>31.853759765625</v>
      </c>
      <c r="D7" s="73">
        <v>26.268798828125</v>
      </c>
      <c r="E7" s="73">
        <v>24.255615234375</v>
      </c>
      <c r="F7" s="73">
        <v>20.099365234375</v>
      </c>
      <c r="G7" s="73">
        <v>132.967529296875</v>
      </c>
      <c r="H7" s="73">
        <v>132.967529296875</v>
      </c>
      <c r="I7" s="73">
        <v>132.967529296875</v>
      </c>
      <c r="J7" s="73">
        <v>132.967529296875</v>
      </c>
      <c r="K7" s="73">
        <v>132.967529296875</v>
      </c>
      <c r="L7" s="73">
        <v>132.967529296875</v>
      </c>
      <c r="M7" s="75">
        <v>30</v>
      </c>
      <c r="N7" s="73">
        <v>1.64794921875</v>
      </c>
      <c r="O7" s="86">
        <v>30</v>
      </c>
      <c r="P7" s="74">
        <v>2.25830078125</v>
      </c>
      <c r="Q7" s="72">
        <v>1</v>
      </c>
      <c r="R7" s="71" t="str">
        <f t="shared" si="0"/>
        <v>Countercurrent</v>
      </c>
      <c r="S7" s="71" t="s">
        <v>71</v>
      </c>
      <c r="T7" s="70">
        <f t="shared" si="1"/>
        <v>4.1783597353052473</v>
      </c>
      <c r="U7" s="70">
        <f t="shared" si="2"/>
        <v>4.1804172745636023</v>
      </c>
      <c r="V7" s="18">
        <f t="shared" si="3"/>
        <v>29.061279296875</v>
      </c>
      <c r="W7" s="68">
        <f t="shared" si="4"/>
        <v>995.93367518581886</v>
      </c>
      <c r="X7" s="18">
        <f t="shared" si="5"/>
        <v>22.177490234375</v>
      </c>
      <c r="Y7" s="68">
        <f t="shared" si="6"/>
        <v>997.73967755123681</v>
      </c>
      <c r="Z7" s="68">
        <f t="shared" si="7"/>
        <v>5.5849609375</v>
      </c>
      <c r="AA7" s="68">
        <f t="shared" si="8"/>
        <v>-4.15625</v>
      </c>
      <c r="AB7" s="67">
        <f t="shared" si="9"/>
        <v>2.7354135365821441E-2</v>
      </c>
      <c r="AC7" s="67">
        <f t="shared" si="10"/>
        <v>3.7553271554968022E-2</v>
      </c>
      <c r="AD7" s="85">
        <f t="shared" si="11"/>
        <v>638.3354437853128</v>
      </c>
      <c r="AE7" s="85">
        <f t="shared" si="12"/>
        <v>652.48280942480983</v>
      </c>
      <c r="AF7" s="85">
        <f t="shared" si="13"/>
        <v>-14.147365639497025</v>
      </c>
      <c r="AG7" s="85">
        <f t="shared" si="14"/>
        <v>102.21629016173746</v>
      </c>
      <c r="AH7" s="85">
        <f t="shared" si="15"/>
        <v>47.51381215469614</v>
      </c>
      <c r="AI7" s="18"/>
      <c r="AJ7" s="85">
        <f t="shared" si="37"/>
        <v>48.566856098947085</v>
      </c>
      <c r="AK7" s="18"/>
      <c r="AL7" s="85">
        <f t="shared" si="16"/>
        <v>82.872928176795583</v>
      </c>
      <c r="AM7" s="18"/>
      <c r="AN7" s="85">
        <f t="shared" si="17"/>
        <v>6.5160569242451212</v>
      </c>
      <c r="AO7" s="85">
        <f t="shared" si="38"/>
        <v>1237.9641678954404</v>
      </c>
      <c r="AP7" s="66"/>
      <c r="AQ7" s="17">
        <f t="shared" si="18"/>
        <v>0.04</v>
      </c>
      <c r="AR7" s="17">
        <f t="shared" si="19"/>
        <v>1343.4734340132745</v>
      </c>
      <c r="AS7" s="17">
        <f t="shared" si="20"/>
        <v>475.0403302588374</v>
      </c>
      <c r="AT7" s="17">
        <f t="shared" si="51"/>
        <v>13580.775470617311</v>
      </c>
      <c r="AU7" s="17">
        <f t="shared" si="21"/>
        <v>16488.18972284468</v>
      </c>
      <c r="AV7" s="17">
        <f t="shared" si="22"/>
        <v>8.0949494140625006E-4</v>
      </c>
      <c r="AW7" s="17">
        <f t="shared" si="23"/>
        <v>9.0019470703125006E-4</v>
      </c>
      <c r="AX7" s="17">
        <f t="shared" si="24"/>
        <v>9.3288880859375011E-4</v>
      </c>
      <c r="AY7" s="17">
        <f t="shared" si="25"/>
        <v>1.00038630859375E-3</v>
      </c>
      <c r="AZ7" s="17">
        <f t="shared" si="26"/>
        <v>3.0000000000000001E-3</v>
      </c>
      <c r="BA7" s="17">
        <f t="shared" si="27"/>
        <v>8.5484482421875011E-4</v>
      </c>
      <c r="BB7" s="17">
        <f t="shared" si="28"/>
        <v>9.6663755859375004E-4</v>
      </c>
      <c r="BC7" s="17">
        <f t="shared" si="29"/>
        <v>3.0000000000000001E-3</v>
      </c>
      <c r="BD7" s="17">
        <f t="shared" si="39"/>
        <v>84.078287705175299</v>
      </c>
      <c r="BE7" s="17">
        <f t="shared" si="40"/>
        <v>111.28889315043378</v>
      </c>
      <c r="BF7" s="17">
        <f t="shared" si="41"/>
        <v>5.8864013671875002</v>
      </c>
      <c r="BG7" s="17">
        <f t="shared" si="42"/>
        <v>6.7399912109375002</v>
      </c>
      <c r="BH7" s="17">
        <f t="shared" si="30"/>
        <v>0.43325067326488986</v>
      </c>
      <c r="BI7" s="17">
        <f t="shared" si="31"/>
        <v>0.31542829932032723</v>
      </c>
      <c r="BJ7" s="17">
        <f t="shared" si="43"/>
        <v>2449.0863539350653</v>
      </c>
      <c r="BK7" s="17">
        <f t="shared" si="44"/>
        <v>2503.3652138497828</v>
      </c>
      <c r="BL7" s="17">
        <f t="shared" si="32"/>
        <v>95.027624309392266</v>
      </c>
      <c r="BM7" s="17">
        <f t="shared" si="33"/>
        <v>70.718232044198899</v>
      </c>
      <c r="BN7" s="17">
        <f t="shared" si="45"/>
        <v>114.29541780663757</v>
      </c>
      <c r="BO7" s="17">
        <f t="shared" si="46"/>
        <v>156.98834512476628</v>
      </c>
      <c r="BP7" s="17">
        <f t="shared" si="47"/>
        <v>114.29541780663757</v>
      </c>
      <c r="BQ7" s="17">
        <f t="shared" si="48"/>
        <v>156.98834512476628</v>
      </c>
      <c r="BR7" s="17">
        <f t="shared" si="49"/>
        <v>0.72805033848723888</v>
      </c>
      <c r="BS7" s="17">
        <f t="shared" si="34"/>
        <v>25.9765625</v>
      </c>
      <c r="BT7" s="1">
        <f t="shared" si="35"/>
        <v>0.35359116022099446</v>
      </c>
      <c r="BU7" s="1">
        <f t="shared" si="36"/>
        <v>0.43325067326488986</v>
      </c>
      <c r="BV7" s="1">
        <f t="shared" si="50"/>
        <v>0.31497776360918128</v>
      </c>
    </row>
    <row r="8" spans="1:74" ht="12.75" customHeight="1" x14ac:dyDescent="0.2">
      <c r="A8" s="5">
        <v>1E-3</v>
      </c>
      <c r="B8" s="75" t="s">
        <v>78</v>
      </c>
      <c r="C8" s="73">
        <v>31.75634765625</v>
      </c>
      <c r="D8" s="73">
        <v>26.236328125</v>
      </c>
      <c r="E8" s="73">
        <v>24.22314453125</v>
      </c>
      <c r="F8" s="73">
        <v>20.099365234375</v>
      </c>
      <c r="G8" s="73">
        <v>132.967529296875</v>
      </c>
      <c r="H8" s="73">
        <v>132.967529296875</v>
      </c>
      <c r="I8" s="73">
        <v>132.967529296875</v>
      </c>
      <c r="J8" s="73">
        <v>132.967529296875</v>
      </c>
      <c r="K8" s="73">
        <v>132.967529296875</v>
      </c>
      <c r="L8" s="73">
        <v>132.967529296875</v>
      </c>
      <c r="M8" s="75">
        <v>30</v>
      </c>
      <c r="N8" s="73">
        <v>1.69677734375</v>
      </c>
      <c r="O8" s="86">
        <v>30</v>
      </c>
      <c r="P8" s="74">
        <v>2.25830078125</v>
      </c>
      <c r="Q8" s="72">
        <v>1</v>
      </c>
      <c r="R8" s="71" t="str">
        <f t="shared" si="0"/>
        <v>Countercurrent</v>
      </c>
      <c r="S8" s="71" t="s">
        <v>71</v>
      </c>
      <c r="T8" s="70">
        <f t="shared" si="1"/>
        <v>4.1783702005841521</v>
      </c>
      <c r="U8" s="70">
        <f t="shared" si="2"/>
        <v>4.1804247936763819</v>
      </c>
      <c r="V8" s="18">
        <f t="shared" si="3"/>
        <v>28.996337890625</v>
      </c>
      <c r="W8" s="68">
        <f t="shared" si="4"/>
        <v>995.95279915547485</v>
      </c>
      <c r="X8" s="18">
        <f t="shared" si="5"/>
        <v>22.1612548828125</v>
      </c>
      <c r="Y8" s="68">
        <f t="shared" si="6"/>
        <v>997.7433836354179</v>
      </c>
      <c r="Z8" s="68">
        <f t="shared" si="7"/>
        <v>5.52001953125</v>
      </c>
      <c r="AA8" s="68">
        <f t="shared" si="8"/>
        <v>-4.123779296875</v>
      </c>
      <c r="AB8" s="67">
        <f t="shared" si="9"/>
        <v>2.8165169084190061E-2</v>
      </c>
      <c r="AC8" s="67">
        <f t="shared" si="10"/>
        <v>3.7553411045848042E-2</v>
      </c>
      <c r="AD8" s="85">
        <f t="shared" si="11"/>
        <v>649.62075616623474</v>
      </c>
      <c r="AE8" s="85">
        <f t="shared" si="12"/>
        <v>647.38885660063363</v>
      </c>
      <c r="AF8" s="85">
        <f t="shared" si="13"/>
        <v>2.2318995656011111</v>
      </c>
      <c r="AG8" s="85">
        <f t="shared" si="14"/>
        <v>99.656430379661401</v>
      </c>
      <c r="AH8" s="85">
        <f t="shared" si="15"/>
        <v>47.353760445682454</v>
      </c>
      <c r="AI8" s="18"/>
      <c r="AJ8" s="85">
        <f t="shared" si="37"/>
        <v>47.191067310703168</v>
      </c>
      <c r="AK8" s="18"/>
      <c r="AL8" s="85">
        <f t="shared" si="16"/>
        <v>82.729805013927574</v>
      </c>
      <c r="AM8" s="18"/>
      <c r="AN8" s="85">
        <f t="shared" si="17"/>
        <v>6.4706859611029452</v>
      </c>
      <c r="AO8" s="85">
        <f t="shared" si="38"/>
        <v>1252.7707455413315</v>
      </c>
      <c r="AP8" s="66"/>
      <c r="AQ8" s="17">
        <f t="shared" si="18"/>
        <v>0.04</v>
      </c>
      <c r="AR8" s="17">
        <f t="shared" si="19"/>
        <v>1371.8461850804604</v>
      </c>
      <c r="AS8" s="17">
        <f t="shared" si="20"/>
        <v>485.30491784183414</v>
      </c>
      <c r="AT8" s="17">
        <f t="shared" si="51"/>
        <v>13966.206783159483</v>
      </c>
      <c r="AU8" s="17">
        <f t="shared" si="21"/>
        <v>16483.754823992454</v>
      </c>
      <c r="AV8" s="17">
        <f t="shared" si="22"/>
        <v>8.1107691406250005E-4</v>
      </c>
      <c r="AW8" s="17">
        <f t="shared" si="23"/>
        <v>9.0072203125000005E-4</v>
      </c>
      <c r="AX8" s="17">
        <f t="shared" si="24"/>
        <v>9.334161328125001E-4</v>
      </c>
      <c r="AY8" s="17">
        <f t="shared" si="25"/>
        <v>1.00038630859375E-3</v>
      </c>
      <c r="AZ8" s="17">
        <f t="shared" si="26"/>
        <v>3.0000000000000001E-3</v>
      </c>
      <c r="BA8" s="17">
        <f t="shared" si="27"/>
        <v>8.558994726562501E-4</v>
      </c>
      <c r="BB8" s="17">
        <f t="shared" si="28"/>
        <v>9.6690122070312509E-4</v>
      </c>
      <c r="BC8" s="17">
        <f t="shared" si="29"/>
        <v>3.0000000000000001E-3</v>
      </c>
      <c r="BD8" s="17">
        <f t="shared" si="39"/>
        <v>86.02107857079568</v>
      </c>
      <c r="BE8" s="17">
        <f t="shared" si="40"/>
        <v>111.2740167202208</v>
      </c>
      <c r="BF8" s="17">
        <f t="shared" si="41"/>
        <v>5.8944541015625003</v>
      </c>
      <c r="BG8" s="17">
        <f t="shared" si="42"/>
        <v>6.74200439453125</v>
      </c>
      <c r="BH8" s="17">
        <f t="shared" si="30"/>
        <v>0.42580652898948801</v>
      </c>
      <c r="BI8" s="17">
        <f t="shared" si="31"/>
        <v>0.31919919606407055</v>
      </c>
      <c r="BJ8" s="17">
        <f t="shared" si="43"/>
        <v>2509.8604694744959</v>
      </c>
      <c r="BK8" s="17">
        <f t="shared" si="44"/>
        <v>2501.2373513884936</v>
      </c>
      <c r="BL8" s="17">
        <f t="shared" si="32"/>
        <v>94.707520891364908</v>
      </c>
      <c r="BM8" s="17">
        <f t="shared" si="33"/>
        <v>70.752089136490255</v>
      </c>
      <c r="BN8" s="17">
        <f t="shared" si="45"/>
        <v>117.68450319579378</v>
      </c>
      <c r="BO8" s="17">
        <f t="shared" si="46"/>
        <v>156.98921062318365</v>
      </c>
      <c r="BP8" s="17">
        <f t="shared" si="47"/>
        <v>117.68450319579378</v>
      </c>
      <c r="BQ8" s="17">
        <f t="shared" si="48"/>
        <v>156.98921062318365</v>
      </c>
      <c r="BR8" s="17">
        <f t="shared" si="49"/>
        <v>0.74963433938315838</v>
      </c>
      <c r="BS8" s="17">
        <f t="shared" si="34"/>
        <v>25.9278564453125</v>
      </c>
      <c r="BT8" s="1">
        <f t="shared" si="35"/>
        <v>0.35376044568245124</v>
      </c>
      <c r="BU8" s="1">
        <f t="shared" si="36"/>
        <v>0.42580652898948801</v>
      </c>
      <c r="BV8" s="1">
        <f t="shared" si="50"/>
        <v>0.31002701094928209</v>
      </c>
    </row>
    <row r="9" spans="1:74" ht="12.75" customHeight="1" x14ac:dyDescent="0.2">
      <c r="A9" s="5">
        <v>1E-3</v>
      </c>
      <c r="B9" s="75" t="s">
        <v>79</v>
      </c>
      <c r="C9" s="73">
        <v>31.88623046875</v>
      </c>
      <c r="D9" s="73">
        <v>26.236328125</v>
      </c>
      <c r="E9" s="73">
        <v>24.22314453125</v>
      </c>
      <c r="F9" s="73">
        <v>20.099365234375</v>
      </c>
      <c r="G9" s="73">
        <v>132.967529296875</v>
      </c>
      <c r="H9" s="73">
        <v>132.967529296875</v>
      </c>
      <c r="I9" s="73">
        <v>132.967529296875</v>
      </c>
      <c r="J9" s="73">
        <v>132.967529296875</v>
      </c>
      <c r="K9" s="73">
        <v>132.967529296875</v>
      </c>
      <c r="L9" s="73">
        <v>132.967529296875</v>
      </c>
      <c r="M9" s="75">
        <v>30</v>
      </c>
      <c r="N9" s="73">
        <v>1.7333984375</v>
      </c>
      <c r="O9" s="86">
        <v>30</v>
      </c>
      <c r="P9" s="74">
        <v>2.1240234375</v>
      </c>
      <c r="Q9" s="72">
        <v>1</v>
      </c>
      <c r="R9" s="71" t="str">
        <f t="shared" si="0"/>
        <v>Countercurrent</v>
      </c>
      <c r="S9" s="71" t="s">
        <v>71</v>
      </c>
      <c r="T9" s="70">
        <f t="shared" si="1"/>
        <v>4.1783597353052473</v>
      </c>
      <c r="U9" s="70">
        <f t="shared" si="2"/>
        <v>4.1804247936763819</v>
      </c>
      <c r="V9" s="18">
        <f t="shared" si="3"/>
        <v>29.061279296875</v>
      </c>
      <c r="W9" s="68">
        <f t="shared" si="4"/>
        <v>995.93367518581886</v>
      </c>
      <c r="X9" s="18">
        <f t="shared" si="5"/>
        <v>22.1612548828125</v>
      </c>
      <c r="Y9" s="68">
        <f t="shared" si="6"/>
        <v>997.7433836354179</v>
      </c>
      <c r="Z9" s="68">
        <f t="shared" si="7"/>
        <v>5.64990234375</v>
      </c>
      <c r="AA9" s="68">
        <f t="shared" si="8"/>
        <v>-4.123779296875</v>
      </c>
      <c r="AB9" s="67">
        <f t="shared" si="9"/>
        <v>2.8772497940345514E-2</v>
      </c>
      <c r="AC9" s="67">
        <f t="shared" si="10"/>
        <v>3.5320505524203023E-2</v>
      </c>
      <c r="AD9" s="85">
        <f t="shared" si="11"/>
        <v>679.24169444649044</v>
      </c>
      <c r="AE9" s="85">
        <f t="shared" si="12"/>
        <v>608.89546512708239</v>
      </c>
      <c r="AF9" s="85">
        <f t="shared" si="13"/>
        <v>70.346229319408053</v>
      </c>
      <c r="AG9" s="85">
        <f t="shared" si="14"/>
        <v>89.643417078992371</v>
      </c>
      <c r="AH9" s="85">
        <f t="shared" si="15"/>
        <v>47.933884297520656</v>
      </c>
      <c r="AI9" s="18"/>
      <c r="AJ9" s="85">
        <f t="shared" si="37"/>
        <v>42.96957182298808</v>
      </c>
      <c r="AK9" s="18"/>
      <c r="AL9" s="85">
        <f t="shared" si="16"/>
        <v>82.92011019283747</v>
      </c>
      <c r="AM9" s="18"/>
      <c r="AN9" s="85">
        <f t="shared" si="17"/>
        <v>6.5282133673063356</v>
      </c>
      <c r="AO9" s="85">
        <f t="shared" si="38"/>
        <v>1229.5625750640745</v>
      </c>
      <c r="AP9" s="66"/>
      <c r="AQ9" s="17">
        <f t="shared" si="18"/>
        <v>0.04</v>
      </c>
      <c r="AR9" s="17">
        <f t="shared" si="19"/>
        <v>1417.0387073797474</v>
      </c>
      <c r="AS9" s="17">
        <f t="shared" si="20"/>
        <v>495.76836318795569</v>
      </c>
      <c r="AT9" s="17">
        <f t="shared" si="51"/>
        <v>14284.963828353026</v>
      </c>
      <c r="AU9" s="17">
        <f t="shared" si="21"/>
        <v>15503.639672295605</v>
      </c>
      <c r="AV9" s="17">
        <f t="shared" si="22"/>
        <v>8.0896761718749995E-4</v>
      </c>
      <c r="AW9" s="17">
        <f t="shared" si="23"/>
        <v>9.0072203125000005E-4</v>
      </c>
      <c r="AX9" s="17">
        <f t="shared" si="24"/>
        <v>9.334161328125001E-4</v>
      </c>
      <c r="AY9" s="17">
        <f t="shared" si="25"/>
        <v>1.00038630859375E-3</v>
      </c>
      <c r="AZ9" s="17">
        <f t="shared" si="26"/>
        <v>3.0000000000000001E-3</v>
      </c>
      <c r="BA9" s="17">
        <f t="shared" si="27"/>
        <v>8.5484482421875E-4</v>
      </c>
      <c r="BB9" s="17">
        <f t="shared" si="28"/>
        <v>9.6690122070312509E-4</v>
      </c>
      <c r="BC9" s="17">
        <f t="shared" si="29"/>
        <v>3.0000000000000001E-3</v>
      </c>
      <c r="BD9" s="17">
        <f t="shared" si="39"/>
        <v>87.548260039207577</v>
      </c>
      <c r="BE9" s="17">
        <f t="shared" si="40"/>
        <v>105.51448293033677</v>
      </c>
      <c r="BF9" s="17">
        <f t="shared" si="41"/>
        <v>5.8864013671875002</v>
      </c>
      <c r="BG9" s="17">
        <f t="shared" si="42"/>
        <v>6.74200439453125</v>
      </c>
      <c r="BH9" s="17">
        <f t="shared" si="30"/>
        <v>0.40909788262057672</v>
      </c>
      <c r="BI9" s="17">
        <f t="shared" si="31"/>
        <v>0.33309130920876823</v>
      </c>
      <c r="BJ9" s="17">
        <f t="shared" si="43"/>
        <v>2601.1775972587366</v>
      </c>
      <c r="BK9" s="17">
        <f t="shared" si="44"/>
        <v>2331.7844824759618</v>
      </c>
      <c r="BL9" s="17">
        <f t="shared" si="32"/>
        <v>95.867768595041326</v>
      </c>
      <c r="BM9" s="17">
        <f t="shared" si="33"/>
        <v>69.972451790633613</v>
      </c>
      <c r="BN9" s="17">
        <f t="shared" si="45"/>
        <v>120.22184687809286</v>
      </c>
      <c r="BO9" s="17">
        <f t="shared" si="46"/>
        <v>147.65471701856191</v>
      </c>
      <c r="BP9" s="17">
        <f t="shared" si="47"/>
        <v>120.22184687809286</v>
      </c>
      <c r="BQ9" s="17">
        <f t="shared" si="48"/>
        <v>147.65471701856191</v>
      </c>
      <c r="BR9" s="17">
        <f t="shared" si="49"/>
        <v>0.81420932094556508</v>
      </c>
      <c r="BS9" s="17">
        <f t="shared" si="34"/>
        <v>25.9927978515625</v>
      </c>
      <c r="BT9" s="1">
        <f t="shared" si="35"/>
        <v>0.34986225895316803</v>
      </c>
      <c r="BU9" s="1">
        <f t="shared" si="36"/>
        <v>0.40909788262057672</v>
      </c>
      <c r="BV9" s="1">
        <f t="shared" si="50"/>
        <v>0.29826848290678348</v>
      </c>
    </row>
    <row r="10" spans="1:74" ht="12.75" customHeight="1" x14ac:dyDescent="0.2">
      <c r="A10" s="5">
        <v>1E-3</v>
      </c>
      <c r="B10" s="75" t="s">
        <v>80</v>
      </c>
      <c r="C10" s="73">
        <v>31.983642578125</v>
      </c>
      <c r="D10" s="73">
        <v>26.30126953125</v>
      </c>
      <c r="E10" s="73">
        <v>24.255615234375</v>
      </c>
      <c r="F10" s="73">
        <v>20.099365234375</v>
      </c>
      <c r="G10" s="73">
        <v>132.967529296875</v>
      </c>
      <c r="H10" s="73">
        <v>132.967529296875</v>
      </c>
      <c r="I10" s="73">
        <v>132.967529296875</v>
      </c>
      <c r="J10" s="73">
        <v>132.967529296875</v>
      </c>
      <c r="K10" s="73">
        <v>132.967529296875</v>
      </c>
      <c r="L10" s="73">
        <v>132.967529296875</v>
      </c>
      <c r="M10" s="75">
        <v>30</v>
      </c>
      <c r="N10" s="73">
        <v>1.7333984375</v>
      </c>
      <c r="O10" s="86">
        <v>30</v>
      </c>
      <c r="P10" s="74">
        <v>2.3193359375</v>
      </c>
      <c r="Q10" s="72">
        <v>1</v>
      </c>
      <c r="R10" s="71" t="str">
        <f t="shared" si="0"/>
        <v>Countercurrent</v>
      </c>
      <c r="S10" s="71" t="s">
        <v>71</v>
      </c>
      <c r="T10" s="70">
        <f t="shared" si="1"/>
        <v>4.1783468566610722</v>
      </c>
      <c r="U10" s="70">
        <f t="shared" si="2"/>
        <v>4.1804172745636023</v>
      </c>
      <c r="V10" s="18">
        <f t="shared" si="3"/>
        <v>29.1424560546875</v>
      </c>
      <c r="W10" s="68">
        <f t="shared" si="4"/>
        <v>995.90971697177179</v>
      </c>
      <c r="X10" s="18">
        <f t="shared" si="5"/>
        <v>22.177490234375</v>
      </c>
      <c r="Y10" s="68">
        <f t="shared" si="6"/>
        <v>997.73967755123681</v>
      </c>
      <c r="Z10" s="68">
        <f t="shared" si="7"/>
        <v>5.682373046875</v>
      </c>
      <c r="AA10" s="68">
        <f t="shared" si="8"/>
        <v>-4.15625</v>
      </c>
      <c r="AB10" s="67">
        <f t="shared" si="9"/>
        <v>2.8771805788165607E-2</v>
      </c>
      <c r="AC10" s="67">
        <f t="shared" si="10"/>
        <v>3.8568224840237426E-2</v>
      </c>
      <c r="AD10" s="85">
        <f t="shared" si="11"/>
        <v>683.12684302025707</v>
      </c>
      <c r="AE10" s="85">
        <f t="shared" si="12"/>
        <v>670.11747994980465</v>
      </c>
      <c r="AF10" s="85">
        <f t="shared" si="13"/>
        <v>13.009363070452423</v>
      </c>
      <c r="AG10" s="85">
        <f t="shared" si="14"/>
        <v>98.095615301408003</v>
      </c>
      <c r="AH10" s="85">
        <f t="shared" si="15"/>
        <v>47.814207650273225</v>
      </c>
      <c r="AI10" s="18"/>
      <c r="AJ10" s="85">
        <f t="shared" si="37"/>
        <v>46.90364119602841</v>
      </c>
      <c r="AK10" s="18"/>
      <c r="AL10" s="85">
        <f t="shared" si="16"/>
        <v>82.786885245901644</v>
      </c>
      <c r="AM10" s="18"/>
      <c r="AN10" s="85">
        <f t="shared" si="17"/>
        <v>6.5901593013740811</v>
      </c>
      <c r="AO10" s="85">
        <f t="shared" si="38"/>
        <v>1283.2763178317009</v>
      </c>
      <c r="AP10" s="66"/>
      <c r="AQ10" s="17">
        <f t="shared" si="18"/>
        <v>0.04</v>
      </c>
      <c r="AR10" s="17">
        <f t="shared" si="19"/>
        <v>1428.7109974023663</v>
      </c>
      <c r="AS10" s="17">
        <f t="shared" si="20"/>
        <v>499.65849089481662</v>
      </c>
      <c r="AT10" s="17">
        <f t="shared" si="51"/>
        <v>14306.683434798621</v>
      </c>
      <c r="AU10" s="17">
        <f t="shared" si="21"/>
        <v>16933.81647211075</v>
      </c>
      <c r="AV10" s="17">
        <f t="shared" si="22"/>
        <v>8.0738564453124997E-4</v>
      </c>
      <c r="AW10" s="17">
        <f t="shared" si="23"/>
        <v>8.9966738281250006E-4</v>
      </c>
      <c r="AX10" s="17">
        <f t="shared" si="24"/>
        <v>9.3288880859375011E-4</v>
      </c>
      <c r="AY10" s="17">
        <f t="shared" si="25"/>
        <v>1.00038630859375E-3</v>
      </c>
      <c r="AZ10" s="17">
        <f t="shared" si="26"/>
        <v>3.0000000000000001E-3</v>
      </c>
      <c r="BA10" s="17">
        <f t="shared" si="27"/>
        <v>8.5352651367187507E-4</v>
      </c>
      <c r="BB10" s="17">
        <f t="shared" si="28"/>
        <v>9.6663755859375004E-4</v>
      </c>
      <c r="BC10" s="17">
        <f t="shared" si="29"/>
        <v>3.0000000000000001E-3</v>
      </c>
      <c r="BD10" s="17">
        <f t="shared" si="39"/>
        <v>87.604741714487133</v>
      </c>
      <c r="BE10" s="17">
        <f t="shared" si="40"/>
        <v>113.8920228451577</v>
      </c>
      <c r="BF10" s="17">
        <f t="shared" si="41"/>
        <v>5.8763354492187503</v>
      </c>
      <c r="BG10" s="17">
        <f t="shared" si="42"/>
        <v>6.7399912109375002</v>
      </c>
      <c r="BH10" s="17">
        <f t="shared" si="30"/>
        <v>0.42698101148536588</v>
      </c>
      <c r="BI10" s="17">
        <f t="shared" si="31"/>
        <v>0.31836908336654779</v>
      </c>
      <c r="BJ10" s="17">
        <f t="shared" si="43"/>
        <v>2591.4655920298533</v>
      </c>
      <c r="BK10" s="17">
        <f t="shared" si="44"/>
        <v>2542.11411782596</v>
      </c>
      <c r="BL10" s="17">
        <f t="shared" si="32"/>
        <v>95.62841530054645</v>
      </c>
      <c r="BM10" s="17">
        <f t="shared" si="33"/>
        <v>69.945355191256837</v>
      </c>
      <c r="BN10" s="17">
        <f t="shared" si="45"/>
        <v>120.2185842754446</v>
      </c>
      <c r="BO10" s="17">
        <f t="shared" si="46"/>
        <v>161.23127337138158</v>
      </c>
      <c r="BP10" s="17">
        <f t="shared" si="47"/>
        <v>120.2185842754446</v>
      </c>
      <c r="BQ10" s="17">
        <f t="shared" si="48"/>
        <v>161.23127337138158</v>
      </c>
      <c r="BR10" s="17">
        <f t="shared" si="49"/>
        <v>0.74562820079285752</v>
      </c>
      <c r="BS10" s="17">
        <f t="shared" si="34"/>
        <v>26.04150390625</v>
      </c>
      <c r="BT10" s="1">
        <f t="shared" si="35"/>
        <v>0.34972677595628415</v>
      </c>
      <c r="BU10" s="1">
        <f t="shared" si="36"/>
        <v>0.42698101148536588</v>
      </c>
      <c r="BV10" s="1">
        <f t="shared" si="50"/>
        <v>0.31083504229805936</v>
      </c>
    </row>
    <row r="11" spans="1:74" ht="12.75" customHeight="1" x14ac:dyDescent="0.2">
      <c r="A11" s="5">
        <v>1E-3</v>
      </c>
      <c r="B11" s="75" t="s">
        <v>81</v>
      </c>
      <c r="C11" s="73">
        <v>31.951171875</v>
      </c>
      <c r="D11" s="73">
        <v>26.30126953125</v>
      </c>
      <c r="E11" s="73">
        <v>24.255615234375</v>
      </c>
      <c r="F11" s="73">
        <v>20.06689453125</v>
      </c>
      <c r="G11" s="73">
        <v>132.967529296875</v>
      </c>
      <c r="H11" s="73">
        <v>132.967529296875</v>
      </c>
      <c r="I11" s="73">
        <v>132.967529296875</v>
      </c>
      <c r="J11" s="73">
        <v>132.967529296875</v>
      </c>
      <c r="K11" s="73">
        <v>132.967529296875</v>
      </c>
      <c r="L11" s="73">
        <v>132.967529296875</v>
      </c>
      <c r="M11" s="75">
        <v>30</v>
      </c>
      <c r="N11" s="73">
        <v>1.6357421875</v>
      </c>
      <c r="O11" s="86">
        <v>30</v>
      </c>
      <c r="P11" s="74">
        <v>2.20947265625</v>
      </c>
      <c r="Q11" s="72">
        <v>1</v>
      </c>
      <c r="R11" s="71" t="str">
        <f t="shared" si="0"/>
        <v>Countercurrent</v>
      </c>
      <c r="S11" s="71" t="s">
        <v>71</v>
      </c>
      <c r="T11" s="70">
        <f t="shared" si="1"/>
        <v>4.1783494144000848</v>
      </c>
      <c r="U11" s="70">
        <f t="shared" si="2"/>
        <v>4.1804247936763819</v>
      </c>
      <c r="V11" s="18">
        <f t="shared" si="3"/>
        <v>29.126220703125</v>
      </c>
      <c r="W11" s="68">
        <f t="shared" si="4"/>
        <v>995.91451334395185</v>
      </c>
      <c r="X11" s="18">
        <f t="shared" si="5"/>
        <v>22.1612548828125</v>
      </c>
      <c r="Y11" s="68">
        <f t="shared" si="6"/>
        <v>997.7433836354179</v>
      </c>
      <c r="Z11" s="68">
        <f t="shared" si="7"/>
        <v>5.64990234375</v>
      </c>
      <c r="AA11" s="68">
        <f t="shared" si="8"/>
        <v>-4.188720703125</v>
      </c>
      <c r="AB11" s="67">
        <f t="shared" si="9"/>
        <v>2.7150989743670563E-2</v>
      </c>
      <c r="AC11" s="67">
        <f t="shared" si="10"/>
        <v>3.6741445401613497E-2</v>
      </c>
      <c r="AD11" s="85">
        <f t="shared" si="11"/>
        <v>640.96064109915255</v>
      </c>
      <c r="AE11" s="85">
        <f t="shared" si="12"/>
        <v>643.36592520826548</v>
      </c>
      <c r="AF11" s="85">
        <f t="shared" si="13"/>
        <v>-2.4052841091129267</v>
      </c>
      <c r="AG11" s="85">
        <f t="shared" si="14"/>
        <v>100.37526237258317</v>
      </c>
      <c r="AH11" s="85">
        <f t="shared" si="15"/>
        <v>47.540983606557383</v>
      </c>
      <c r="AI11" s="18"/>
      <c r="AJ11" s="85">
        <f t="shared" si="37"/>
        <v>47.719387029588717</v>
      </c>
      <c r="AK11" s="18"/>
      <c r="AL11" s="85">
        <f t="shared" si="16"/>
        <v>82.78688524590163</v>
      </c>
      <c r="AM11" s="18"/>
      <c r="AN11" s="85">
        <f t="shared" si="17"/>
        <v>6.5923780339818414</v>
      </c>
      <c r="AO11" s="85">
        <f t="shared" si="38"/>
        <v>1217.6202341894395</v>
      </c>
      <c r="AP11" s="66"/>
      <c r="AQ11" s="17">
        <f t="shared" si="18"/>
        <v>0.04</v>
      </c>
      <c r="AR11" s="17">
        <f t="shared" si="19"/>
        <v>1348.2275554154587</v>
      </c>
      <c r="AS11" s="17">
        <f t="shared" si="20"/>
        <v>475.19495805626821</v>
      </c>
      <c r="AT11" s="17">
        <f t="shared" si="51"/>
        <v>13496.568907658369</v>
      </c>
      <c r="AU11" s="17">
        <f t="shared" si="21"/>
        <v>16127.349314284511</v>
      </c>
      <c r="AV11" s="17">
        <f t="shared" si="22"/>
        <v>8.0791296874999996E-4</v>
      </c>
      <c r="AW11" s="17">
        <f t="shared" si="23"/>
        <v>8.9966738281250006E-4</v>
      </c>
      <c r="AX11" s="17">
        <f t="shared" si="24"/>
        <v>9.3288880859375011E-4</v>
      </c>
      <c r="AY11" s="17">
        <f t="shared" si="25"/>
        <v>1.0009136328125001E-3</v>
      </c>
      <c r="AZ11" s="17">
        <f t="shared" si="26"/>
        <v>3.0000000000000001E-3</v>
      </c>
      <c r="BA11" s="17">
        <f t="shared" si="27"/>
        <v>8.5379017578125001E-4</v>
      </c>
      <c r="BB11" s="17">
        <f t="shared" si="28"/>
        <v>9.6690122070312509E-4</v>
      </c>
      <c r="BC11" s="17">
        <f t="shared" si="29"/>
        <v>3.0000000000000001E-3</v>
      </c>
      <c r="BD11" s="17">
        <f t="shared" si="39"/>
        <v>83.622804232886409</v>
      </c>
      <c r="BE11" s="17">
        <f t="shared" si="40"/>
        <v>109.18505600153686</v>
      </c>
      <c r="BF11" s="17">
        <f t="shared" si="41"/>
        <v>5.8783486328125001</v>
      </c>
      <c r="BG11" s="17">
        <f t="shared" si="42"/>
        <v>6.74200439453125</v>
      </c>
      <c r="BH11" s="17">
        <f t="shared" si="30"/>
        <v>0.42932030292200946</v>
      </c>
      <c r="BI11" s="17">
        <f t="shared" si="31"/>
        <v>0.31709923598096657</v>
      </c>
      <c r="BJ11" s="17">
        <f t="shared" si="43"/>
        <v>2430.6882804474426</v>
      </c>
      <c r="BK11" s="17">
        <f t="shared" si="44"/>
        <v>2439.8097389587506</v>
      </c>
      <c r="BL11" s="17">
        <f t="shared" si="32"/>
        <v>95.081967213114751</v>
      </c>
      <c r="BM11" s="17">
        <f t="shared" si="33"/>
        <v>70.491803278688522</v>
      </c>
      <c r="BN11" s="17">
        <f t="shared" si="45"/>
        <v>113.44632209584861</v>
      </c>
      <c r="BO11" s="17">
        <f t="shared" si="46"/>
        <v>153.59484931241215</v>
      </c>
      <c r="BP11" s="17">
        <f t="shared" si="47"/>
        <v>113.44632209584861</v>
      </c>
      <c r="BQ11" s="17">
        <f t="shared" si="48"/>
        <v>153.59484931241215</v>
      </c>
      <c r="BR11" s="17">
        <f t="shared" si="49"/>
        <v>0.73860759396364017</v>
      </c>
      <c r="BS11" s="17">
        <f t="shared" si="34"/>
        <v>26.009033203125</v>
      </c>
      <c r="BT11" s="1">
        <f t="shared" si="35"/>
        <v>0.35245901639344263</v>
      </c>
      <c r="BU11" s="1">
        <f t="shared" si="36"/>
        <v>0.42932030292200946</v>
      </c>
      <c r="BV11" s="1">
        <f t="shared" si="50"/>
        <v>0.31240130047430192</v>
      </c>
    </row>
    <row r="12" spans="1:74" ht="12.75" customHeight="1" x14ac:dyDescent="0.2">
      <c r="A12" s="5">
        <v>1E-3</v>
      </c>
      <c r="B12" s="64" t="s">
        <v>82</v>
      </c>
      <c r="C12" s="62">
        <v>30.944580078125</v>
      </c>
      <c r="D12" s="62">
        <v>25.294677734375</v>
      </c>
      <c r="E12" s="62">
        <v>23.281494140625</v>
      </c>
      <c r="F12" s="62">
        <v>19.969482421875</v>
      </c>
      <c r="G12" s="62">
        <v>132.967529296875</v>
      </c>
      <c r="H12" s="62">
        <v>132.967529296875</v>
      </c>
      <c r="I12" s="62">
        <v>132.967529296875</v>
      </c>
      <c r="J12" s="62">
        <v>132.967529296875</v>
      </c>
      <c r="K12" s="62">
        <v>132.967529296875</v>
      </c>
      <c r="L12" s="62">
        <v>132.967529296875</v>
      </c>
      <c r="M12" s="64">
        <v>30</v>
      </c>
      <c r="N12" s="62">
        <v>1.67236328125</v>
      </c>
      <c r="O12" s="84">
        <v>60</v>
      </c>
      <c r="P12" s="63">
        <v>2.77099609375</v>
      </c>
      <c r="Q12" s="61">
        <v>1</v>
      </c>
      <c r="R12" s="60" t="str">
        <f t="shared" si="0"/>
        <v>Countercurrent</v>
      </c>
      <c r="S12" s="60" t="s">
        <v>71</v>
      </c>
      <c r="T12" s="59">
        <f t="shared" si="1"/>
        <v>4.1785259275813464</v>
      </c>
      <c r="U12" s="59">
        <f t="shared" si="2"/>
        <v>4.1806813377729295</v>
      </c>
      <c r="V12" s="53">
        <f t="shared" si="3"/>
        <v>28.11962890625</v>
      </c>
      <c r="W12" s="57">
        <f t="shared" si="4"/>
        <v>996.20724069498931</v>
      </c>
      <c r="X12" s="53">
        <f t="shared" si="5"/>
        <v>21.62548828125</v>
      </c>
      <c r="Y12" s="57">
        <f t="shared" si="6"/>
        <v>997.86414632042329</v>
      </c>
      <c r="Z12" s="57">
        <f t="shared" si="7"/>
        <v>5.64990234375</v>
      </c>
      <c r="AA12" s="57">
        <f t="shared" si="8"/>
        <v>-3.31201171875</v>
      </c>
      <c r="AB12" s="56">
        <f t="shared" si="9"/>
        <v>2.776700683089468E-2</v>
      </c>
      <c r="AC12" s="56">
        <f t="shared" si="10"/>
        <v>4.6084627525784523E-2</v>
      </c>
      <c r="AD12" s="83">
        <f t="shared" si="11"/>
        <v>655.53081197251959</v>
      </c>
      <c r="AE12" s="83">
        <f t="shared" si="12"/>
        <v>638.10920894407025</v>
      </c>
      <c r="AF12" s="83">
        <f t="shared" si="13"/>
        <v>17.42160302844934</v>
      </c>
      <c r="AG12" s="83">
        <f t="shared" si="14"/>
        <v>97.342367023751791</v>
      </c>
      <c r="AH12" s="83">
        <f t="shared" si="15"/>
        <v>51.479289940828409</v>
      </c>
      <c r="AI12" s="53"/>
      <c r="AJ12" s="83">
        <f t="shared" si="37"/>
        <v>50.111159355422522</v>
      </c>
      <c r="AK12" s="53"/>
      <c r="AL12" s="83">
        <f t="shared" si="16"/>
        <v>81.65680473372781</v>
      </c>
      <c r="AM12" s="53"/>
      <c r="AN12" s="83">
        <f t="shared" si="17"/>
        <v>6.1022180483967912</v>
      </c>
      <c r="AO12" s="83">
        <f t="shared" si="38"/>
        <v>1324.7287624269482</v>
      </c>
      <c r="AP12" s="54"/>
      <c r="AQ12" s="52">
        <f t="shared" si="18"/>
        <v>0.04</v>
      </c>
      <c r="AR12" s="52">
        <f t="shared" si="19"/>
        <v>1273.3874393489173</v>
      </c>
      <c r="AS12" s="52">
        <f t="shared" si="20"/>
        <v>384.27668288044254</v>
      </c>
      <c r="AT12" s="52">
        <f t="shared" si="51"/>
        <v>13543.477226649105</v>
      </c>
      <c r="AU12" s="52">
        <f t="shared" si="21"/>
        <v>20048.054411988</v>
      </c>
      <c r="AV12" s="52">
        <f t="shared" si="22"/>
        <v>8.2426001953125004E-4</v>
      </c>
      <c r="AW12" s="52">
        <f t="shared" si="23"/>
        <v>9.1601443359375003E-4</v>
      </c>
      <c r="AX12" s="52">
        <f t="shared" si="24"/>
        <v>9.4870853515625008E-4</v>
      </c>
      <c r="AY12" s="52">
        <f t="shared" si="25"/>
        <v>1.0024956054687502E-3</v>
      </c>
      <c r="AZ12" s="52">
        <f t="shared" si="26"/>
        <v>3.0000000000000001E-3</v>
      </c>
      <c r="BA12" s="52">
        <f t="shared" si="27"/>
        <v>8.7013722656250009E-4</v>
      </c>
      <c r="BB12" s="52">
        <f t="shared" si="28"/>
        <v>9.7560207031250007E-4</v>
      </c>
      <c r="BC12" s="52">
        <f t="shared" si="29"/>
        <v>3.0000000000000001E-3</v>
      </c>
      <c r="BD12" s="52">
        <f t="shared" si="39"/>
        <v>84.444591655277677</v>
      </c>
      <c r="BE12" s="52">
        <f t="shared" si="40"/>
        <v>132.28854098677658</v>
      </c>
      <c r="BF12" s="52">
        <f t="shared" si="41"/>
        <v>6.0031660156250002</v>
      </c>
      <c r="BG12" s="52">
        <f t="shared" si="42"/>
        <v>6.8084394531249997</v>
      </c>
      <c r="BH12" s="52">
        <f t="shared" si="30"/>
        <v>0.45670397198554946</v>
      </c>
      <c r="BI12" s="52">
        <f t="shared" si="31"/>
        <v>0.27503236899424216</v>
      </c>
      <c r="BJ12" s="52">
        <f t="shared" si="43"/>
        <v>2685.6251561870372</v>
      </c>
      <c r="BK12" s="52">
        <f t="shared" si="44"/>
        <v>2614.2510964177932</v>
      </c>
      <c r="BL12" s="52">
        <f t="shared" si="32"/>
        <v>102.9585798816568</v>
      </c>
      <c r="BM12" s="52">
        <f t="shared" si="33"/>
        <v>60.355029585798817</v>
      </c>
      <c r="BN12" s="52">
        <f t="shared" si="45"/>
        <v>116.02515797422177</v>
      </c>
      <c r="BO12" s="52">
        <f t="shared" si="46"/>
        <v>192.66514225526402</v>
      </c>
      <c r="BP12" s="52">
        <f t="shared" si="47"/>
        <v>116.02515797422177</v>
      </c>
      <c r="BQ12" s="52">
        <f t="shared" si="48"/>
        <v>192.66514225526402</v>
      </c>
      <c r="BR12" s="52">
        <f t="shared" si="49"/>
        <v>0.6022114670877976</v>
      </c>
      <c r="BS12" s="52">
        <f t="shared" si="34"/>
        <v>25.45703125</v>
      </c>
      <c r="BT12" s="1">
        <f t="shared" si="35"/>
        <v>0.30177514792899407</v>
      </c>
      <c r="BU12" s="1">
        <f t="shared" si="36"/>
        <v>0.45670397198554946</v>
      </c>
      <c r="BV12" s="1">
        <f t="shared" si="50"/>
        <v>0.33369741771196654</v>
      </c>
    </row>
    <row r="13" spans="1:74" ht="12.75" customHeight="1" x14ac:dyDescent="0.2">
      <c r="A13" s="5">
        <v>1E-3</v>
      </c>
      <c r="B13" s="64" t="s">
        <v>83</v>
      </c>
      <c r="C13" s="62">
        <v>30.944580078125</v>
      </c>
      <c r="D13" s="62">
        <v>25.294677734375</v>
      </c>
      <c r="E13" s="62">
        <v>23.281494140625</v>
      </c>
      <c r="F13" s="62">
        <v>19.969482421875</v>
      </c>
      <c r="G13" s="62">
        <v>132.967529296875</v>
      </c>
      <c r="H13" s="62">
        <v>132.967529296875</v>
      </c>
      <c r="I13" s="62">
        <v>132.967529296875</v>
      </c>
      <c r="J13" s="62">
        <v>132.967529296875</v>
      </c>
      <c r="K13" s="62">
        <v>132.967529296875</v>
      </c>
      <c r="L13" s="62">
        <v>132.967529296875</v>
      </c>
      <c r="M13" s="64">
        <v>30</v>
      </c>
      <c r="N13" s="62">
        <v>1.67236328125</v>
      </c>
      <c r="O13" s="84">
        <v>60</v>
      </c>
      <c r="P13" s="63">
        <v>2.69775390625</v>
      </c>
      <c r="Q13" s="61">
        <v>1</v>
      </c>
      <c r="R13" s="60" t="str">
        <f t="shared" si="0"/>
        <v>Countercurrent</v>
      </c>
      <c r="S13" s="60" t="s">
        <v>71</v>
      </c>
      <c r="T13" s="59">
        <f t="shared" si="1"/>
        <v>4.1785259275813464</v>
      </c>
      <c r="U13" s="59">
        <f t="shared" si="2"/>
        <v>4.1806813377729295</v>
      </c>
      <c r="V13" s="53">
        <f t="shared" si="3"/>
        <v>28.11962890625</v>
      </c>
      <c r="W13" s="57">
        <f t="shared" si="4"/>
        <v>996.20724069498931</v>
      </c>
      <c r="X13" s="53">
        <f t="shared" si="5"/>
        <v>21.62548828125</v>
      </c>
      <c r="Y13" s="57">
        <f t="shared" si="6"/>
        <v>997.86414632042329</v>
      </c>
      <c r="Z13" s="57">
        <f t="shared" si="7"/>
        <v>5.64990234375</v>
      </c>
      <c r="AA13" s="57">
        <f t="shared" si="8"/>
        <v>-3.31201171875</v>
      </c>
      <c r="AB13" s="56">
        <f t="shared" si="9"/>
        <v>2.776700683089468E-2</v>
      </c>
      <c r="AC13" s="56">
        <f t="shared" si="10"/>
        <v>4.4866531644045721E-2</v>
      </c>
      <c r="AD13" s="83">
        <f t="shared" si="11"/>
        <v>655.53081197251959</v>
      </c>
      <c r="AE13" s="83">
        <f t="shared" si="12"/>
        <v>621.24288624070266</v>
      </c>
      <c r="AF13" s="83">
        <f t="shared" si="13"/>
        <v>34.287925731816927</v>
      </c>
      <c r="AG13" s="83">
        <f t="shared" si="14"/>
        <v>94.769441023123974</v>
      </c>
      <c r="AH13" s="83">
        <f t="shared" si="15"/>
        <v>51.479289940828409</v>
      </c>
      <c r="AI13" s="53"/>
      <c r="AJ13" s="83">
        <f t="shared" si="37"/>
        <v>48.786635319596371</v>
      </c>
      <c r="AK13" s="53"/>
      <c r="AL13" s="83">
        <f t="shared" si="16"/>
        <v>81.65680473372781</v>
      </c>
      <c r="AM13" s="53"/>
      <c r="AN13" s="83">
        <f t="shared" si="17"/>
        <v>6.1022180483967912</v>
      </c>
      <c r="AO13" s="83">
        <f t="shared" si="38"/>
        <v>1306.7511695495816</v>
      </c>
      <c r="AP13" s="54"/>
      <c r="AQ13" s="52">
        <f t="shared" si="18"/>
        <v>0.04</v>
      </c>
      <c r="AR13" s="52">
        <f t="shared" si="19"/>
        <v>1273.3874393489173</v>
      </c>
      <c r="AS13" s="52">
        <f t="shared" si="20"/>
        <v>384.27668288044254</v>
      </c>
      <c r="AT13" s="52">
        <f t="shared" si="51"/>
        <v>13543.477226649105</v>
      </c>
      <c r="AU13" s="52">
        <f t="shared" si="21"/>
        <v>19518.149890085231</v>
      </c>
      <c r="AV13" s="52">
        <f t="shared" si="22"/>
        <v>8.2426001953125004E-4</v>
      </c>
      <c r="AW13" s="52">
        <f t="shared" si="23"/>
        <v>9.1601443359375003E-4</v>
      </c>
      <c r="AX13" s="52">
        <f t="shared" si="24"/>
        <v>9.4870853515625008E-4</v>
      </c>
      <c r="AY13" s="52">
        <f t="shared" si="25"/>
        <v>1.0024956054687502E-3</v>
      </c>
      <c r="AZ13" s="52">
        <f t="shared" si="26"/>
        <v>3.0000000000000001E-3</v>
      </c>
      <c r="BA13" s="52">
        <f t="shared" si="27"/>
        <v>8.7013722656250009E-4</v>
      </c>
      <c r="BB13" s="52">
        <f t="shared" si="28"/>
        <v>9.7560207031250007E-4</v>
      </c>
      <c r="BC13" s="52">
        <f t="shared" si="29"/>
        <v>3.0000000000000001E-3</v>
      </c>
      <c r="BD13" s="52">
        <f t="shared" si="39"/>
        <v>84.444591655277677</v>
      </c>
      <c r="BE13" s="52">
        <f t="shared" si="40"/>
        <v>129.25159459088474</v>
      </c>
      <c r="BF13" s="52">
        <f t="shared" si="41"/>
        <v>6.0031660156250002</v>
      </c>
      <c r="BG13" s="52">
        <f t="shared" si="42"/>
        <v>6.8084394531249997</v>
      </c>
      <c r="BH13" s="52">
        <f t="shared" si="30"/>
        <v>0.45050614620664009</v>
      </c>
      <c r="BI13" s="52">
        <f t="shared" si="31"/>
        <v>0.27866557720946483</v>
      </c>
      <c r="BJ13" s="52">
        <f t="shared" si="43"/>
        <v>2685.6251561870372</v>
      </c>
      <c r="BK13" s="52">
        <f t="shared" si="44"/>
        <v>2545.1519484948553</v>
      </c>
      <c r="BL13" s="52">
        <f t="shared" si="32"/>
        <v>102.9585798816568</v>
      </c>
      <c r="BM13" s="52">
        <f t="shared" si="33"/>
        <v>60.355029585798817</v>
      </c>
      <c r="BN13" s="52">
        <f t="shared" si="45"/>
        <v>116.02515797422177</v>
      </c>
      <c r="BO13" s="52">
        <f t="shared" si="46"/>
        <v>187.57267153486055</v>
      </c>
      <c r="BP13" s="52">
        <f t="shared" si="47"/>
        <v>116.02515797422177</v>
      </c>
      <c r="BQ13" s="52">
        <f t="shared" si="48"/>
        <v>187.57267153486055</v>
      </c>
      <c r="BR13" s="52">
        <f t="shared" si="49"/>
        <v>0.61856109967841655</v>
      </c>
      <c r="BS13" s="52">
        <f t="shared" si="34"/>
        <v>25.45703125</v>
      </c>
      <c r="BT13" s="1">
        <f t="shared" si="35"/>
        <v>0.30177514792899407</v>
      </c>
      <c r="BU13" s="1">
        <f t="shared" si="36"/>
        <v>0.45050614620664009</v>
      </c>
      <c r="BV13" s="1">
        <f t="shared" si="50"/>
        <v>0.32954731477248306</v>
      </c>
    </row>
    <row r="14" spans="1:74" ht="12.75" customHeight="1" x14ac:dyDescent="0.2">
      <c r="A14" s="5">
        <v>1E-3</v>
      </c>
      <c r="B14" s="64" t="s">
        <v>84</v>
      </c>
      <c r="C14" s="62">
        <v>30.879638671875</v>
      </c>
      <c r="D14" s="62">
        <v>25.3271484375</v>
      </c>
      <c r="E14" s="62">
        <v>23.31396484375</v>
      </c>
      <c r="F14" s="62">
        <v>19.969482421875</v>
      </c>
      <c r="G14" s="62">
        <v>132.967529296875</v>
      </c>
      <c r="H14" s="62">
        <v>132.967529296875</v>
      </c>
      <c r="I14" s="62">
        <v>132.967529296875</v>
      </c>
      <c r="J14" s="62">
        <v>132.967529296875</v>
      </c>
      <c r="K14" s="62">
        <v>132.967529296875</v>
      </c>
      <c r="L14" s="62">
        <v>132.967529296875</v>
      </c>
      <c r="M14" s="64">
        <v>30</v>
      </c>
      <c r="N14" s="62">
        <v>1.74560546875</v>
      </c>
      <c r="O14" s="84">
        <v>60</v>
      </c>
      <c r="P14" s="63">
        <v>2.83203125</v>
      </c>
      <c r="Q14" s="61">
        <v>1</v>
      </c>
      <c r="R14" s="60" t="str">
        <f t="shared" si="0"/>
        <v>Countercurrent</v>
      </c>
      <c r="S14" s="60" t="s">
        <v>71</v>
      </c>
      <c r="T14" s="59">
        <f t="shared" si="1"/>
        <v>4.1785290704981257</v>
      </c>
      <c r="U14" s="59">
        <f t="shared" si="2"/>
        <v>4.1806733204396975</v>
      </c>
      <c r="V14" s="53">
        <f t="shared" si="3"/>
        <v>28.1033935546875</v>
      </c>
      <c r="W14" s="57">
        <f t="shared" si="4"/>
        <v>996.21188661186727</v>
      </c>
      <c r="X14" s="53">
        <f t="shared" si="5"/>
        <v>21.6417236328125</v>
      </c>
      <c r="Y14" s="57">
        <f t="shared" si="6"/>
        <v>997.86053087872972</v>
      </c>
      <c r="Z14" s="57">
        <f t="shared" si="7"/>
        <v>5.552490234375</v>
      </c>
      <c r="AA14" s="57">
        <f t="shared" si="8"/>
        <v>-3.344482421875</v>
      </c>
      <c r="AB14" s="56">
        <f t="shared" si="9"/>
        <v>2.8983215288390506E-2</v>
      </c>
      <c r="AC14" s="56">
        <f t="shared" si="10"/>
        <v>4.709953677650254E-2</v>
      </c>
      <c r="AD14" s="83">
        <f t="shared" si="11"/>
        <v>672.44658772822527</v>
      </c>
      <c r="AE14" s="83">
        <f t="shared" si="12"/>
        <v>658.55459826013453</v>
      </c>
      <c r="AF14" s="83">
        <f t="shared" si="13"/>
        <v>13.891989468090742</v>
      </c>
      <c r="AG14" s="83">
        <f t="shared" si="14"/>
        <v>97.934112579108614</v>
      </c>
      <c r="AH14" s="83">
        <f t="shared" si="15"/>
        <v>50.892857142857139</v>
      </c>
      <c r="AI14" s="53"/>
      <c r="AJ14" s="83">
        <f t="shared" si="37"/>
        <v>49.841468009010633</v>
      </c>
      <c r="AK14" s="53"/>
      <c r="AL14" s="83">
        <f t="shared" si="16"/>
        <v>81.547619047619051</v>
      </c>
      <c r="AM14" s="53"/>
      <c r="AN14" s="83">
        <f t="shared" si="17"/>
        <v>6.0783833502221034</v>
      </c>
      <c r="AO14" s="83">
        <f t="shared" si="38"/>
        <v>1368.4314923560446</v>
      </c>
      <c r="AP14" s="54"/>
      <c r="AQ14" s="52">
        <f t="shared" si="18"/>
        <v>0.04</v>
      </c>
      <c r="AR14" s="52">
        <f t="shared" si="19"/>
        <v>1321.2985583431796</v>
      </c>
      <c r="AS14" s="52">
        <f t="shared" si="20"/>
        <v>405.04092711115322</v>
      </c>
      <c r="AT14" s="52">
        <f t="shared" si="51"/>
        <v>14132.405852304195</v>
      </c>
      <c r="AU14" s="52">
        <f t="shared" si="21"/>
        <v>20495.106197048935</v>
      </c>
      <c r="AV14" s="52">
        <f t="shared" si="22"/>
        <v>8.2531466796875003E-4</v>
      </c>
      <c r="AW14" s="52">
        <f t="shared" si="23"/>
        <v>9.1548710937500004E-4</v>
      </c>
      <c r="AX14" s="52">
        <f t="shared" si="24"/>
        <v>9.4818121093750009E-4</v>
      </c>
      <c r="AY14" s="52">
        <f t="shared" si="25"/>
        <v>1.0024956054687502E-3</v>
      </c>
      <c r="AZ14" s="52">
        <f t="shared" si="26"/>
        <v>3.0000000000000001E-3</v>
      </c>
      <c r="BA14" s="52">
        <f t="shared" si="27"/>
        <v>8.7040088867187503E-4</v>
      </c>
      <c r="BB14" s="52">
        <f t="shared" si="28"/>
        <v>9.7533840820312513E-4</v>
      </c>
      <c r="BC14" s="52">
        <f t="shared" si="29"/>
        <v>3.0000000000000001E-3</v>
      </c>
      <c r="BD14" s="52">
        <f t="shared" si="39"/>
        <v>87.379411310751152</v>
      </c>
      <c r="BE14" s="52">
        <f t="shared" si="40"/>
        <v>134.82905463749768</v>
      </c>
      <c r="BF14" s="52">
        <f t="shared" si="41"/>
        <v>6.00517919921875</v>
      </c>
      <c r="BG14" s="52">
        <f t="shared" si="42"/>
        <v>6.8064262695312499</v>
      </c>
      <c r="BH14" s="52">
        <f t="shared" si="30"/>
        <v>0.45197359233468337</v>
      </c>
      <c r="BI14" s="52">
        <f t="shared" si="31"/>
        <v>0.27798424512205028</v>
      </c>
      <c r="BJ14" s="52">
        <f t="shared" si="43"/>
        <v>2765.7295903509198</v>
      </c>
      <c r="BK14" s="52">
        <f t="shared" si="44"/>
        <v>2708.5927306479894</v>
      </c>
      <c r="BL14" s="52">
        <f t="shared" si="32"/>
        <v>101.78571428571429</v>
      </c>
      <c r="BM14" s="52">
        <f t="shared" si="33"/>
        <v>61.30952380952381</v>
      </c>
      <c r="BN14" s="52">
        <f t="shared" si="45"/>
        <v>121.10720763904546</v>
      </c>
      <c r="BO14" s="52">
        <f t="shared" si="46"/>
        <v>196.90777680659252</v>
      </c>
      <c r="BP14" s="52">
        <f t="shared" si="47"/>
        <v>121.10720763904546</v>
      </c>
      <c r="BQ14" s="52">
        <f t="shared" si="48"/>
        <v>196.90777680659252</v>
      </c>
      <c r="BR14" s="52">
        <f t="shared" si="49"/>
        <v>0.61504532529459122</v>
      </c>
      <c r="BS14" s="52">
        <f t="shared" si="34"/>
        <v>25.424560546875</v>
      </c>
      <c r="BT14" s="1">
        <f t="shared" si="35"/>
        <v>0.30654761904761907</v>
      </c>
      <c r="BU14" s="1">
        <f t="shared" si="36"/>
        <v>0.45197359233468337</v>
      </c>
      <c r="BV14" s="1">
        <f t="shared" si="50"/>
        <v>0.33051077195268741</v>
      </c>
    </row>
    <row r="15" spans="1:74" ht="12.75" customHeight="1" x14ac:dyDescent="0.2">
      <c r="A15" s="5">
        <v>1E-3</v>
      </c>
      <c r="B15" s="64" t="s">
        <v>85</v>
      </c>
      <c r="C15" s="62">
        <v>30.944580078125</v>
      </c>
      <c r="D15" s="62">
        <v>25.294677734375</v>
      </c>
      <c r="E15" s="62">
        <v>23.281494140625</v>
      </c>
      <c r="F15" s="62">
        <v>19.969482421875</v>
      </c>
      <c r="G15" s="62">
        <v>132.967529296875</v>
      </c>
      <c r="H15" s="62">
        <v>132.967529296875</v>
      </c>
      <c r="I15" s="62">
        <v>132.967529296875</v>
      </c>
      <c r="J15" s="62">
        <v>132.967529296875</v>
      </c>
      <c r="K15" s="62">
        <v>132.967529296875</v>
      </c>
      <c r="L15" s="62">
        <v>132.967529296875</v>
      </c>
      <c r="M15" s="64">
        <v>30</v>
      </c>
      <c r="N15" s="62">
        <v>1.6357421875</v>
      </c>
      <c r="O15" s="84">
        <v>60</v>
      </c>
      <c r="P15" s="63">
        <v>2.83203125</v>
      </c>
      <c r="Q15" s="61">
        <v>1</v>
      </c>
      <c r="R15" s="60" t="str">
        <f t="shared" si="0"/>
        <v>Countercurrent</v>
      </c>
      <c r="S15" s="60" t="s">
        <v>71</v>
      </c>
      <c r="T15" s="59">
        <f t="shared" si="1"/>
        <v>4.1785259275813464</v>
      </c>
      <c r="U15" s="59">
        <f t="shared" si="2"/>
        <v>4.1806813377729295</v>
      </c>
      <c r="V15" s="53">
        <f t="shared" si="3"/>
        <v>28.11962890625</v>
      </c>
      <c r="W15" s="57">
        <f t="shared" si="4"/>
        <v>996.20724069498931</v>
      </c>
      <c r="X15" s="53">
        <f t="shared" si="5"/>
        <v>21.62548828125</v>
      </c>
      <c r="Y15" s="57">
        <f t="shared" si="6"/>
        <v>997.86414632042329</v>
      </c>
      <c r="Z15" s="57">
        <f t="shared" si="7"/>
        <v>5.64990234375</v>
      </c>
      <c r="AA15" s="57">
        <f t="shared" si="8"/>
        <v>-3.31201171875</v>
      </c>
      <c r="AB15" s="56">
        <f t="shared" si="9"/>
        <v>2.7158970184962678E-2</v>
      </c>
      <c r="AC15" s="56">
        <f t="shared" si="10"/>
        <v>4.7099707427233517E-2</v>
      </c>
      <c r="AD15" s="83">
        <f t="shared" si="11"/>
        <v>641.17612265925277</v>
      </c>
      <c r="AE15" s="83">
        <f t="shared" si="12"/>
        <v>652.1644778635432</v>
      </c>
      <c r="AF15" s="83">
        <f t="shared" si="13"/>
        <v>-10.988355204290428</v>
      </c>
      <c r="AG15" s="83">
        <f t="shared" si="14"/>
        <v>101.7137810994453</v>
      </c>
      <c r="AH15" s="83">
        <f t="shared" si="15"/>
        <v>51.479289940828409</v>
      </c>
      <c r="AI15" s="53"/>
      <c r="AJ15" s="83">
        <f t="shared" si="37"/>
        <v>52.361532281962965</v>
      </c>
      <c r="AK15" s="53"/>
      <c r="AL15" s="83">
        <f t="shared" si="16"/>
        <v>81.65680473372781</v>
      </c>
      <c r="AM15" s="53"/>
      <c r="AN15" s="83">
        <f t="shared" si="17"/>
        <v>6.1022180483967912</v>
      </c>
      <c r="AO15" s="83">
        <f t="shared" si="38"/>
        <v>1324.5667723464505</v>
      </c>
      <c r="AP15" s="54"/>
      <c r="AQ15" s="52">
        <f t="shared" si="18"/>
        <v>0.04</v>
      </c>
      <c r="AR15" s="52">
        <f t="shared" si="19"/>
        <v>1245.5030428668242</v>
      </c>
      <c r="AS15" s="52">
        <f t="shared" si="20"/>
        <v>375.86186500714814</v>
      </c>
      <c r="AT15" s="52">
        <f t="shared" si="51"/>
        <v>13246.90473263489</v>
      </c>
      <c r="AU15" s="52">
        <f t="shared" si="21"/>
        <v>20489.641513573639</v>
      </c>
      <c r="AV15" s="52">
        <f t="shared" si="22"/>
        <v>8.2426001953125004E-4</v>
      </c>
      <c r="AW15" s="52">
        <f t="shared" si="23"/>
        <v>9.1601443359375003E-4</v>
      </c>
      <c r="AX15" s="52">
        <f t="shared" si="24"/>
        <v>9.4870853515625008E-4</v>
      </c>
      <c r="AY15" s="52">
        <f t="shared" si="25"/>
        <v>1.0024956054687502E-3</v>
      </c>
      <c r="AZ15" s="52">
        <f t="shared" si="26"/>
        <v>3.0000000000000001E-3</v>
      </c>
      <c r="BA15" s="52">
        <f t="shared" si="27"/>
        <v>8.7013722656250009E-4</v>
      </c>
      <c r="BB15" s="52">
        <f t="shared" si="28"/>
        <v>9.7560207031250007E-4</v>
      </c>
      <c r="BC15" s="52">
        <f t="shared" si="29"/>
        <v>3.0000000000000001E-3</v>
      </c>
      <c r="BD15" s="52">
        <f t="shared" si="39"/>
        <v>82.962002231056886</v>
      </c>
      <c r="BE15" s="52">
        <f t="shared" si="40"/>
        <v>134.81117418518107</v>
      </c>
      <c r="BF15" s="52">
        <f t="shared" si="41"/>
        <v>6.0031660156250002</v>
      </c>
      <c r="BG15" s="52">
        <f t="shared" si="42"/>
        <v>6.8084394531249997</v>
      </c>
      <c r="BH15" s="52">
        <f t="shared" si="30"/>
        <v>0.4668715909441758</v>
      </c>
      <c r="BI15" s="52">
        <f t="shared" si="31"/>
        <v>0.26907204063918527</v>
      </c>
      <c r="BJ15" s="52">
        <f t="shared" si="43"/>
        <v>2626.8158461975404</v>
      </c>
      <c r="BK15" s="52">
        <f t="shared" si="44"/>
        <v>2671.8337196869074</v>
      </c>
      <c r="BL15" s="52">
        <f t="shared" si="32"/>
        <v>102.9585798816568</v>
      </c>
      <c r="BM15" s="52">
        <f t="shared" si="33"/>
        <v>60.355029585798817</v>
      </c>
      <c r="BN15" s="52">
        <f t="shared" si="45"/>
        <v>113.48446108427531</v>
      </c>
      <c r="BO15" s="52">
        <f t="shared" si="46"/>
        <v>196.90886785560022</v>
      </c>
      <c r="BP15" s="52">
        <f t="shared" si="47"/>
        <v>113.48446108427531</v>
      </c>
      <c r="BQ15" s="52">
        <f t="shared" si="48"/>
        <v>196.90886785560022</v>
      </c>
      <c r="BR15" s="52">
        <f t="shared" si="49"/>
        <v>0.57632986426744992</v>
      </c>
      <c r="BS15" s="52">
        <f t="shared" si="34"/>
        <v>25.45703125</v>
      </c>
      <c r="BT15" s="1">
        <f t="shared" si="35"/>
        <v>0.30177514792899407</v>
      </c>
      <c r="BU15" s="1">
        <f t="shared" si="36"/>
        <v>0.4668715909441758</v>
      </c>
      <c r="BV15" s="1">
        <f t="shared" si="50"/>
        <v>0.34047647996343655</v>
      </c>
    </row>
    <row r="16" spans="1:74" ht="12.75" customHeight="1" x14ac:dyDescent="0.2">
      <c r="A16" s="5">
        <v>1E-3</v>
      </c>
      <c r="B16" s="64" t="s">
        <v>86</v>
      </c>
      <c r="C16" s="62">
        <v>30.944580078125</v>
      </c>
      <c r="D16" s="62">
        <v>25.294677734375</v>
      </c>
      <c r="E16" s="62">
        <v>23.281494140625</v>
      </c>
      <c r="F16" s="62">
        <v>19.969482421875</v>
      </c>
      <c r="G16" s="62">
        <v>132.967529296875</v>
      </c>
      <c r="H16" s="62">
        <v>132.967529296875</v>
      </c>
      <c r="I16" s="62">
        <v>132.967529296875</v>
      </c>
      <c r="J16" s="62">
        <v>132.967529296875</v>
      </c>
      <c r="K16" s="62">
        <v>132.967529296875</v>
      </c>
      <c r="L16" s="62">
        <v>132.967529296875</v>
      </c>
      <c r="M16" s="64">
        <v>30</v>
      </c>
      <c r="N16" s="62">
        <v>1.69677734375</v>
      </c>
      <c r="O16" s="84">
        <v>60</v>
      </c>
      <c r="P16" s="63">
        <v>2.84423828125</v>
      </c>
      <c r="Q16" s="61">
        <v>1</v>
      </c>
      <c r="R16" s="60" t="str">
        <f t="shared" si="0"/>
        <v>Countercurrent</v>
      </c>
      <c r="S16" s="60" t="s">
        <v>71</v>
      </c>
      <c r="T16" s="59">
        <f t="shared" si="1"/>
        <v>4.1785259275813464</v>
      </c>
      <c r="U16" s="59">
        <f t="shared" si="2"/>
        <v>4.1806813377729295</v>
      </c>
      <c r="V16" s="53">
        <f t="shared" si="3"/>
        <v>28.11962890625</v>
      </c>
      <c r="W16" s="57">
        <f t="shared" si="4"/>
        <v>996.20724069498931</v>
      </c>
      <c r="X16" s="53">
        <f t="shared" si="5"/>
        <v>21.62548828125</v>
      </c>
      <c r="Y16" s="57">
        <f t="shared" si="6"/>
        <v>997.86414632042329</v>
      </c>
      <c r="Z16" s="57">
        <f t="shared" si="7"/>
        <v>5.64990234375</v>
      </c>
      <c r="AA16" s="57">
        <f t="shared" si="8"/>
        <v>-3.31201171875</v>
      </c>
      <c r="AB16" s="56">
        <f t="shared" si="9"/>
        <v>2.8172364594849349E-2</v>
      </c>
      <c r="AC16" s="56">
        <f t="shared" si="10"/>
        <v>4.7302723407523325E-2</v>
      </c>
      <c r="AD16" s="83">
        <f t="shared" si="11"/>
        <v>665.10060484803091</v>
      </c>
      <c r="AE16" s="83">
        <f t="shared" si="12"/>
        <v>654.97553164743783</v>
      </c>
      <c r="AF16" s="83">
        <f t="shared" si="13"/>
        <v>10.125073200593079</v>
      </c>
      <c r="AG16" s="83">
        <f t="shared" si="14"/>
        <v>98.477662908920891</v>
      </c>
      <c r="AH16" s="83">
        <f t="shared" si="15"/>
        <v>51.479289940828409</v>
      </c>
      <c r="AI16" s="53"/>
      <c r="AJ16" s="83">
        <f t="shared" si="37"/>
        <v>50.695601615835024</v>
      </c>
      <c r="AK16" s="53"/>
      <c r="AL16" s="83">
        <f t="shared" si="16"/>
        <v>81.65680473372781</v>
      </c>
      <c r="AM16" s="53"/>
      <c r="AN16" s="83">
        <f t="shared" si="17"/>
        <v>6.1022180483967912</v>
      </c>
      <c r="AO16" s="83">
        <f t="shared" si="38"/>
        <v>1351.9658610511194</v>
      </c>
      <c r="AP16" s="54"/>
      <c r="AQ16" s="52">
        <f t="shared" si="18"/>
        <v>0.04</v>
      </c>
      <c r="AR16" s="52">
        <f t="shared" si="19"/>
        <v>1291.977037003646</v>
      </c>
      <c r="AS16" s="52">
        <f t="shared" si="20"/>
        <v>389.88656146263878</v>
      </c>
      <c r="AT16" s="52">
        <f t="shared" si="51"/>
        <v>13741.192222658583</v>
      </c>
      <c r="AU16" s="52">
        <f t="shared" si="21"/>
        <v>20577.958933890768</v>
      </c>
      <c r="AV16" s="52">
        <f t="shared" si="22"/>
        <v>8.2426001953125004E-4</v>
      </c>
      <c r="AW16" s="52">
        <f t="shared" si="23"/>
        <v>9.1601443359375003E-4</v>
      </c>
      <c r="AX16" s="52">
        <f t="shared" si="24"/>
        <v>9.4870853515625008E-4</v>
      </c>
      <c r="AY16" s="52">
        <f t="shared" si="25"/>
        <v>1.0024956054687502E-3</v>
      </c>
      <c r="AZ16" s="52">
        <f t="shared" si="26"/>
        <v>3.0000000000000001E-3</v>
      </c>
      <c r="BA16" s="52">
        <f t="shared" si="27"/>
        <v>8.7013722656250009E-4</v>
      </c>
      <c r="BB16" s="52">
        <f t="shared" si="28"/>
        <v>9.7560207031250007E-4</v>
      </c>
      <c r="BC16" s="52">
        <f t="shared" si="29"/>
        <v>3.0000000000000001E-3</v>
      </c>
      <c r="BD16" s="52">
        <f t="shared" si="39"/>
        <v>85.429374475914756</v>
      </c>
      <c r="BE16" s="52">
        <f t="shared" si="40"/>
        <v>135.31482866716792</v>
      </c>
      <c r="BF16" s="52">
        <f t="shared" si="41"/>
        <v>6.0031660156250002</v>
      </c>
      <c r="BG16" s="52">
        <f t="shared" si="42"/>
        <v>6.8084394531249997</v>
      </c>
      <c r="BH16" s="52">
        <f t="shared" si="30"/>
        <v>0.45938764940789828</v>
      </c>
      <c r="BI16" s="52">
        <f t="shared" si="31"/>
        <v>0.27345917878114118</v>
      </c>
      <c r="BJ16" s="52">
        <f t="shared" si="43"/>
        <v>2724.8313628467026</v>
      </c>
      <c r="BK16" s="52">
        <f t="shared" si="44"/>
        <v>2683.3502443407306</v>
      </c>
      <c r="BL16" s="52">
        <f t="shared" si="32"/>
        <v>102.9585798816568</v>
      </c>
      <c r="BM16" s="52">
        <f t="shared" si="33"/>
        <v>60.355029585798817</v>
      </c>
      <c r="BN16" s="52">
        <f t="shared" si="45"/>
        <v>117.71895590085275</v>
      </c>
      <c r="BO16" s="52">
        <f t="shared" si="46"/>
        <v>197.75761297566748</v>
      </c>
      <c r="BP16" s="52">
        <f t="shared" si="47"/>
        <v>117.71895590085275</v>
      </c>
      <c r="BQ16" s="52">
        <f t="shared" si="48"/>
        <v>197.75761297566748</v>
      </c>
      <c r="BR16" s="52">
        <f t="shared" si="49"/>
        <v>0.59526889574328112</v>
      </c>
      <c r="BS16" s="52">
        <f t="shared" si="34"/>
        <v>25.45703125</v>
      </c>
      <c r="BT16" s="1">
        <f t="shared" si="35"/>
        <v>0.30177514792899407</v>
      </c>
      <c r="BU16" s="1">
        <f t="shared" si="36"/>
        <v>0.45938764940789828</v>
      </c>
      <c r="BV16" s="1">
        <f t="shared" si="50"/>
        <v>0.33549024881407458</v>
      </c>
    </row>
    <row r="17" spans="1:74" ht="12.75" customHeight="1" x14ac:dyDescent="0.2">
      <c r="A17" s="5">
        <v>1E-3</v>
      </c>
      <c r="B17" s="64" t="s">
        <v>87</v>
      </c>
      <c r="C17" s="62">
        <v>30.879638671875</v>
      </c>
      <c r="D17" s="62">
        <v>25.294677734375</v>
      </c>
      <c r="E17" s="62">
        <v>23.281494140625</v>
      </c>
      <c r="F17" s="62">
        <v>20.001953125</v>
      </c>
      <c r="G17" s="62">
        <v>132.967529296875</v>
      </c>
      <c r="H17" s="62">
        <v>132.967529296875</v>
      </c>
      <c r="I17" s="62">
        <v>132.967529296875</v>
      </c>
      <c r="J17" s="62">
        <v>132.967529296875</v>
      </c>
      <c r="K17" s="62">
        <v>132.967529296875</v>
      </c>
      <c r="L17" s="62">
        <v>132.967529296875</v>
      </c>
      <c r="M17" s="64">
        <v>30</v>
      </c>
      <c r="N17" s="62">
        <v>1.708984375</v>
      </c>
      <c r="O17" s="84">
        <v>60</v>
      </c>
      <c r="P17" s="63">
        <v>2.86865234375</v>
      </c>
      <c r="Q17" s="61">
        <v>1</v>
      </c>
      <c r="R17" s="60" t="str">
        <f t="shared" si="0"/>
        <v>Countercurrent</v>
      </c>
      <c r="S17" s="60" t="s">
        <v>71</v>
      </c>
      <c r="T17" s="59">
        <f t="shared" si="1"/>
        <v>4.17853222302743</v>
      </c>
      <c r="U17" s="59">
        <f t="shared" si="2"/>
        <v>4.1806733204396975</v>
      </c>
      <c r="V17" s="53">
        <f t="shared" si="3"/>
        <v>28.087158203125</v>
      </c>
      <c r="W17" s="57">
        <f t="shared" si="4"/>
        <v>996.21653011525564</v>
      </c>
      <c r="X17" s="53">
        <f t="shared" si="5"/>
        <v>21.6417236328125</v>
      </c>
      <c r="Y17" s="57">
        <f t="shared" si="6"/>
        <v>997.86053087872972</v>
      </c>
      <c r="Z17" s="57">
        <f t="shared" si="7"/>
        <v>5.5849609375</v>
      </c>
      <c r="AA17" s="57">
        <f t="shared" si="8"/>
        <v>-3.279541015625</v>
      </c>
      <c r="AB17" s="56">
        <f t="shared" si="9"/>
        <v>2.8375308068061482E-2</v>
      </c>
      <c r="AC17" s="56">
        <f t="shared" si="10"/>
        <v>4.7708582510681448E-2</v>
      </c>
      <c r="AD17" s="83">
        <f t="shared" si="11"/>
        <v>662.1928403486786</v>
      </c>
      <c r="AE17" s="83">
        <f t="shared" si="12"/>
        <v>654.11756736291818</v>
      </c>
      <c r="AF17" s="83">
        <f t="shared" si="13"/>
        <v>8.0752729857604209</v>
      </c>
      <c r="AG17" s="83">
        <f t="shared" si="14"/>
        <v>98.780525476308625</v>
      </c>
      <c r="AH17" s="83">
        <f t="shared" si="15"/>
        <v>51.343283582089548</v>
      </c>
      <c r="AI17" s="53"/>
      <c r="AJ17" s="83">
        <f t="shared" si="37"/>
        <v>50.717165319179351</v>
      </c>
      <c r="AK17" s="53"/>
      <c r="AL17" s="83">
        <f t="shared" si="16"/>
        <v>81.492537313432834</v>
      </c>
      <c r="AM17" s="53"/>
      <c r="AN17" s="83">
        <f t="shared" si="17"/>
        <v>6.0573150041710448</v>
      </c>
      <c r="AO17" s="83">
        <f t="shared" si="38"/>
        <v>1358.1315182478952</v>
      </c>
      <c r="AP17" s="54"/>
      <c r="AQ17" s="52">
        <f t="shared" si="18"/>
        <v>0.04</v>
      </c>
      <c r="AR17" s="52">
        <f t="shared" si="19"/>
        <v>1289.7360553302753</v>
      </c>
      <c r="AS17" s="52">
        <f t="shared" si="20"/>
        <v>388.84579578614267</v>
      </c>
      <c r="AT17" s="52">
        <f t="shared" si="51"/>
        <v>13831.796372812898</v>
      </c>
      <c r="AU17" s="52">
        <f t="shared" si="21"/>
        <v>20760.129122010778</v>
      </c>
      <c r="AV17" s="52">
        <f t="shared" si="22"/>
        <v>8.2531466796875003E-4</v>
      </c>
      <c r="AW17" s="52">
        <f t="shared" si="23"/>
        <v>9.1601443359375003E-4</v>
      </c>
      <c r="AX17" s="52">
        <f t="shared" si="24"/>
        <v>9.4870853515625008E-4</v>
      </c>
      <c r="AY17" s="52">
        <f t="shared" si="25"/>
        <v>1.0019682812500001E-3</v>
      </c>
      <c r="AZ17" s="52">
        <f t="shared" si="26"/>
        <v>3.0000000000000001E-3</v>
      </c>
      <c r="BA17" s="52">
        <f t="shared" si="27"/>
        <v>8.7066455078124998E-4</v>
      </c>
      <c r="BB17" s="52">
        <f t="shared" si="28"/>
        <v>9.7533840820312502E-4</v>
      </c>
      <c r="BC17" s="52">
        <f t="shared" si="29"/>
        <v>3.0000000000000001E-3</v>
      </c>
      <c r="BD17" s="52">
        <f t="shared" si="39"/>
        <v>85.898904685251907</v>
      </c>
      <c r="BE17" s="52">
        <f t="shared" si="40"/>
        <v>136.33935752660585</v>
      </c>
      <c r="BF17" s="52">
        <f t="shared" si="41"/>
        <v>6.0071923828124998</v>
      </c>
      <c r="BG17" s="52">
        <f t="shared" si="42"/>
        <v>6.8064262695312499</v>
      </c>
      <c r="BH17" s="52">
        <f t="shared" si="30"/>
        <v>0.45818142481927843</v>
      </c>
      <c r="BI17" s="52">
        <f t="shared" si="31"/>
        <v>0.27236987605537444</v>
      </c>
      <c r="BJ17" s="52">
        <f t="shared" si="43"/>
        <v>2733.0295679384967</v>
      </c>
      <c r="BK17" s="52">
        <f t="shared" si="44"/>
        <v>2699.7009686325346</v>
      </c>
      <c r="BL17" s="52">
        <f t="shared" si="32"/>
        <v>102.68656716417911</v>
      </c>
      <c r="BM17" s="52">
        <f t="shared" si="33"/>
        <v>60.298507462686565</v>
      </c>
      <c r="BN17" s="52">
        <f t="shared" si="45"/>
        <v>118.56713910072511</v>
      </c>
      <c r="BO17" s="52">
        <f t="shared" si="46"/>
        <v>199.45399805840188</v>
      </c>
      <c r="BP17" s="52">
        <f t="shared" si="47"/>
        <v>118.56713910072511</v>
      </c>
      <c r="BQ17" s="52">
        <f t="shared" si="48"/>
        <v>199.45399805840188</v>
      </c>
      <c r="BR17" s="52">
        <f t="shared" si="49"/>
        <v>0.59445857317940354</v>
      </c>
      <c r="BS17" s="52">
        <f t="shared" si="34"/>
        <v>25.4407958984375</v>
      </c>
      <c r="BT17" s="1">
        <f t="shared" si="35"/>
        <v>0.30149253731343284</v>
      </c>
      <c r="BU17" s="1">
        <f t="shared" si="36"/>
        <v>0.45818142481927843</v>
      </c>
      <c r="BV17" s="1">
        <f t="shared" si="50"/>
        <v>0.33489093834579375</v>
      </c>
    </row>
    <row r="18" spans="1:74" ht="12.75" customHeight="1" x14ac:dyDescent="0.2">
      <c r="A18" s="5">
        <v>1E-3</v>
      </c>
      <c r="B18" s="64" t="s">
        <v>88</v>
      </c>
      <c r="C18" s="62">
        <v>30.97705078125</v>
      </c>
      <c r="D18" s="62">
        <v>25.26220703125</v>
      </c>
      <c r="E18" s="62">
        <v>23.2490234375</v>
      </c>
      <c r="F18" s="62">
        <v>19.969482421875</v>
      </c>
      <c r="G18" s="62">
        <v>132.967529296875</v>
      </c>
      <c r="H18" s="62">
        <v>132.967529296875</v>
      </c>
      <c r="I18" s="62">
        <v>132.967529296875</v>
      </c>
      <c r="J18" s="62">
        <v>132.967529296875</v>
      </c>
      <c r="K18" s="62">
        <v>132.967529296875</v>
      </c>
      <c r="L18" s="62">
        <v>132.967529296875</v>
      </c>
      <c r="M18" s="64">
        <v>30</v>
      </c>
      <c r="N18" s="62">
        <v>1.67236328125</v>
      </c>
      <c r="O18" s="84">
        <v>60</v>
      </c>
      <c r="P18" s="63">
        <v>2.587890625</v>
      </c>
      <c r="Q18" s="61">
        <v>1</v>
      </c>
      <c r="R18" s="60" t="str">
        <f t="shared" si="0"/>
        <v>Countercurrent</v>
      </c>
      <c r="S18" s="60" t="s">
        <v>71</v>
      </c>
      <c r="T18" s="59">
        <f t="shared" si="1"/>
        <v>4.1785259275813464</v>
      </c>
      <c r="U18" s="59">
        <f t="shared" si="2"/>
        <v>4.1806893705267258</v>
      </c>
      <c r="V18" s="53">
        <f t="shared" si="3"/>
        <v>28.11962890625</v>
      </c>
      <c r="W18" s="57">
        <f t="shared" si="4"/>
        <v>996.20724069498931</v>
      </c>
      <c r="X18" s="53">
        <f t="shared" si="5"/>
        <v>21.6092529296875</v>
      </c>
      <c r="Y18" s="57">
        <f t="shared" si="6"/>
        <v>997.86775899926113</v>
      </c>
      <c r="Z18" s="57">
        <f t="shared" si="7"/>
        <v>5.71484375</v>
      </c>
      <c r="AA18" s="57">
        <f t="shared" si="8"/>
        <v>-3.279541015625</v>
      </c>
      <c r="AB18" s="56">
        <f t="shared" si="9"/>
        <v>2.776700683089468E-2</v>
      </c>
      <c r="AC18" s="56">
        <f t="shared" si="10"/>
        <v>4.3039543641732451E-2</v>
      </c>
      <c r="AD18" s="83">
        <f t="shared" si="11"/>
        <v>663.06564889174399</v>
      </c>
      <c r="AE18" s="83">
        <f t="shared" si="12"/>
        <v>590.1040900418667</v>
      </c>
      <c r="AF18" s="83">
        <f t="shared" si="13"/>
        <v>72.961558849877292</v>
      </c>
      <c r="AG18" s="83">
        <f t="shared" si="14"/>
        <v>88.996329553216015</v>
      </c>
      <c r="AH18" s="83">
        <f t="shared" si="15"/>
        <v>51.917404129793525</v>
      </c>
      <c r="AI18" s="53"/>
      <c r="AJ18" s="83">
        <f t="shared" si="37"/>
        <v>46.204584074826023</v>
      </c>
      <c r="AK18" s="53"/>
      <c r="AL18" s="83">
        <f t="shared" si="16"/>
        <v>81.710914454277287</v>
      </c>
      <c r="AM18" s="53"/>
      <c r="AN18" s="83">
        <f t="shared" si="17"/>
        <v>6.1120540723913104</v>
      </c>
      <c r="AO18" s="83">
        <f t="shared" si="38"/>
        <v>1277.1093244314354</v>
      </c>
      <c r="AP18" s="54"/>
      <c r="AQ18" s="52">
        <f t="shared" si="18"/>
        <v>0.04</v>
      </c>
      <c r="AR18" s="52">
        <f t="shared" si="19"/>
        <v>1277.1548578085294</v>
      </c>
      <c r="AS18" s="52">
        <f t="shared" si="20"/>
        <v>380.50926442083033</v>
      </c>
      <c r="AT18" s="52">
        <f t="shared" si="51"/>
        <v>13543.477226649105</v>
      </c>
      <c r="AU18" s="52">
        <f t="shared" si="21"/>
        <v>18718.302163696375</v>
      </c>
      <c r="AV18" s="52">
        <f t="shared" si="22"/>
        <v>8.2373269531250005E-4</v>
      </c>
      <c r="AW18" s="52">
        <f t="shared" si="23"/>
        <v>9.1654175781250003E-4</v>
      </c>
      <c r="AX18" s="52">
        <f t="shared" si="24"/>
        <v>9.4923585937500008E-4</v>
      </c>
      <c r="AY18" s="52">
        <f t="shared" si="25"/>
        <v>1.0024956054687502E-3</v>
      </c>
      <c r="AZ18" s="52">
        <f t="shared" si="26"/>
        <v>3.0000000000000001E-3</v>
      </c>
      <c r="BA18" s="52">
        <f t="shared" si="27"/>
        <v>8.7013722656250009E-4</v>
      </c>
      <c r="BB18" s="52">
        <f t="shared" si="28"/>
        <v>9.7586573242187512E-4</v>
      </c>
      <c r="BC18" s="52">
        <f t="shared" si="29"/>
        <v>3.0000000000000001E-3</v>
      </c>
      <c r="BD18" s="52">
        <f t="shared" si="39"/>
        <v>84.444591655277677</v>
      </c>
      <c r="BE18" s="52">
        <f t="shared" si="40"/>
        <v>124.65893595283627</v>
      </c>
      <c r="BF18" s="52">
        <f t="shared" si="41"/>
        <v>6.0031660156250002</v>
      </c>
      <c r="BG18" s="52">
        <f t="shared" si="42"/>
        <v>6.8104526367187495</v>
      </c>
      <c r="BH18" s="52">
        <f t="shared" si="30"/>
        <v>0.44028703661500068</v>
      </c>
      <c r="BI18" s="52">
        <f t="shared" si="31"/>
        <v>0.28390465218520167</v>
      </c>
      <c r="BJ18" s="52">
        <f t="shared" si="43"/>
        <v>2712.1228029005433</v>
      </c>
      <c r="BK18" s="52">
        <f t="shared" si="44"/>
        <v>2413.6897475572864</v>
      </c>
      <c r="BL18" s="52">
        <f t="shared" si="32"/>
        <v>103.83480825958702</v>
      </c>
      <c r="BM18" s="52">
        <f t="shared" si="33"/>
        <v>59.587020648967552</v>
      </c>
      <c r="BN18" s="52">
        <f t="shared" si="45"/>
        <v>116.02515797422177</v>
      </c>
      <c r="BO18" s="52">
        <f t="shared" si="46"/>
        <v>179.934962615312</v>
      </c>
      <c r="BP18" s="52">
        <f t="shared" si="47"/>
        <v>116.02515797422177</v>
      </c>
      <c r="BQ18" s="52">
        <f t="shared" si="48"/>
        <v>179.934962615312</v>
      </c>
      <c r="BR18" s="52">
        <f t="shared" si="49"/>
        <v>0.64481719554567729</v>
      </c>
      <c r="BS18" s="52">
        <f t="shared" si="34"/>
        <v>25.4732666015625</v>
      </c>
      <c r="BT18" s="1">
        <f t="shared" si="35"/>
        <v>0.29793510324483774</v>
      </c>
      <c r="BU18" s="1">
        <f t="shared" si="36"/>
        <v>0.44028703661500068</v>
      </c>
      <c r="BV18" s="1">
        <f t="shared" si="50"/>
        <v>0.32275961860780822</v>
      </c>
    </row>
    <row r="19" spans="1:74" ht="12.75" customHeight="1" x14ac:dyDescent="0.2">
      <c r="A19" s="5">
        <v>1E-3</v>
      </c>
      <c r="B19" s="64" t="s">
        <v>89</v>
      </c>
      <c r="C19" s="62">
        <v>30.944580078125</v>
      </c>
      <c r="D19" s="62">
        <v>25.3271484375</v>
      </c>
      <c r="E19" s="62">
        <v>23.281494140625</v>
      </c>
      <c r="F19" s="62">
        <v>19.969482421875</v>
      </c>
      <c r="G19" s="62">
        <v>132.967529296875</v>
      </c>
      <c r="H19" s="62">
        <v>132.967529296875</v>
      </c>
      <c r="I19" s="62">
        <v>132.967529296875</v>
      </c>
      <c r="J19" s="62">
        <v>132.967529296875</v>
      </c>
      <c r="K19" s="62">
        <v>132.967529296875</v>
      </c>
      <c r="L19" s="62">
        <v>132.967529296875</v>
      </c>
      <c r="M19" s="64">
        <v>30</v>
      </c>
      <c r="N19" s="62">
        <v>1.7333984375</v>
      </c>
      <c r="O19" s="84">
        <v>60</v>
      </c>
      <c r="P19" s="63">
        <v>2.86865234375</v>
      </c>
      <c r="Q19" s="61">
        <v>1</v>
      </c>
      <c r="R19" s="60" t="str">
        <f t="shared" si="0"/>
        <v>Countercurrent</v>
      </c>
      <c r="S19" s="60" t="s">
        <v>71</v>
      </c>
      <c r="T19" s="59">
        <f t="shared" si="1"/>
        <v>4.1785227942666188</v>
      </c>
      <c r="U19" s="59">
        <f t="shared" si="2"/>
        <v>4.1806813377729295</v>
      </c>
      <c r="V19" s="53">
        <f t="shared" si="3"/>
        <v>28.1358642578125</v>
      </c>
      <c r="W19" s="57">
        <f t="shared" si="4"/>
        <v>996.20259236542086</v>
      </c>
      <c r="X19" s="53">
        <f t="shared" si="5"/>
        <v>21.62548828125</v>
      </c>
      <c r="Y19" s="57">
        <f t="shared" si="6"/>
        <v>997.86414632042329</v>
      </c>
      <c r="Z19" s="57">
        <f t="shared" si="7"/>
        <v>5.617431640625</v>
      </c>
      <c r="AA19" s="57">
        <f t="shared" si="8"/>
        <v>-3.31201171875</v>
      </c>
      <c r="AB19" s="56">
        <f t="shared" si="9"/>
        <v>2.8780266950661167E-2</v>
      </c>
      <c r="AC19" s="56">
        <f t="shared" si="10"/>
        <v>4.7708755368102915E-2</v>
      </c>
      <c r="AD19" s="83">
        <f t="shared" si="11"/>
        <v>675.54671997482228</v>
      </c>
      <c r="AE19" s="83">
        <f t="shared" si="12"/>
        <v>660.59763921522676</v>
      </c>
      <c r="AF19" s="83">
        <f t="shared" si="13"/>
        <v>14.949080759595518</v>
      </c>
      <c r="AG19" s="83">
        <f t="shared" si="14"/>
        <v>97.787113708411965</v>
      </c>
      <c r="AH19" s="83">
        <f t="shared" si="15"/>
        <v>51.18343195266273</v>
      </c>
      <c r="AI19" s="53"/>
      <c r="AJ19" s="83">
        <f t="shared" si="37"/>
        <v>50.050800803417957</v>
      </c>
      <c r="AK19" s="53"/>
      <c r="AL19" s="83">
        <f t="shared" si="16"/>
        <v>81.360946745562131</v>
      </c>
      <c r="AM19" s="53"/>
      <c r="AN19" s="83">
        <f t="shared" si="17"/>
        <v>6.1196774933997391</v>
      </c>
      <c r="AO19" s="83">
        <f t="shared" si="38"/>
        <v>1364.4276056469237</v>
      </c>
      <c r="AP19" s="54"/>
      <c r="AQ19" s="52">
        <f t="shared" si="18"/>
        <v>0.04</v>
      </c>
      <c r="AR19" s="52">
        <f t="shared" si="19"/>
        <v>1319.8542852687278</v>
      </c>
      <c r="AS19" s="52">
        <f t="shared" si="20"/>
        <v>398.29922218168713</v>
      </c>
      <c r="AT19" s="52">
        <f t="shared" si="51"/>
        <v>14041.95409810461</v>
      </c>
      <c r="AU19" s="52">
        <f t="shared" si="21"/>
        <v>20754.593774525019</v>
      </c>
      <c r="AV19" s="52">
        <f t="shared" si="22"/>
        <v>8.2426001953125004E-4</v>
      </c>
      <c r="AW19" s="52">
        <f t="shared" si="23"/>
        <v>9.1548710937500004E-4</v>
      </c>
      <c r="AX19" s="52">
        <f t="shared" si="24"/>
        <v>9.4870853515625008E-4</v>
      </c>
      <c r="AY19" s="52">
        <f t="shared" si="25"/>
        <v>1.0024956054687502E-3</v>
      </c>
      <c r="AZ19" s="52">
        <f t="shared" si="26"/>
        <v>3.0000000000000001E-3</v>
      </c>
      <c r="BA19" s="52">
        <f t="shared" si="27"/>
        <v>8.6987356445312504E-4</v>
      </c>
      <c r="BB19" s="52">
        <f t="shared" si="28"/>
        <v>9.7560207031250007E-4</v>
      </c>
      <c r="BC19" s="52">
        <f t="shared" si="29"/>
        <v>3.0000000000000001E-3</v>
      </c>
      <c r="BD19" s="52">
        <f t="shared" si="39"/>
        <v>86.912287031895133</v>
      </c>
      <c r="BE19" s="52">
        <f t="shared" si="40"/>
        <v>136.32127678438215</v>
      </c>
      <c r="BF19" s="52">
        <f t="shared" si="41"/>
        <v>6.0011528320312504</v>
      </c>
      <c r="BG19" s="52">
        <f t="shared" si="42"/>
        <v>6.8084394531249997</v>
      </c>
      <c r="BH19" s="52">
        <f t="shared" si="30"/>
        <v>0.45382968056384904</v>
      </c>
      <c r="BI19" s="52">
        <f t="shared" si="31"/>
        <v>0.27363102445579868</v>
      </c>
      <c r="BJ19" s="52">
        <f t="shared" si="43"/>
        <v>2759.7317044215984</v>
      </c>
      <c r="BK19" s="52">
        <f t="shared" si="44"/>
        <v>2698.6619798498436</v>
      </c>
      <c r="BL19" s="52">
        <f t="shared" si="32"/>
        <v>102.36686390532545</v>
      </c>
      <c r="BM19" s="52">
        <f t="shared" si="33"/>
        <v>60.355029585798817</v>
      </c>
      <c r="BN19" s="52">
        <f t="shared" si="45"/>
        <v>120.25900147841593</v>
      </c>
      <c r="BO19" s="52">
        <f t="shared" si="46"/>
        <v>199.45510321580193</v>
      </c>
      <c r="BP19" s="52">
        <f t="shared" si="47"/>
        <v>120.25900147841593</v>
      </c>
      <c r="BQ19" s="52">
        <f t="shared" si="48"/>
        <v>199.45510321580193</v>
      </c>
      <c r="BR19" s="52">
        <f t="shared" si="49"/>
        <v>0.60293770146508008</v>
      </c>
      <c r="BS19" s="52">
        <f t="shared" si="34"/>
        <v>25.45703125</v>
      </c>
      <c r="BT19" s="1">
        <f t="shared" si="35"/>
        <v>0.30177514792899407</v>
      </c>
      <c r="BU19" s="1">
        <f t="shared" si="36"/>
        <v>0.45382968056384904</v>
      </c>
      <c r="BV19" s="1">
        <f t="shared" si="50"/>
        <v>0.33212683344872779</v>
      </c>
    </row>
    <row r="20" spans="1:74" ht="12.75" customHeight="1" x14ac:dyDescent="0.2">
      <c r="A20" s="5">
        <v>1E-3</v>
      </c>
      <c r="B20" s="64" t="s">
        <v>90</v>
      </c>
      <c r="C20" s="62">
        <v>31.0419921875</v>
      </c>
      <c r="D20" s="62">
        <v>25.3271484375</v>
      </c>
      <c r="E20" s="62">
        <v>23.281494140625</v>
      </c>
      <c r="F20" s="62">
        <v>19.969482421875</v>
      </c>
      <c r="G20" s="62">
        <v>132.967529296875</v>
      </c>
      <c r="H20" s="62">
        <v>132.967529296875</v>
      </c>
      <c r="I20" s="62">
        <v>132.967529296875</v>
      </c>
      <c r="J20" s="62">
        <v>132.967529296875</v>
      </c>
      <c r="K20" s="62">
        <v>132.967529296875</v>
      </c>
      <c r="L20" s="62">
        <v>132.967529296875</v>
      </c>
      <c r="M20" s="64">
        <v>30</v>
      </c>
      <c r="N20" s="62">
        <v>1.67236328125</v>
      </c>
      <c r="O20" s="84">
        <v>60</v>
      </c>
      <c r="P20" s="63">
        <v>2.94189453125</v>
      </c>
      <c r="Q20" s="61">
        <v>1</v>
      </c>
      <c r="R20" s="60" t="str">
        <f t="shared" si="0"/>
        <v>Countercurrent</v>
      </c>
      <c r="S20" s="60" t="s">
        <v>71</v>
      </c>
      <c r="T20" s="59">
        <f t="shared" si="1"/>
        <v>4.1785134518302653</v>
      </c>
      <c r="U20" s="59">
        <f t="shared" si="2"/>
        <v>4.1806813377729295</v>
      </c>
      <c r="V20" s="53">
        <f t="shared" si="3"/>
        <v>28.1845703125</v>
      </c>
      <c r="W20" s="57">
        <f t="shared" si="4"/>
        <v>996.18863290855506</v>
      </c>
      <c r="X20" s="53">
        <f t="shared" si="5"/>
        <v>21.62548828125</v>
      </c>
      <c r="Y20" s="57">
        <f t="shared" si="6"/>
        <v>997.86414632042329</v>
      </c>
      <c r="Z20" s="57">
        <f t="shared" si="7"/>
        <v>5.71484375</v>
      </c>
      <c r="AA20" s="57">
        <f t="shared" si="8"/>
        <v>-3.31201171875</v>
      </c>
      <c r="AB20" s="56">
        <f t="shared" si="9"/>
        <v>2.7766488181248383E-2</v>
      </c>
      <c r="AC20" s="56">
        <f t="shared" si="10"/>
        <v>4.8926851249841717E-2</v>
      </c>
      <c r="AD20" s="83">
        <f t="shared" si="11"/>
        <v>663.05128406741278</v>
      </c>
      <c r="AE20" s="83">
        <f t="shared" si="12"/>
        <v>677.46396191859435</v>
      </c>
      <c r="AF20" s="83">
        <f t="shared" si="13"/>
        <v>-14.41267785118157</v>
      </c>
      <c r="AG20" s="83">
        <f t="shared" si="14"/>
        <v>102.17368975786738</v>
      </c>
      <c r="AH20" s="83">
        <f t="shared" si="15"/>
        <v>51.612903225806448</v>
      </c>
      <c r="AI20" s="53"/>
      <c r="AJ20" s="83">
        <f t="shared" si="37"/>
        <v>52.734807616963806</v>
      </c>
      <c r="AK20" s="53"/>
      <c r="AL20" s="83">
        <f t="shared" si="16"/>
        <v>81.524926686217</v>
      </c>
      <c r="AM20" s="53"/>
      <c r="AN20" s="83">
        <f t="shared" si="17"/>
        <v>6.1608071644400191</v>
      </c>
      <c r="AO20" s="83">
        <f t="shared" si="38"/>
        <v>1359.7652983265168</v>
      </c>
      <c r="AP20" s="54"/>
      <c r="AQ20" s="52">
        <f t="shared" si="18"/>
        <v>0.04</v>
      </c>
      <c r="AR20" s="52">
        <f t="shared" si="19"/>
        <v>1284.6618628806123</v>
      </c>
      <c r="AS20" s="52">
        <f t="shared" si="20"/>
        <v>384.26835781179602</v>
      </c>
      <c r="AT20" s="52">
        <f t="shared" si="51"/>
        <v>13559.659216373526</v>
      </c>
      <c r="AU20" s="52">
        <f t="shared" si="21"/>
        <v>21284.498296427788</v>
      </c>
      <c r="AV20" s="52">
        <f t="shared" si="22"/>
        <v>8.2267804687500006E-4</v>
      </c>
      <c r="AW20" s="52">
        <f t="shared" si="23"/>
        <v>9.1548710937500004E-4</v>
      </c>
      <c r="AX20" s="52">
        <f t="shared" si="24"/>
        <v>9.4870853515625008E-4</v>
      </c>
      <c r="AY20" s="52">
        <f t="shared" si="25"/>
        <v>1.0024956054687502E-3</v>
      </c>
      <c r="AZ20" s="52">
        <f t="shared" si="26"/>
        <v>3.0000000000000001E-3</v>
      </c>
      <c r="BA20" s="52">
        <f t="shared" si="27"/>
        <v>8.690825781250001E-4</v>
      </c>
      <c r="BB20" s="52">
        <f t="shared" si="28"/>
        <v>9.7560207031250007E-4</v>
      </c>
      <c r="BC20" s="52">
        <f t="shared" si="29"/>
        <v>3.0000000000000001E-3</v>
      </c>
      <c r="BD20" s="52">
        <f t="shared" si="39"/>
        <v>84.487487383633308</v>
      </c>
      <c r="BE20" s="52">
        <f t="shared" si="40"/>
        <v>139.33383296078486</v>
      </c>
      <c r="BF20" s="52">
        <f t="shared" si="41"/>
        <v>5.9951132812500001</v>
      </c>
      <c r="BG20" s="52">
        <f t="shared" si="42"/>
        <v>6.8084394531249997</v>
      </c>
      <c r="BH20" s="52">
        <f t="shared" si="30"/>
        <v>0.46879307247178875</v>
      </c>
      <c r="BI20" s="52">
        <f t="shared" si="31"/>
        <v>0.26590690315409998</v>
      </c>
      <c r="BJ20" s="52">
        <f t="shared" si="43"/>
        <v>2690.6023284356452</v>
      </c>
      <c r="BK20" s="52">
        <f t="shared" si="44"/>
        <v>2749.0876756737921</v>
      </c>
      <c r="BL20" s="52">
        <f t="shared" si="32"/>
        <v>103.2258064516129</v>
      </c>
      <c r="BM20" s="52">
        <f t="shared" si="33"/>
        <v>59.824046920821111</v>
      </c>
      <c r="BN20" s="52">
        <f t="shared" si="45"/>
        <v>116.02264437543245</v>
      </c>
      <c r="BO20" s="52">
        <f t="shared" si="46"/>
        <v>204.5475739362054</v>
      </c>
      <c r="BP20" s="52">
        <f t="shared" si="47"/>
        <v>116.02264437543245</v>
      </c>
      <c r="BQ20" s="52">
        <f t="shared" si="48"/>
        <v>204.5475739362054</v>
      </c>
      <c r="BR20" s="52">
        <f t="shared" si="49"/>
        <v>0.56721593975794482</v>
      </c>
      <c r="BS20" s="52">
        <f t="shared" si="34"/>
        <v>25.5057373046875</v>
      </c>
      <c r="BT20" s="1">
        <f t="shared" si="35"/>
        <v>0.29912023460410558</v>
      </c>
      <c r="BU20" s="1">
        <f t="shared" si="36"/>
        <v>0.46879307247178875</v>
      </c>
      <c r="BV20" s="1">
        <f t="shared" si="50"/>
        <v>0.34199054620416691</v>
      </c>
    </row>
    <row r="21" spans="1:74" ht="12.75" customHeight="1" x14ac:dyDescent="0.2">
      <c r="A21" s="5">
        <v>1E-3</v>
      </c>
      <c r="B21" s="64" t="s">
        <v>91</v>
      </c>
      <c r="C21" s="62">
        <v>31.0419921875</v>
      </c>
      <c r="D21" s="62">
        <v>25.359619140625</v>
      </c>
      <c r="E21" s="62">
        <v>23.31396484375</v>
      </c>
      <c r="F21" s="62">
        <v>19.969482421875</v>
      </c>
      <c r="G21" s="62">
        <v>132.967529296875</v>
      </c>
      <c r="H21" s="62">
        <v>132.967529296875</v>
      </c>
      <c r="I21" s="62">
        <v>132.967529296875</v>
      </c>
      <c r="J21" s="62">
        <v>132.967529296875</v>
      </c>
      <c r="K21" s="62">
        <v>132.967529296875</v>
      </c>
      <c r="L21" s="62">
        <v>132.967529296875</v>
      </c>
      <c r="M21" s="64">
        <v>30</v>
      </c>
      <c r="N21" s="62">
        <v>1.67236328125</v>
      </c>
      <c r="O21" s="84">
        <v>60</v>
      </c>
      <c r="P21" s="63">
        <v>2.81982421875</v>
      </c>
      <c r="Q21" s="61">
        <v>1</v>
      </c>
      <c r="R21" s="60" t="str">
        <f t="shared" si="0"/>
        <v>Countercurrent</v>
      </c>
      <c r="S21" s="60" t="s">
        <v>71</v>
      </c>
      <c r="T21" s="59">
        <f t="shared" si="1"/>
        <v>4.1785103568193493</v>
      </c>
      <c r="U21" s="59">
        <f t="shared" si="2"/>
        <v>4.1806733204396975</v>
      </c>
      <c r="V21" s="53">
        <f t="shared" si="3"/>
        <v>28.2008056640625</v>
      </c>
      <c r="W21" s="57">
        <f t="shared" si="4"/>
        <v>996.18397493620535</v>
      </c>
      <c r="X21" s="53">
        <f t="shared" si="5"/>
        <v>21.6417236328125</v>
      </c>
      <c r="Y21" s="57">
        <f t="shared" si="6"/>
        <v>997.86053087872972</v>
      </c>
      <c r="Z21" s="57">
        <f t="shared" si="7"/>
        <v>5.682373046875</v>
      </c>
      <c r="AA21" s="57">
        <f t="shared" si="8"/>
        <v>-3.344482421875</v>
      </c>
      <c r="AB21" s="56">
        <f t="shared" si="9"/>
        <v>2.7766358350883001E-2</v>
      </c>
      <c r="AC21" s="56">
        <f t="shared" si="10"/>
        <v>4.6896521531776238E-2</v>
      </c>
      <c r="AD21" s="83">
        <f t="shared" si="11"/>
        <v>659.28037622338763</v>
      </c>
      <c r="AE21" s="83">
        <f t="shared" si="12"/>
        <v>655.7160008538408</v>
      </c>
      <c r="AF21" s="83">
        <f t="shared" si="13"/>
        <v>3.5643753695468376</v>
      </c>
      <c r="AG21" s="83">
        <f t="shared" si="14"/>
        <v>99.459353637982531</v>
      </c>
      <c r="AH21" s="83">
        <f t="shared" si="15"/>
        <v>51.319648093841643</v>
      </c>
      <c r="AI21" s="53"/>
      <c r="AJ21" s="83">
        <f t="shared" si="37"/>
        <v>51.042190283422123</v>
      </c>
      <c r="AK21" s="53"/>
      <c r="AL21" s="83">
        <f t="shared" si="16"/>
        <v>81.524926686217015</v>
      </c>
      <c r="AM21" s="53"/>
      <c r="AN21" s="83">
        <f t="shared" si="17"/>
        <v>6.1645895052954742</v>
      </c>
      <c r="AO21" s="83">
        <f t="shared" si="38"/>
        <v>1333.2058794198849</v>
      </c>
      <c r="AP21" s="54"/>
      <c r="AQ21" s="52">
        <f t="shared" si="18"/>
        <v>0.04</v>
      </c>
      <c r="AR21" s="52">
        <f t="shared" si="19"/>
        <v>1284.6549045267152</v>
      </c>
      <c r="AS21" s="52">
        <f t="shared" si="20"/>
        <v>388.03359286290816</v>
      </c>
      <c r="AT21" s="52">
        <f t="shared" si="51"/>
        <v>13563.71077023368</v>
      </c>
      <c r="AU21" s="52">
        <f t="shared" si="21"/>
        <v>20406.765222061658</v>
      </c>
      <c r="AV21" s="52">
        <f t="shared" si="22"/>
        <v>8.2267804687500006E-4</v>
      </c>
      <c r="AW21" s="52">
        <f t="shared" si="23"/>
        <v>9.1495978515625004E-4</v>
      </c>
      <c r="AX21" s="52">
        <f t="shared" si="24"/>
        <v>9.4818121093750009E-4</v>
      </c>
      <c r="AY21" s="52">
        <f t="shared" si="25"/>
        <v>1.0024956054687502E-3</v>
      </c>
      <c r="AZ21" s="52">
        <f t="shared" si="26"/>
        <v>3.0000000000000001E-3</v>
      </c>
      <c r="BA21" s="52">
        <f t="shared" si="27"/>
        <v>8.6881891601562505E-4</v>
      </c>
      <c r="BB21" s="52">
        <f t="shared" si="28"/>
        <v>9.7533840820312513E-4</v>
      </c>
      <c r="BC21" s="52">
        <f t="shared" si="29"/>
        <v>3.0000000000000001E-3</v>
      </c>
      <c r="BD21" s="52">
        <f t="shared" si="39"/>
        <v>84.498221917289555</v>
      </c>
      <c r="BE21" s="52">
        <f t="shared" si="40"/>
        <v>134.32504449915393</v>
      </c>
      <c r="BF21" s="52">
        <f t="shared" si="41"/>
        <v>5.9931000976562503</v>
      </c>
      <c r="BG21" s="52">
        <f t="shared" si="42"/>
        <v>6.8064262695312499</v>
      </c>
      <c r="BH21" s="52">
        <f t="shared" si="30"/>
        <v>0.45963892925482097</v>
      </c>
      <c r="BI21" s="52">
        <f t="shared" si="31"/>
        <v>0.2720009042118276</v>
      </c>
      <c r="BJ21" s="52">
        <f t="shared" si="43"/>
        <v>2673.6588691633724</v>
      </c>
      <c r="BK21" s="52">
        <f t="shared" si="44"/>
        <v>2659.2038297544832</v>
      </c>
      <c r="BL21" s="52">
        <f t="shared" si="32"/>
        <v>102.63929618768329</v>
      </c>
      <c r="BM21" s="52">
        <f t="shared" si="33"/>
        <v>60.410557184750736</v>
      </c>
      <c r="BN21" s="52">
        <f t="shared" si="45"/>
        <v>116.02201594032205</v>
      </c>
      <c r="BO21" s="52">
        <f t="shared" si="46"/>
        <v>196.05903638932273</v>
      </c>
      <c r="BP21" s="52">
        <f t="shared" si="47"/>
        <v>116.02201594032205</v>
      </c>
      <c r="BQ21" s="52">
        <f t="shared" si="48"/>
        <v>196.05903638932273</v>
      </c>
      <c r="BR21" s="52">
        <f t="shared" si="49"/>
        <v>0.59177081595939407</v>
      </c>
      <c r="BS21" s="52">
        <f t="shared" si="34"/>
        <v>25.5057373046875</v>
      </c>
      <c r="BT21" s="1">
        <f t="shared" si="35"/>
        <v>0.30205278592375367</v>
      </c>
      <c r="BU21" s="1">
        <f t="shared" si="36"/>
        <v>0.45963892925482097</v>
      </c>
      <c r="BV21" s="1">
        <f t="shared" si="50"/>
        <v>0.33580872391202837</v>
      </c>
    </row>
    <row r="22" spans="1:74" ht="12.75" customHeight="1" x14ac:dyDescent="0.2">
      <c r="A22" s="5">
        <v>1E-3</v>
      </c>
      <c r="B22" s="50" t="s">
        <v>92</v>
      </c>
      <c r="C22" s="48">
        <v>28.152099609375</v>
      </c>
      <c r="D22" s="48">
        <v>25.749267578125</v>
      </c>
      <c r="E22" s="48">
        <v>23.476318359375</v>
      </c>
      <c r="F22" s="48">
        <v>20.001953125</v>
      </c>
      <c r="G22" s="48">
        <v>132.967529296875</v>
      </c>
      <c r="H22" s="48">
        <v>132.967529296875</v>
      </c>
      <c r="I22" s="48">
        <v>132.967529296875</v>
      </c>
      <c r="J22" s="48">
        <v>132.967529296875</v>
      </c>
      <c r="K22" s="48">
        <v>132.967529296875</v>
      </c>
      <c r="L22" s="48">
        <v>132.967529296875</v>
      </c>
      <c r="M22" s="50">
        <v>60</v>
      </c>
      <c r="N22" s="48">
        <v>3.955078125</v>
      </c>
      <c r="O22" s="82">
        <v>60</v>
      </c>
      <c r="P22" s="49">
        <v>2.77099609375</v>
      </c>
      <c r="Q22" s="47">
        <v>1</v>
      </c>
      <c r="R22" s="46" t="str">
        <f t="shared" si="0"/>
        <v>Countercurrent</v>
      </c>
      <c r="S22" s="46" t="s">
        <v>71</v>
      </c>
      <c r="T22" s="45">
        <f t="shared" si="1"/>
        <v>4.178777430994427</v>
      </c>
      <c r="U22" s="45">
        <f t="shared" si="2"/>
        <v>4.1806255391939624</v>
      </c>
      <c r="V22" s="39">
        <f t="shared" si="3"/>
        <v>26.95068359375</v>
      </c>
      <c r="W22" s="43">
        <f t="shared" si="4"/>
        <v>996.53552976912351</v>
      </c>
      <c r="X22" s="39">
        <f t="shared" si="5"/>
        <v>21.7391357421875</v>
      </c>
      <c r="Y22" s="43">
        <f t="shared" si="6"/>
        <v>997.83878026187995</v>
      </c>
      <c r="Z22" s="43">
        <f t="shared" si="7"/>
        <v>2.40283203125</v>
      </c>
      <c r="AA22" s="43">
        <f t="shared" si="8"/>
        <v>-3.474365234375</v>
      </c>
      <c r="AB22" s="42">
        <f t="shared" si="9"/>
        <v>6.568959790958577E-2</v>
      </c>
      <c r="AC22" s="42">
        <f t="shared" si="10"/>
        <v>4.6083456038298901E-2</v>
      </c>
      <c r="AD22" s="81">
        <f t="shared" si="11"/>
        <v>659.58270090425788</v>
      </c>
      <c r="AE22" s="81">
        <f t="shared" si="12"/>
        <v>669.36312206854984</v>
      </c>
      <c r="AF22" s="81">
        <f t="shared" si="13"/>
        <v>-9.7804211642919654</v>
      </c>
      <c r="AG22" s="81">
        <f t="shared" si="14"/>
        <v>101.48281953891203</v>
      </c>
      <c r="AH22" s="81">
        <f t="shared" si="15"/>
        <v>29.482071713147416</v>
      </c>
      <c r="AI22" s="39"/>
      <c r="AJ22" s="81">
        <f t="shared" si="37"/>
        <v>29.919237632986015</v>
      </c>
      <c r="AK22" s="39"/>
      <c r="AL22" s="81">
        <f t="shared" si="16"/>
        <v>72.111553784860561</v>
      </c>
      <c r="AM22" s="39"/>
      <c r="AN22" s="81">
        <f t="shared" si="17"/>
        <v>4.9334794063221175</v>
      </c>
      <c r="AO22" s="81">
        <f t="shared" si="38"/>
        <v>1683.4896507494757</v>
      </c>
      <c r="AP22" s="40"/>
      <c r="AQ22" s="38">
        <f t="shared" si="18"/>
        <v>0.04</v>
      </c>
      <c r="AR22" s="38">
        <f t="shared" si="19"/>
        <v>2237.233215229307</v>
      </c>
      <c r="AS22" s="38">
        <f t="shared" si="20"/>
        <v>953.72093238858895</v>
      </c>
      <c r="AT22" s="38">
        <f t="shared" si="51"/>
        <v>31356.288323001401</v>
      </c>
      <c r="AU22" s="38">
        <f t="shared" si="21"/>
        <v>20085.542422482587</v>
      </c>
      <c r="AV22" s="38">
        <f t="shared" si="22"/>
        <v>8.6960990234374999E-4</v>
      </c>
      <c r="AW22" s="38">
        <f t="shared" si="23"/>
        <v>9.0863189453125009E-4</v>
      </c>
      <c r="AX22" s="38">
        <f t="shared" si="24"/>
        <v>9.4554458984375011E-4</v>
      </c>
      <c r="AY22" s="38">
        <f t="shared" si="25"/>
        <v>1.0019682812500001E-3</v>
      </c>
      <c r="AZ22" s="38">
        <f t="shared" si="26"/>
        <v>3.0000000000000001E-3</v>
      </c>
      <c r="BA22" s="38">
        <f t="shared" si="27"/>
        <v>8.8912089843750004E-4</v>
      </c>
      <c r="BB22" s="38">
        <f t="shared" si="28"/>
        <v>9.7375643554687514E-4</v>
      </c>
      <c r="BC22" s="38">
        <f t="shared" si="29"/>
        <v>3.0000000000000001E-3</v>
      </c>
      <c r="BD22" s="38">
        <f t="shared" si="39"/>
        <v>166.61008734560792</v>
      </c>
      <c r="BE22" s="38">
        <f t="shared" si="40"/>
        <v>132.41149940589997</v>
      </c>
      <c r="BF22" s="38">
        <f t="shared" si="41"/>
        <v>6.1481152343750001</v>
      </c>
      <c r="BG22" s="38">
        <f t="shared" si="42"/>
        <v>6.7943471679687502</v>
      </c>
      <c r="BH22" s="38">
        <f t="shared" si="30"/>
        <v>0.24531527898187805</v>
      </c>
      <c r="BI22" s="38">
        <f t="shared" si="31"/>
        <v>0.34952973787492786</v>
      </c>
      <c r="BJ22" s="38">
        <f t="shared" si="43"/>
        <v>3342.380937371609</v>
      </c>
      <c r="BK22" s="38">
        <f t="shared" si="44"/>
        <v>3391.9424149758261</v>
      </c>
      <c r="BL22" s="38">
        <f t="shared" si="32"/>
        <v>58.964143426294818</v>
      </c>
      <c r="BM22" s="38">
        <f t="shared" si="33"/>
        <v>85.258964143426297</v>
      </c>
      <c r="BN22" s="38">
        <f t="shared" si="45"/>
        <v>274.50220919567568</v>
      </c>
      <c r="BO22" s="38">
        <f t="shared" si="46"/>
        <v>192.6576732480346</v>
      </c>
      <c r="BP22" s="38">
        <f t="shared" si="47"/>
        <v>192.6576732480346</v>
      </c>
      <c r="BQ22" s="38">
        <f t="shared" si="48"/>
        <v>274.50220919567568</v>
      </c>
      <c r="BR22" s="38">
        <f t="shared" si="49"/>
        <v>0.7018437986803262</v>
      </c>
      <c r="BS22" s="38">
        <f t="shared" si="34"/>
        <v>24.0770263671875</v>
      </c>
      <c r="BT22" s="1">
        <f t="shared" si="35"/>
        <v>0.42629482071713148</v>
      </c>
      <c r="BU22" s="1">
        <f t="shared" si="36"/>
        <v>0.34952973787492786</v>
      </c>
      <c r="BV22" s="1">
        <f t="shared" si="50"/>
        <v>0.26921540600416882</v>
      </c>
    </row>
    <row r="23" spans="1:74" ht="12.75" customHeight="1" x14ac:dyDescent="0.2">
      <c r="A23" s="5">
        <v>1E-3</v>
      </c>
      <c r="B23" s="50" t="s">
        <v>93</v>
      </c>
      <c r="C23" s="48">
        <v>28.314453125</v>
      </c>
      <c r="D23" s="48">
        <v>25.684326171875</v>
      </c>
      <c r="E23" s="48">
        <v>23.44384765625</v>
      </c>
      <c r="F23" s="48">
        <v>20.034423828125</v>
      </c>
      <c r="G23" s="48">
        <v>132.967529296875</v>
      </c>
      <c r="H23" s="48">
        <v>132.967529296875</v>
      </c>
      <c r="I23" s="48">
        <v>132.967529296875</v>
      </c>
      <c r="J23" s="48">
        <v>132.967529296875</v>
      </c>
      <c r="K23" s="48">
        <v>132.967529296875</v>
      </c>
      <c r="L23" s="48">
        <v>132.967529296875</v>
      </c>
      <c r="M23" s="50">
        <v>60</v>
      </c>
      <c r="N23" s="48">
        <v>3.86962890625</v>
      </c>
      <c r="O23" s="82">
        <v>60</v>
      </c>
      <c r="P23" s="49">
        <v>2.74658203125</v>
      </c>
      <c r="Q23" s="47">
        <v>1</v>
      </c>
      <c r="R23" s="46" t="str">
        <f t="shared" si="0"/>
        <v>Countercurrent</v>
      </c>
      <c r="S23" s="46" t="s">
        <v>71</v>
      </c>
      <c r="T23" s="45">
        <f t="shared" si="1"/>
        <v>4.1787659046932699</v>
      </c>
      <c r="U23" s="45">
        <f t="shared" si="2"/>
        <v>4.1806255391939624</v>
      </c>
      <c r="V23" s="39">
        <f t="shared" si="3"/>
        <v>26.9993896484375</v>
      </c>
      <c r="W23" s="43">
        <f t="shared" si="4"/>
        <v>996.52210470568184</v>
      </c>
      <c r="X23" s="39">
        <f t="shared" si="5"/>
        <v>21.7391357421875</v>
      </c>
      <c r="Y23" s="43">
        <f t="shared" si="6"/>
        <v>997.83878026187995</v>
      </c>
      <c r="Z23" s="43">
        <f t="shared" si="7"/>
        <v>2.630126953125</v>
      </c>
      <c r="AA23" s="43">
        <f t="shared" si="8"/>
        <v>-3.409423828125</v>
      </c>
      <c r="AB23" s="42">
        <f t="shared" si="9"/>
        <v>6.4269512368103257E-2</v>
      </c>
      <c r="AC23" s="42">
        <f t="shared" si="10"/>
        <v>4.5677434399194944E-2</v>
      </c>
      <c r="AD23" s="81">
        <f t="shared" si="11"/>
        <v>706.36595504837157</v>
      </c>
      <c r="AE23" s="81">
        <f t="shared" si="12"/>
        <v>651.06442253157775</v>
      </c>
      <c r="AF23" s="81">
        <f t="shared" si="13"/>
        <v>55.301532516793827</v>
      </c>
      <c r="AG23" s="81">
        <f t="shared" si="14"/>
        <v>92.170979911821092</v>
      </c>
      <c r="AH23" s="81">
        <f t="shared" si="15"/>
        <v>31.764705882352946</v>
      </c>
      <c r="AI23" s="39"/>
      <c r="AJ23" s="81">
        <f t="shared" si="37"/>
        <v>29.277840677872586</v>
      </c>
      <c r="AK23" s="39"/>
      <c r="AL23" s="81">
        <f t="shared" si="16"/>
        <v>72.941176470588232</v>
      </c>
      <c r="AM23" s="39"/>
      <c r="AN23" s="81">
        <f t="shared" si="17"/>
        <v>4.9880878973157436</v>
      </c>
      <c r="AO23" s="81">
        <f t="shared" si="38"/>
        <v>1698.0171415622483</v>
      </c>
      <c r="AP23" s="40"/>
      <c r="AQ23" s="38">
        <f t="shared" si="18"/>
        <v>0.04</v>
      </c>
      <c r="AR23" s="38">
        <f t="shared" si="19"/>
        <v>2223.7446733004285</v>
      </c>
      <c r="AS23" s="38">
        <f t="shared" si="20"/>
        <v>915.6595713590001</v>
      </c>
      <c r="AT23" s="38">
        <f t="shared" si="51"/>
        <v>30705.741021225225</v>
      </c>
      <c r="AU23" s="38">
        <f t="shared" si="21"/>
        <v>19908.577291006972</v>
      </c>
      <c r="AV23" s="38">
        <f t="shared" si="22"/>
        <v>8.6697328125000001E-4</v>
      </c>
      <c r="AW23" s="38">
        <f t="shared" si="23"/>
        <v>9.0968654296875008E-4</v>
      </c>
      <c r="AX23" s="38">
        <f t="shared" si="24"/>
        <v>9.460719140625001E-4</v>
      </c>
      <c r="AY23" s="38">
        <f t="shared" si="25"/>
        <v>1.00144095703125E-3</v>
      </c>
      <c r="AZ23" s="38">
        <f t="shared" si="26"/>
        <v>3.0000000000000001E-3</v>
      </c>
      <c r="BA23" s="38">
        <f t="shared" si="27"/>
        <v>8.8832991210937499E-4</v>
      </c>
      <c r="BB23" s="38">
        <f t="shared" si="28"/>
        <v>9.7375643554687503E-4</v>
      </c>
      <c r="BC23" s="38">
        <f t="shared" si="29"/>
        <v>3.0000000000000001E-3</v>
      </c>
      <c r="BD23" s="38">
        <f t="shared" si="39"/>
        <v>163.78531510196535</v>
      </c>
      <c r="BE23" s="38">
        <f t="shared" si="40"/>
        <v>131.39944427832825</v>
      </c>
      <c r="BF23" s="38">
        <f t="shared" si="41"/>
        <v>6.1420756835937498</v>
      </c>
      <c r="BG23" s="38">
        <f t="shared" si="42"/>
        <v>6.7943471679687502</v>
      </c>
      <c r="BH23" s="38">
        <f t="shared" si="30"/>
        <v>0.25290010759849313</v>
      </c>
      <c r="BI23" s="38">
        <f t="shared" si="31"/>
        <v>0.35567970865287096</v>
      </c>
      <c r="BJ23" s="38">
        <f t="shared" si="43"/>
        <v>3540.2641733142405</v>
      </c>
      <c r="BK23" s="38">
        <f t="shared" si="44"/>
        <v>3263.0961800108671</v>
      </c>
      <c r="BL23" s="38">
        <f t="shared" si="32"/>
        <v>63.529411764705884</v>
      </c>
      <c r="BM23" s="38">
        <f t="shared" si="33"/>
        <v>82.352941176470594</v>
      </c>
      <c r="BN23" s="38">
        <f t="shared" si="45"/>
        <v>268.56724699509232</v>
      </c>
      <c r="BO23" s="38">
        <f t="shared" si="46"/>
        <v>190.96024881413121</v>
      </c>
      <c r="BP23" s="38">
        <f t="shared" si="47"/>
        <v>190.96024881413121</v>
      </c>
      <c r="BQ23" s="38">
        <f t="shared" si="48"/>
        <v>268.56724699509232</v>
      </c>
      <c r="BR23" s="38">
        <f t="shared" si="49"/>
        <v>0.71103327360547708</v>
      </c>
      <c r="BS23" s="38">
        <f t="shared" si="34"/>
        <v>24.1744384765625</v>
      </c>
      <c r="BT23" s="1">
        <f t="shared" si="35"/>
        <v>0.41176470588235292</v>
      </c>
      <c r="BU23" s="1">
        <f t="shared" si="36"/>
        <v>0.35567970865287096</v>
      </c>
      <c r="BV23" s="1">
        <f t="shared" si="50"/>
        <v>0.27251598880416894</v>
      </c>
    </row>
    <row r="24" spans="1:74" ht="12.75" customHeight="1" x14ac:dyDescent="0.2">
      <c r="A24" s="5">
        <v>1E-3</v>
      </c>
      <c r="B24" s="50" t="s">
        <v>94</v>
      </c>
      <c r="C24" s="48">
        <v>28.24951171875</v>
      </c>
      <c r="D24" s="48">
        <v>25.78173828125</v>
      </c>
      <c r="E24" s="48">
        <v>23.5087890625</v>
      </c>
      <c r="F24" s="48">
        <v>20.034423828125</v>
      </c>
      <c r="G24" s="48">
        <v>132.967529296875</v>
      </c>
      <c r="H24" s="48">
        <v>132.967529296875</v>
      </c>
      <c r="I24" s="48">
        <v>132.967529296875</v>
      </c>
      <c r="J24" s="48">
        <v>132.967529296875</v>
      </c>
      <c r="K24" s="48">
        <v>132.967529296875</v>
      </c>
      <c r="L24" s="48">
        <v>132.967529296875</v>
      </c>
      <c r="M24" s="50">
        <v>60</v>
      </c>
      <c r="N24" s="48">
        <v>3.96728515625</v>
      </c>
      <c r="O24" s="82">
        <v>60</v>
      </c>
      <c r="P24" s="49">
        <v>2.8076171875</v>
      </c>
      <c r="Q24" s="47">
        <v>1</v>
      </c>
      <c r="R24" s="46" t="str">
        <f t="shared" si="0"/>
        <v>Countercurrent</v>
      </c>
      <c r="S24" s="46" t="s">
        <v>71</v>
      </c>
      <c r="T24" s="45">
        <f t="shared" si="1"/>
        <v>4.1787620833413639</v>
      </c>
      <c r="U24" s="45">
        <f t="shared" si="2"/>
        <v>4.1806097346053761</v>
      </c>
      <c r="V24" s="39">
        <f t="shared" si="3"/>
        <v>27.015625</v>
      </c>
      <c r="W24" s="43">
        <f t="shared" si="4"/>
        <v>996.51762474600889</v>
      </c>
      <c r="X24" s="39">
        <f t="shared" si="5"/>
        <v>21.7716064453125</v>
      </c>
      <c r="Y24" s="43">
        <f t="shared" si="6"/>
        <v>997.83150799652799</v>
      </c>
      <c r="Z24" s="43">
        <f t="shared" si="7"/>
        <v>2.4677734375</v>
      </c>
      <c r="AA24" s="43">
        <f t="shared" si="8"/>
        <v>-3.474365234375</v>
      </c>
      <c r="AB24" s="42">
        <f t="shared" si="9"/>
        <v>6.5891159676605818E-2</v>
      </c>
      <c r="AC24" s="42">
        <f t="shared" si="10"/>
        <v>4.6692148201334931E-2</v>
      </c>
      <c r="AD24" s="81">
        <f t="shared" si="11"/>
        <v>679.48532535297591</v>
      </c>
      <c r="AE24" s="81">
        <f t="shared" si="12"/>
        <v>678.20182402105956</v>
      </c>
      <c r="AF24" s="81">
        <f t="shared" si="13"/>
        <v>1.2835013319163409</v>
      </c>
      <c r="AG24" s="81">
        <f t="shared" si="14"/>
        <v>99.811106835714284</v>
      </c>
      <c r="AH24" s="81">
        <f t="shared" si="15"/>
        <v>30.039525691699605</v>
      </c>
      <c r="AI24" s="39"/>
      <c r="AJ24" s="81">
        <f t="shared" si="37"/>
        <v>29.982783081084133</v>
      </c>
      <c r="AK24" s="39"/>
      <c r="AL24" s="81">
        <f t="shared" si="16"/>
        <v>72.332015810276687</v>
      </c>
      <c r="AM24" s="39"/>
      <c r="AN24" s="81">
        <f t="shared" si="17"/>
        <v>4.9664836240195473</v>
      </c>
      <c r="AO24" s="81">
        <f t="shared" si="38"/>
        <v>1708.5603703577801</v>
      </c>
      <c r="AP24" s="40"/>
      <c r="AQ24" s="38">
        <f t="shared" si="18"/>
        <v>0.04</v>
      </c>
      <c r="AR24" s="38">
        <f t="shared" si="19"/>
        <v>2261.970885714512</v>
      </c>
      <c r="AS24" s="38">
        <f t="shared" si="20"/>
        <v>956.64381332590028</v>
      </c>
      <c r="AT24" s="38">
        <f t="shared" si="51"/>
        <v>31489.854181754832</v>
      </c>
      <c r="AU24" s="38">
        <f t="shared" si="21"/>
        <v>20361.868487282543</v>
      </c>
      <c r="AV24" s="38">
        <f t="shared" si="22"/>
        <v>8.6802792968750011E-4</v>
      </c>
      <c r="AW24" s="38">
        <f t="shared" si="23"/>
        <v>9.0810457031249999E-4</v>
      </c>
      <c r="AX24" s="38">
        <f t="shared" si="24"/>
        <v>9.45017265625E-4</v>
      </c>
      <c r="AY24" s="38">
        <f t="shared" si="25"/>
        <v>1.00144095703125E-3</v>
      </c>
      <c r="AZ24" s="38">
        <f t="shared" si="26"/>
        <v>3.0000000000000001E-3</v>
      </c>
      <c r="BA24" s="38">
        <f t="shared" si="27"/>
        <v>8.8806625000000005E-4</v>
      </c>
      <c r="BB24" s="38">
        <f t="shared" si="28"/>
        <v>9.7322911132812504E-4</v>
      </c>
      <c r="BC24" s="38">
        <f t="shared" si="29"/>
        <v>3.0000000000000001E-3</v>
      </c>
      <c r="BD24" s="38">
        <f t="shared" si="39"/>
        <v>167.10458143098401</v>
      </c>
      <c r="BE24" s="38">
        <f t="shared" si="40"/>
        <v>133.96295622150845</v>
      </c>
      <c r="BF24" s="38">
        <f t="shared" si="41"/>
        <v>6.1400625</v>
      </c>
      <c r="BG24" s="38">
        <f t="shared" si="42"/>
        <v>6.7903208007812497</v>
      </c>
      <c r="BH24" s="38">
        <f t="shared" si="30"/>
        <v>0.24820785621198269</v>
      </c>
      <c r="BI24" s="38">
        <f t="shared" si="31"/>
        <v>0.35011187179688957</v>
      </c>
      <c r="BJ24" s="38">
        <f t="shared" si="43"/>
        <v>3420.3542022506704</v>
      </c>
      <c r="BK24" s="38">
        <f t="shared" si="44"/>
        <v>3413.8933869682596</v>
      </c>
      <c r="BL24" s="38">
        <f t="shared" si="32"/>
        <v>60.079051383399211</v>
      </c>
      <c r="BM24" s="38">
        <f t="shared" si="33"/>
        <v>84.584980237154156</v>
      </c>
      <c r="BN24" s="38">
        <f t="shared" si="45"/>
        <v>275.3434796839918</v>
      </c>
      <c r="BO24" s="38">
        <f t="shared" si="46"/>
        <v>195.20164930013772</v>
      </c>
      <c r="BP24" s="38">
        <f t="shared" si="47"/>
        <v>195.20164930013772</v>
      </c>
      <c r="BQ24" s="38">
        <f t="shared" si="48"/>
        <v>275.3434796839918</v>
      </c>
      <c r="BR24" s="38">
        <f t="shared" si="49"/>
        <v>0.70893870275834447</v>
      </c>
      <c r="BS24" s="38">
        <f t="shared" si="34"/>
        <v>24.1419677734375</v>
      </c>
      <c r="BT24" s="1">
        <f t="shared" si="35"/>
        <v>0.42292490118577075</v>
      </c>
      <c r="BU24" s="1">
        <f t="shared" si="36"/>
        <v>0.35011187179688957</v>
      </c>
      <c r="BV24" s="1">
        <f t="shared" si="50"/>
        <v>0.26931162813241538</v>
      </c>
    </row>
    <row r="25" spans="1:74" ht="12.75" customHeight="1" x14ac:dyDescent="0.2">
      <c r="A25" s="5">
        <v>1E-3</v>
      </c>
      <c r="B25" s="50" t="s">
        <v>95</v>
      </c>
      <c r="C25" s="48">
        <v>28.152099609375</v>
      </c>
      <c r="D25" s="48">
        <v>25.716796875</v>
      </c>
      <c r="E25" s="48">
        <v>23.44384765625</v>
      </c>
      <c r="F25" s="48">
        <v>20.034423828125</v>
      </c>
      <c r="G25" s="48">
        <v>132.967529296875</v>
      </c>
      <c r="H25" s="48">
        <v>132.967529296875</v>
      </c>
      <c r="I25" s="48">
        <v>132.967529296875</v>
      </c>
      <c r="J25" s="48">
        <v>132.967529296875</v>
      </c>
      <c r="K25" s="48">
        <v>132.967529296875</v>
      </c>
      <c r="L25" s="48">
        <v>132.967529296875</v>
      </c>
      <c r="M25" s="50">
        <v>60</v>
      </c>
      <c r="N25" s="48">
        <v>3.94287109375</v>
      </c>
      <c r="O25" s="82">
        <v>60</v>
      </c>
      <c r="P25" s="49">
        <v>2.783203125</v>
      </c>
      <c r="Q25" s="47">
        <v>1</v>
      </c>
      <c r="R25" s="46" t="str">
        <f t="shared" si="0"/>
        <v>Countercurrent</v>
      </c>
      <c r="S25" s="46" t="s">
        <v>71</v>
      </c>
      <c r="T25" s="45">
        <f t="shared" si="1"/>
        <v>4.1787812938824151</v>
      </c>
      <c r="U25" s="45">
        <f t="shared" si="2"/>
        <v>4.1806255391939624</v>
      </c>
      <c r="V25" s="39">
        <f t="shared" si="3"/>
        <v>26.9344482421875</v>
      </c>
      <c r="W25" s="43">
        <f t="shared" si="4"/>
        <v>996.53999984899258</v>
      </c>
      <c r="X25" s="39">
        <f t="shared" si="5"/>
        <v>21.7391357421875</v>
      </c>
      <c r="Y25" s="43">
        <f t="shared" si="6"/>
        <v>997.83878026187995</v>
      </c>
      <c r="Z25" s="43">
        <f t="shared" si="7"/>
        <v>2.435302734375</v>
      </c>
      <c r="AA25" s="43">
        <f t="shared" si="8"/>
        <v>-3.409423828125</v>
      </c>
      <c r="AB25" s="42">
        <f t="shared" si="9"/>
        <v>6.5487145986170364E-2</v>
      </c>
      <c r="AC25" s="42">
        <f t="shared" si="10"/>
        <v>4.6286466857850872E-2</v>
      </c>
      <c r="AD25" s="81">
        <f t="shared" si="11"/>
        <v>666.43632686807541</v>
      </c>
      <c r="AE25" s="81">
        <f t="shared" si="12"/>
        <v>659.74528149866535</v>
      </c>
      <c r="AF25" s="81">
        <f t="shared" si="13"/>
        <v>6.6910453694100624</v>
      </c>
      <c r="AG25" s="81">
        <f t="shared" si="14"/>
        <v>98.995996301573953</v>
      </c>
      <c r="AH25" s="81">
        <f t="shared" si="15"/>
        <v>30</v>
      </c>
      <c r="AI25" s="39"/>
      <c r="AJ25" s="81">
        <f t="shared" si="37"/>
        <v>29.698798890472187</v>
      </c>
      <c r="AK25" s="39"/>
      <c r="AL25" s="81">
        <f t="shared" si="16"/>
        <v>72</v>
      </c>
      <c r="AM25" s="39"/>
      <c r="AN25" s="81">
        <f t="shared" si="17"/>
        <v>4.9210532183875415</v>
      </c>
      <c r="AO25" s="81">
        <f t="shared" si="38"/>
        <v>1684.2784853086641</v>
      </c>
      <c r="AP25" s="40"/>
      <c r="AQ25" s="38">
        <f t="shared" si="18"/>
        <v>0.04</v>
      </c>
      <c r="AR25" s="38">
        <f t="shared" si="19"/>
        <v>2221.4544228935847</v>
      </c>
      <c r="AS25" s="38">
        <f t="shared" si="20"/>
        <v>933.01085761530555</v>
      </c>
      <c r="AT25" s="38">
        <f t="shared" si="51"/>
        <v>31250.382807847309</v>
      </c>
      <c r="AU25" s="38">
        <f t="shared" si="21"/>
        <v>20174.024988220397</v>
      </c>
      <c r="AV25" s="38">
        <f t="shared" si="22"/>
        <v>8.6960990234374999E-4</v>
      </c>
      <c r="AW25" s="38">
        <f t="shared" si="23"/>
        <v>9.0915921875000009E-4</v>
      </c>
      <c r="AX25" s="38">
        <f t="shared" si="24"/>
        <v>9.460719140625001E-4</v>
      </c>
      <c r="AY25" s="38">
        <f t="shared" si="25"/>
        <v>1.00144095703125E-3</v>
      </c>
      <c r="AZ25" s="38">
        <f t="shared" si="26"/>
        <v>3.0000000000000001E-3</v>
      </c>
      <c r="BA25" s="38">
        <f t="shared" si="27"/>
        <v>8.8938456054687498E-4</v>
      </c>
      <c r="BB25" s="38">
        <f t="shared" si="28"/>
        <v>9.7375643554687503E-4</v>
      </c>
      <c r="BC25" s="38">
        <f t="shared" si="29"/>
        <v>3.0000000000000001E-3</v>
      </c>
      <c r="BD25" s="38">
        <f t="shared" si="39"/>
        <v>166.1778903076642</v>
      </c>
      <c r="BE25" s="38">
        <f t="shared" si="40"/>
        <v>132.91708176160174</v>
      </c>
      <c r="BF25" s="38">
        <f t="shared" si="41"/>
        <v>6.1501284179687499</v>
      </c>
      <c r="BG25" s="38">
        <f t="shared" si="42"/>
        <v>6.7943471679687502</v>
      </c>
      <c r="BH25" s="38">
        <f t="shared" si="30"/>
        <v>0.24618874064067228</v>
      </c>
      <c r="BI25" s="38">
        <f t="shared" si="31"/>
        <v>0.34815977390336267</v>
      </c>
      <c r="BJ25" s="38">
        <f t="shared" si="43"/>
        <v>3385.6386899959371</v>
      </c>
      <c r="BK25" s="38">
        <f t="shared" si="44"/>
        <v>3351.6467523330352</v>
      </c>
      <c r="BL25" s="38">
        <f t="shared" si="32"/>
        <v>60</v>
      </c>
      <c r="BM25" s="38">
        <f t="shared" si="33"/>
        <v>84</v>
      </c>
      <c r="BN25" s="38">
        <f t="shared" si="45"/>
        <v>273.65646063675558</v>
      </c>
      <c r="BO25" s="38">
        <f t="shared" si="46"/>
        <v>193.50638546498627</v>
      </c>
      <c r="BP25" s="38">
        <f t="shared" si="47"/>
        <v>193.50638546498627</v>
      </c>
      <c r="BQ25" s="38">
        <f t="shared" si="48"/>
        <v>273.65646063675558</v>
      </c>
      <c r="BR25" s="38">
        <f t="shared" si="49"/>
        <v>0.70711425929695693</v>
      </c>
      <c r="BS25" s="38">
        <f t="shared" si="34"/>
        <v>24.09326171875</v>
      </c>
      <c r="BT25" s="1">
        <f t="shared" si="35"/>
        <v>0.42</v>
      </c>
      <c r="BU25" s="1">
        <f t="shared" si="36"/>
        <v>0.34815977390336267</v>
      </c>
      <c r="BV25" s="1">
        <f t="shared" si="50"/>
        <v>0.26821947629354248</v>
      </c>
    </row>
    <row r="26" spans="1:74" ht="12.75" customHeight="1" x14ac:dyDescent="0.2">
      <c r="A26" s="5">
        <v>1E-3</v>
      </c>
      <c r="B26" s="50" t="s">
        <v>96</v>
      </c>
      <c r="C26" s="48">
        <v>28.1845703125</v>
      </c>
      <c r="D26" s="48">
        <v>25.684326171875</v>
      </c>
      <c r="E26" s="48">
        <v>23.44384765625</v>
      </c>
      <c r="F26" s="48">
        <v>20.001953125</v>
      </c>
      <c r="G26" s="48">
        <v>132.967529296875</v>
      </c>
      <c r="H26" s="48">
        <v>132.967529296875</v>
      </c>
      <c r="I26" s="48">
        <v>132.967529296875</v>
      </c>
      <c r="J26" s="48">
        <v>132.967529296875</v>
      </c>
      <c r="K26" s="48">
        <v>132.967529296875</v>
      </c>
      <c r="L26" s="48">
        <v>132.967529296875</v>
      </c>
      <c r="M26" s="50">
        <v>60</v>
      </c>
      <c r="N26" s="48">
        <v>3.96728515625</v>
      </c>
      <c r="O26" s="82">
        <v>60</v>
      </c>
      <c r="P26" s="49">
        <v>2.86865234375</v>
      </c>
      <c r="Q26" s="47">
        <v>1</v>
      </c>
      <c r="R26" s="46" t="str">
        <f t="shared" si="0"/>
        <v>Countercurrent</v>
      </c>
      <c r="S26" s="46" t="s">
        <v>71</v>
      </c>
      <c r="T26" s="45">
        <f t="shared" si="1"/>
        <v>4.1787812938824151</v>
      </c>
      <c r="U26" s="45">
        <f t="shared" si="2"/>
        <v>4.180633464407892</v>
      </c>
      <c r="V26" s="39">
        <f t="shared" si="3"/>
        <v>26.9344482421875</v>
      </c>
      <c r="W26" s="43">
        <f t="shared" si="4"/>
        <v>996.53999984899258</v>
      </c>
      <c r="X26" s="39">
        <f t="shared" si="5"/>
        <v>21.722900390625</v>
      </c>
      <c r="Y26" s="43">
        <f t="shared" si="6"/>
        <v>997.8424122607305</v>
      </c>
      <c r="Z26" s="43">
        <f t="shared" si="7"/>
        <v>2.500244140625</v>
      </c>
      <c r="AA26" s="43">
        <f t="shared" si="8"/>
        <v>-3.44189453125</v>
      </c>
      <c r="AB26" s="42">
        <f t="shared" si="9"/>
        <v>6.589263915017142E-2</v>
      </c>
      <c r="AC26" s="42">
        <f t="shared" si="10"/>
        <v>4.7707716243748303E-2</v>
      </c>
      <c r="AD26" s="81">
        <f t="shared" si="11"/>
        <v>688.44454406082934</v>
      </c>
      <c r="AE26" s="81">
        <f t="shared" si="12"/>
        <v>686.48061550319653</v>
      </c>
      <c r="AF26" s="81">
        <f t="shared" si="13"/>
        <v>1.963928557632812</v>
      </c>
      <c r="AG26" s="81">
        <f t="shared" si="14"/>
        <v>99.714729592299705</v>
      </c>
      <c r="AH26" s="81">
        <f t="shared" si="15"/>
        <v>30.555555555555557</v>
      </c>
      <c r="AI26" s="39"/>
      <c r="AJ26" s="81">
        <f t="shared" si="37"/>
        <v>30.468389597647132</v>
      </c>
      <c r="AK26" s="39"/>
      <c r="AL26" s="81">
        <f t="shared" si="16"/>
        <v>72.61904761904762</v>
      </c>
      <c r="AM26" s="39"/>
      <c r="AN26" s="81">
        <f t="shared" si="17"/>
        <v>4.9374714069587613</v>
      </c>
      <c r="AO26" s="81">
        <f t="shared" si="38"/>
        <v>1740.418122183273</v>
      </c>
      <c r="AP26" s="40"/>
      <c r="AQ26" s="38">
        <f t="shared" si="18"/>
        <v>0.04</v>
      </c>
      <c r="AR26" s="38">
        <f t="shared" si="19"/>
        <v>2253.0912351081688</v>
      </c>
      <c r="AS26" s="38">
        <f t="shared" si="20"/>
        <v>947.72885286295991</v>
      </c>
      <c r="AT26" s="38">
        <f t="shared" si="51"/>
        <v>31443.88363018692</v>
      </c>
      <c r="AU26" s="38">
        <f t="shared" si="21"/>
        <v>20787.849948445273</v>
      </c>
      <c r="AV26" s="38">
        <f t="shared" si="22"/>
        <v>8.6908257812499999E-4</v>
      </c>
      <c r="AW26" s="38">
        <f t="shared" si="23"/>
        <v>9.0968654296875008E-4</v>
      </c>
      <c r="AX26" s="38">
        <f t="shared" si="24"/>
        <v>9.460719140625001E-4</v>
      </c>
      <c r="AY26" s="38">
        <f t="shared" si="25"/>
        <v>1.0019682812500001E-3</v>
      </c>
      <c r="AZ26" s="38">
        <f t="shared" si="26"/>
        <v>3.0000000000000001E-3</v>
      </c>
      <c r="BA26" s="38">
        <f t="shared" si="27"/>
        <v>8.8938456054687498E-4</v>
      </c>
      <c r="BB26" s="38">
        <f t="shared" si="28"/>
        <v>9.7402009765625009E-4</v>
      </c>
      <c r="BC26" s="38">
        <f t="shared" si="29"/>
        <v>3.0000000000000001E-3</v>
      </c>
      <c r="BD26" s="38">
        <f t="shared" si="39"/>
        <v>167.00055407370161</v>
      </c>
      <c r="BE26" s="38">
        <f t="shared" si="40"/>
        <v>136.42986231265283</v>
      </c>
      <c r="BF26" s="38">
        <f t="shared" si="41"/>
        <v>6.1501284179687499</v>
      </c>
      <c r="BG26" s="38">
        <f t="shared" si="42"/>
        <v>6.7963603515625</v>
      </c>
      <c r="BH26" s="38">
        <f t="shared" si="30"/>
        <v>0.25282909130538817</v>
      </c>
      <c r="BI26" s="38">
        <f t="shared" si="31"/>
        <v>0.34904616279310563</v>
      </c>
      <c r="BJ26" s="38">
        <f t="shared" si="43"/>
        <v>3485.8153461433267</v>
      </c>
      <c r="BK26" s="38">
        <f t="shared" si="44"/>
        <v>3475.8713464937041</v>
      </c>
      <c r="BL26" s="38">
        <f t="shared" si="32"/>
        <v>61.111111111111114</v>
      </c>
      <c r="BM26" s="38">
        <f t="shared" si="33"/>
        <v>84.126984126984127</v>
      </c>
      <c r="BN26" s="38">
        <f t="shared" si="45"/>
        <v>275.35092788528044</v>
      </c>
      <c r="BO26" s="38">
        <f t="shared" si="46"/>
        <v>199.44847503909014</v>
      </c>
      <c r="BP26" s="38">
        <f t="shared" si="47"/>
        <v>199.44847503909014</v>
      </c>
      <c r="BQ26" s="38">
        <f t="shared" si="48"/>
        <v>275.35092788528044</v>
      </c>
      <c r="BR26" s="38">
        <f t="shared" si="49"/>
        <v>0.72434284703840346</v>
      </c>
      <c r="BS26" s="38">
        <f t="shared" si="34"/>
        <v>24.09326171875</v>
      </c>
      <c r="BT26" s="1">
        <f t="shared" si="35"/>
        <v>0.42063492063492064</v>
      </c>
      <c r="BU26" s="1">
        <f t="shared" si="36"/>
        <v>0.34904616279310563</v>
      </c>
      <c r="BV26" s="1">
        <f t="shared" si="50"/>
        <v>0.26814454443014768</v>
      </c>
    </row>
    <row r="27" spans="1:74" ht="12.75" customHeight="1" x14ac:dyDescent="0.2">
      <c r="A27" s="5">
        <v>1E-3</v>
      </c>
      <c r="B27" s="50" t="s">
        <v>97</v>
      </c>
      <c r="C27" s="48">
        <v>28.1845703125</v>
      </c>
      <c r="D27" s="48">
        <v>25.716796875</v>
      </c>
      <c r="E27" s="48">
        <v>23.411376953125</v>
      </c>
      <c r="F27" s="48">
        <v>20.034423828125</v>
      </c>
      <c r="G27" s="48">
        <v>132.967529296875</v>
      </c>
      <c r="H27" s="48">
        <v>132.967529296875</v>
      </c>
      <c r="I27" s="48">
        <v>132.967529296875</v>
      </c>
      <c r="J27" s="48">
        <v>132.967529296875</v>
      </c>
      <c r="K27" s="48">
        <v>132.967529296875</v>
      </c>
      <c r="L27" s="48">
        <v>132.967529296875</v>
      </c>
      <c r="M27" s="50">
        <v>60</v>
      </c>
      <c r="N27" s="48">
        <v>3.7841796875</v>
      </c>
      <c r="O27" s="82">
        <v>60</v>
      </c>
      <c r="P27" s="49">
        <v>2.880859375</v>
      </c>
      <c r="Q27" s="47">
        <v>1</v>
      </c>
      <c r="R27" s="46" t="str">
        <f t="shared" si="0"/>
        <v>Countercurrent</v>
      </c>
      <c r="S27" s="46" t="s">
        <v>71</v>
      </c>
      <c r="T27" s="45">
        <f t="shared" si="1"/>
        <v>4.178777430994427</v>
      </c>
      <c r="U27" s="45">
        <f t="shared" si="2"/>
        <v>4.180633464407892</v>
      </c>
      <c r="V27" s="39">
        <f t="shared" si="3"/>
        <v>26.95068359375</v>
      </c>
      <c r="W27" s="43">
        <f t="shared" si="4"/>
        <v>996.53552976912351</v>
      </c>
      <c r="X27" s="39">
        <f t="shared" si="5"/>
        <v>21.722900390625</v>
      </c>
      <c r="Y27" s="43">
        <f t="shared" si="6"/>
        <v>997.8424122607305</v>
      </c>
      <c r="Z27" s="43">
        <f t="shared" si="7"/>
        <v>2.4677734375</v>
      </c>
      <c r="AA27" s="43">
        <f t="shared" si="8"/>
        <v>-3.376953125</v>
      </c>
      <c r="AB27" s="42">
        <f t="shared" si="9"/>
        <v>6.2851158493739484E-2</v>
      </c>
      <c r="AC27" s="42">
        <f t="shared" si="10"/>
        <v>4.7910727802232343E-2</v>
      </c>
      <c r="AD27" s="81">
        <f t="shared" si="11"/>
        <v>648.1384898775575</v>
      </c>
      <c r="AE27" s="81">
        <f t="shared" si="12"/>
        <v>676.39422829829209</v>
      </c>
      <c r="AF27" s="81">
        <f t="shared" si="13"/>
        <v>-28.255738420734588</v>
      </c>
      <c r="AG27" s="81">
        <f t="shared" si="14"/>
        <v>104.35952174759326</v>
      </c>
      <c r="AH27" s="81">
        <f t="shared" si="15"/>
        <v>30.278884462151396</v>
      </c>
      <c r="AI27" s="39"/>
      <c r="AJ27" s="81">
        <f t="shared" si="37"/>
        <v>31.598899015207522</v>
      </c>
      <c r="AK27" s="39"/>
      <c r="AL27" s="81">
        <f t="shared" si="16"/>
        <v>71.713147410358573</v>
      </c>
      <c r="AM27" s="39"/>
      <c r="AN27" s="81">
        <f t="shared" si="17"/>
        <v>4.9538510106935423</v>
      </c>
      <c r="AO27" s="81">
        <f t="shared" si="38"/>
        <v>1670.3292381797144</v>
      </c>
      <c r="AP27" s="40"/>
      <c r="AQ27" s="38">
        <f t="shared" si="18"/>
        <v>0.04</v>
      </c>
      <c r="AR27" s="38">
        <f t="shared" si="19"/>
        <v>2140.5626442008806</v>
      </c>
      <c r="AS27" s="38">
        <f t="shared" si="20"/>
        <v>886.92635456928906</v>
      </c>
      <c r="AT27" s="38">
        <f t="shared" si="51"/>
        <v>30001.386975711222</v>
      </c>
      <c r="AU27" s="38">
        <f t="shared" si="21"/>
        <v>20876.308884396109</v>
      </c>
      <c r="AV27" s="38">
        <f t="shared" si="22"/>
        <v>8.6908257812499999E-4</v>
      </c>
      <c r="AW27" s="38">
        <f t="shared" si="23"/>
        <v>9.0915921875000009E-4</v>
      </c>
      <c r="AX27" s="38">
        <f t="shared" si="24"/>
        <v>9.465992382812501E-4</v>
      </c>
      <c r="AY27" s="38">
        <f t="shared" si="25"/>
        <v>1.00144095703125E-3</v>
      </c>
      <c r="AZ27" s="38">
        <f t="shared" si="26"/>
        <v>3.0000000000000001E-3</v>
      </c>
      <c r="BA27" s="38">
        <f t="shared" si="27"/>
        <v>8.8912089843750004E-4</v>
      </c>
      <c r="BB27" s="38">
        <f t="shared" si="28"/>
        <v>9.7402009765624998E-4</v>
      </c>
      <c r="BC27" s="38">
        <f t="shared" si="29"/>
        <v>3.0000000000000001E-3</v>
      </c>
      <c r="BD27" s="38">
        <f t="shared" si="39"/>
        <v>160.82539952922392</v>
      </c>
      <c r="BE27" s="38">
        <f t="shared" si="40"/>
        <v>136.93305921582387</v>
      </c>
      <c r="BF27" s="38">
        <f t="shared" si="41"/>
        <v>6.1481152343750001</v>
      </c>
      <c r="BG27" s="38">
        <f t="shared" si="42"/>
        <v>6.7963603515625</v>
      </c>
      <c r="BH27" s="38">
        <f t="shared" si="30"/>
        <v>0.25438971394142712</v>
      </c>
      <c r="BI27" s="38">
        <f t="shared" si="31"/>
        <v>0.33357017577402054</v>
      </c>
      <c r="BJ27" s="38">
        <f t="shared" si="43"/>
        <v>3270.8820293467893</v>
      </c>
      <c r="BK27" s="38">
        <f t="shared" si="44"/>
        <v>3413.4768427542817</v>
      </c>
      <c r="BL27" s="38">
        <f t="shared" si="32"/>
        <v>60.557768924302792</v>
      </c>
      <c r="BM27" s="38">
        <f t="shared" si="33"/>
        <v>82.86852589641434</v>
      </c>
      <c r="BN27" s="38">
        <f t="shared" si="45"/>
        <v>262.64100262549221</v>
      </c>
      <c r="BO27" s="38">
        <f t="shared" si="46"/>
        <v>200.29719195415009</v>
      </c>
      <c r="BP27" s="38">
        <f t="shared" si="47"/>
        <v>200.29719195415009</v>
      </c>
      <c r="BQ27" s="38">
        <f t="shared" si="48"/>
        <v>262.64100262549221</v>
      </c>
      <c r="BR27" s="38">
        <f t="shared" si="49"/>
        <v>0.7626272743093353</v>
      </c>
      <c r="BS27" s="38">
        <f t="shared" si="34"/>
        <v>24.1094970703125</v>
      </c>
      <c r="BT27" s="1">
        <f t="shared" si="35"/>
        <v>0.41434262948207173</v>
      </c>
      <c r="BU27" s="1">
        <f t="shared" si="36"/>
        <v>0.33357017577402054</v>
      </c>
      <c r="BV27" s="1">
        <f t="shared" si="50"/>
        <v>0.25768217041509756</v>
      </c>
    </row>
    <row r="28" spans="1:74" ht="12.75" customHeight="1" x14ac:dyDescent="0.2">
      <c r="A28" s="5">
        <v>1E-3</v>
      </c>
      <c r="B28" s="50" t="s">
        <v>98</v>
      </c>
      <c r="C28" s="48">
        <v>28.152099609375</v>
      </c>
      <c r="D28" s="48">
        <v>25.716796875</v>
      </c>
      <c r="E28" s="48">
        <v>23.476318359375</v>
      </c>
      <c r="F28" s="48">
        <v>20.034423828125</v>
      </c>
      <c r="G28" s="48">
        <v>132.967529296875</v>
      </c>
      <c r="H28" s="48">
        <v>132.967529296875</v>
      </c>
      <c r="I28" s="48">
        <v>132.967529296875</v>
      </c>
      <c r="J28" s="48">
        <v>132.967529296875</v>
      </c>
      <c r="K28" s="48">
        <v>132.967529296875</v>
      </c>
      <c r="L28" s="48">
        <v>132.967529296875</v>
      </c>
      <c r="M28" s="50">
        <v>60</v>
      </c>
      <c r="N28" s="48">
        <v>4.00390625</v>
      </c>
      <c r="O28" s="82">
        <v>60</v>
      </c>
      <c r="P28" s="49">
        <v>2.734375</v>
      </c>
      <c r="Q28" s="47">
        <v>1</v>
      </c>
      <c r="R28" s="46" t="str">
        <f t="shared" si="0"/>
        <v>Countercurrent</v>
      </c>
      <c r="S28" s="46" t="s">
        <v>71</v>
      </c>
      <c r="T28" s="45">
        <f t="shared" si="1"/>
        <v>4.1787812938824151</v>
      </c>
      <c r="U28" s="45">
        <f t="shared" si="2"/>
        <v>4.1806176292661554</v>
      </c>
      <c r="V28" s="39">
        <f t="shared" si="3"/>
        <v>26.9344482421875</v>
      </c>
      <c r="W28" s="43">
        <f t="shared" si="4"/>
        <v>996.53999984899258</v>
      </c>
      <c r="X28" s="39">
        <f t="shared" si="5"/>
        <v>21.75537109375</v>
      </c>
      <c r="Y28" s="43">
        <f t="shared" si="6"/>
        <v>997.83514550682946</v>
      </c>
      <c r="Z28" s="43">
        <f t="shared" si="7"/>
        <v>2.435302734375</v>
      </c>
      <c r="AA28" s="43">
        <f t="shared" si="8"/>
        <v>-3.44189453125</v>
      </c>
      <c r="AB28" s="42">
        <f t="shared" si="9"/>
        <v>6.650087889617301E-2</v>
      </c>
      <c r="AC28" s="42">
        <f t="shared" si="10"/>
        <v>4.5474257933253943E-2</v>
      </c>
      <c r="AD28" s="81">
        <f t="shared" si="11"/>
        <v>676.75267867717889</v>
      </c>
      <c r="AE28" s="81">
        <f t="shared" si="12"/>
        <v>654.34023656747502</v>
      </c>
      <c r="AF28" s="81">
        <f t="shared" si="13"/>
        <v>22.412442109703875</v>
      </c>
      <c r="AG28" s="81">
        <f t="shared" si="14"/>
        <v>96.688237399589966</v>
      </c>
      <c r="AH28" s="81">
        <f t="shared" si="15"/>
        <v>30</v>
      </c>
      <c r="AI28" s="39"/>
      <c r="AJ28" s="81">
        <f t="shared" si="37"/>
        <v>29.006471219876989</v>
      </c>
      <c r="AK28" s="39"/>
      <c r="AL28" s="81">
        <f t="shared" si="16"/>
        <v>72.400000000000006</v>
      </c>
      <c r="AM28" s="39"/>
      <c r="AN28" s="81">
        <f t="shared" si="17"/>
        <v>4.9045960426579418</v>
      </c>
      <c r="AO28" s="81">
        <f t="shared" si="38"/>
        <v>1695.750694088709</v>
      </c>
      <c r="AP28" s="40"/>
      <c r="AQ28" s="38">
        <f t="shared" si="18"/>
        <v>0.04</v>
      </c>
      <c r="AR28" s="38">
        <f t="shared" si="19"/>
        <v>2255.842262257263</v>
      </c>
      <c r="AS28" s="38">
        <f t="shared" si="20"/>
        <v>956.47711919707956</v>
      </c>
      <c r="AT28" s="38">
        <f t="shared" si="51"/>
        <v>31734.134863696341</v>
      </c>
      <c r="AU28" s="38">
        <f t="shared" si="21"/>
        <v>19825.390609956721</v>
      </c>
      <c r="AV28" s="38">
        <f t="shared" si="22"/>
        <v>8.6960990234374999E-4</v>
      </c>
      <c r="AW28" s="38">
        <f t="shared" si="23"/>
        <v>9.0915921875000009E-4</v>
      </c>
      <c r="AX28" s="38">
        <f t="shared" si="24"/>
        <v>9.4554458984375011E-4</v>
      </c>
      <c r="AY28" s="38">
        <f t="shared" si="25"/>
        <v>1.00144095703125E-3</v>
      </c>
      <c r="AZ28" s="38">
        <f t="shared" si="26"/>
        <v>3.0000000000000001E-3</v>
      </c>
      <c r="BA28" s="38">
        <f t="shared" si="27"/>
        <v>8.8938456054687498E-4</v>
      </c>
      <c r="BB28" s="38">
        <f t="shared" si="28"/>
        <v>9.7349277343750009E-4</v>
      </c>
      <c r="BC28" s="38">
        <f t="shared" si="29"/>
        <v>3.0000000000000001E-3</v>
      </c>
      <c r="BD28" s="38">
        <f t="shared" si="39"/>
        <v>168.23265474591312</v>
      </c>
      <c r="BE28" s="38">
        <f t="shared" si="40"/>
        <v>130.91035846503888</v>
      </c>
      <c r="BF28" s="38">
        <f t="shared" si="41"/>
        <v>6.1501284179687499</v>
      </c>
      <c r="BG28" s="38">
        <f t="shared" si="42"/>
        <v>6.7923339843749995</v>
      </c>
      <c r="BH28" s="38">
        <f t="shared" si="30"/>
        <v>0.24408717880243216</v>
      </c>
      <c r="BI28" s="38">
        <f t="shared" si="31"/>
        <v>0.35679267232379375</v>
      </c>
      <c r="BJ28" s="38">
        <f t="shared" si="43"/>
        <v>3449.5841899673919</v>
      </c>
      <c r="BK28" s="38">
        <f t="shared" si="44"/>
        <v>3335.3421508943948</v>
      </c>
      <c r="BL28" s="38">
        <f t="shared" si="32"/>
        <v>60</v>
      </c>
      <c r="BM28" s="38">
        <f t="shared" si="33"/>
        <v>84.8</v>
      </c>
      <c r="BN28" s="38">
        <f t="shared" si="45"/>
        <v>277.89262875806764</v>
      </c>
      <c r="BO28" s="38">
        <f t="shared" si="46"/>
        <v>190.11048439355775</v>
      </c>
      <c r="BP28" s="38">
        <f t="shared" si="47"/>
        <v>190.11048439355775</v>
      </c>
      <c r="BQ28" s="38">
        <f t="shared" si="48"/>
        <v>277.89262875806764</v>
      </c>
      <c r="BR28" s="38">
        <f t="shared" si="49"/>
        <v>0.68411488726124969</v>
      </c>
      <c r="BS28" s="38">
        <f t="shared" si="34"/>
        <v>24.09326171875</v>
      </c>
      <c r="BT28" s="1">
        <f t="shared" si="35"/>
        <v>0.42399999999999999</v>
      </c>
      <c r="BU28" s="1">
        <f t="shared" si="36"/>
        <v>0.35679267232379375</v>
      </c>
      <c r="BV28" s="1">
        <f t="shared" si="50"/>
        <v>0.27413995642609751</v>
      </c>
    </row>
    <row r="29" spans="1:74" ht="12.75" customHeight="1" x14ac:dyDescent="0.2">
      <c r="A29" s="5">
        <v>1E-3</v>
      </c>
      <c r="B29" s="50" t="s">
        <v>99</v>
      </c>
      <c r="C29" s="48">
        <v>28.411865234375</v>
      </c>
      <c r="D29" s="48">
        <v>25.78173828125</v>
      </c>
      <c r="E29" s="48">
        <v>23.541259765625</v>
      </c>
      <c r="F29" s="48">
        <v>20.034423828125</v>
      </c>
      <c r="G29" s="48">
        <v>132.967529296875</v>
      </c>
      <c r="H29" s="48">
        <v>132.967529296875</v>
      </c>
      <c r="I29" s="48">
        <v>132.967529296875</v>
      </c>
      <c r="J29" s="48">
        <v>132.967529296875</v>
      </c>
      <c r="K29" s="48">
        <v>132.967529296875</v>
      </c>
      <c r="L29" s="48">
        <v>132.967529296875</v>
      </c>
      <c r="M29" s="50">
        <v>60</v>
      </c>
      <c r="N29" s="48">
        <v>3.96728515625</v>
      </c>
      <c r="O29" s="82">
        <v>60</v>
      </c>
      <c r="P29" s="49">
        <v>2.7587890625</v>
      </c>
      <c r="Q29" s="47">
        <v>1</v>
      </c>
      <c r="R29" s="46" t="str">
        <f t="shared" si="0"/>
        <v>Countercurrent</v>
      </c>
      <c r="S29" s="46" t="s">
        <v>71</v>
      </c>
      <c r="T29" s="45">
        <f t="shared" si="1"/>
        <v>4.1787431316693997</v>
      </c>
      <c r="U29" s="45">
        <f t="shared" si="2"/>
        <v>4.1806018551925543</v>
      </c>
      <c r="V29" s="39">
        <f t="shared" si="3"/>
        <v>27.0968017578125</v>
      </c>
      <c r="W29" s="43">
        <f t="shared" si="4"/>
        <v>996.49518794581581</v>
      </c>
      <c r="X29" s="39">
        <f t="shared" si="5"/>
        <v>21.787841796875</v>
      </c>
      <c r="Y29" s="43">
        <f t="shared" si="6"/>
        <v>997.8278677319247</v>
      </c>
      <c r="Z29" s="43">
        <f t="shared" si="7"/>
        <v>2.630126953125</v>
      </c>
      <c r="AA29" s="43">
        <f t="shared" si="8"/>
        <v>-3.5068359375</v>
      </c>
      <c r="AB29" s="42">
        <f t="shared" si="9"/>
        <v>6.588967612353315E-2</v>
      </c>
      <c r="AC29" s="42">
        <f t="shared" si="10"/>
        <v>4.5879943462608846E-2</v>
      </c>
      <c r="AD29" s="81">
        <f t="shared" si="11"/>
        <v>724.16871774385629</v>
      </c>
      <c r="AE29" s="81">
        <f t="shared" si="12"/>
        <v>672.63139094773453</v>
      </c>
      <c r="AF29" s="81">
        <f t="shared" si="13"/>
        <v>51.537326796121761</v>
      </c>
      <c r="AG29" s="81">
        <f t="shared" si="14"/>
        <v>92.88324315406966</v>
      </c>
      <c r="AH29" s="81">
        <f t="shared" si="15"/>
        <v>31.395348837209298</v>
      </c>
      <c r="AI29" s="39"/>
      <c r="AJ29" s="81">
        <f t="shared" si="37"/>
        <v>29.161018199533498</v>
      </c>
      <c r="AK29" s="39"/>
      <c r="AL29" s="81">
        <f t="shared" si="16"/>
        <v>73.255813953488371</v>
      </c>
      <c r="AM29" s="39"/>
      <c r="AN29" s="81">
        <f t="shared" si="17"/>
        <v>5.0320294882860086</v>
      </c>
      <c r="AO29" s="81">
        <f t="shared" si="38"/>
        <v>1732.5248120590147</v>
      </c>
      <c r="AP29" s="40"/>
      <c r="AQ29" s="38">
        <f t="shared" si="18"/>
        <v>0.04</v>
      </c>
      <c r="AR29" s="38">
        <f t="shared" si="19"/>
        <v>2306.6114713322831</v>
      </c>
      <c r="AS29" s="38">
        <f t="shared" si="20"/>
        <v>965.5582903251418</v>
      </c>
      <c r="AT29" s="38">
        <f t="shared" si="51"/>
        <v>31535.959467810491</v>
      </c>
      <c r="AU29" s="38">
        <f t="shared" si="21"/>
        <v>20013.097886710773</v>
      </c>
      <c r="AV29" s="38">
        <f t="shared" si="22"/>
        <v>8.6539130859375002E-4</v>
      </c>
      <c r="AW29" s="38">
        <f t="shared" si="23"/>
        <v>9.0810457031249999E-4</v>
      </c>
      <c r="AX29" s="38">
        <f t="shared" si="24"/>
        <v>9.4448994140625001E-4</v>
      </c>
      <c r="AY29" s="38">
        <f t="shared" si="25"/>
        <v>1.00144095703125E-3</v>
      </c>
      <c r="AZ29" s="38">
        <f t="shared" si="26"/>
        <v>3.0000000000000001E-3</v>
      </c>
      <c r="BA29" s="38">
        <f t="shared" si="27"/>
        <v>8.8674793945312501E-4</v>
      </c>
      <c r="BB29" s="38">
        <f t="shared" si="28"/>
        <v>9.7296544921874999E-4</v>
      </c>
      <c r="BC29" s="38">
        <f t="shared" si="29"/>
        <v>3.0000000000000001E-3</v>
      </c>
      <c r="BD29" s="38">
        <f t="shared" si="39"/>
        <v>167.20881022086672</v>
      </c>
      <c r="BE29" s="38">
        <f t="shared" si="40"/>
        <v>131.95821380524214</v>
      </c>
      <c r="BF29" s="38">
        <f t="shared" si="41"/>
        <v>6.1299965820312501</v>
      </c>
      <c r="BG29" s="38">
        <f t="shared" si="42"/>
        <v>6.7883076171874999</v>
      </c>
      <c r="BH29" s="38">
        <f t="shared" si="30"/>
        <v>0.25169605333689643</v>
      </c>
      <c r="BI29" s="38">
        <f t="shared" si="31"/>
        <v>0.36130816107041219</v>
      </c>
      <c r="BJ29" s="38">
        <f t="shared" si="43"/>
        <v>3597.7964727235731</v>
      </c>
      <c r="BK29" s="38">
        <f t="shared" si="44"/>
        <v>3341.7500459483781</v>
      </c>
      <c r="BL29" s="38">
        <f t="shared" si="32"/>
        <v>62.790697674418603</v>
      </c>
      <c r="BM29" s="38">
        <f t="shared" si="33"/>
        <v>83.720930232558146</v>
      </c>
      <c r="BN29" s="38">
        <f t="shared" si="45"/>
        <v>275.33603154913538</v>
      </c>
      <c r="BO29" s="38">
        <f t="shared" si="46"/>
        <v>191.80577675591204</v>
      </c>
      <c r="BP29" s="38">
        <f t="shared" si="47"/>
        <v>191.80577675591204</v>
      </c>
      <c r="BQ29" s="38">
        <f t="shared" si="48"/>
        <v>275.33603154913538</v>
      </c>
      <c r="BR29" s="38">
        <f t="shared" si="49"/>
        <v>0.69662432365552251</v>
      </c>
      <c r="BS29" s="38">
        <f t="shared" si="34"/>
        <v>24.22314453125</v>
      </c>
      <c r="BT29" s="1">
        <f t="shared" si="35"/>
        <v>0.41860465116279072</v>
      </c>
      <c r="BU29" s="1">
        <f t="shared" si="36"/>
        <v>0.36130816107041219</v>
      </c>
      <c r="BV29" s="1">
        <f t="shared" si="50"/>
        <v>0.27633444973340832</v>
      </c>
    </row>
    <row r="30" spans="1:74" ht="12.75" customHeight="1" x14ac:dyDescent="0.2">
      <c r="A30" s="5">
        <v>1E-3</v>
      </c>
      <c r="B30" s="50" t="s">
        <v>100</v>
      </c>
      <c r="C30" s="48">
        <v>28.24951171875</v>
      </c>
      <c r="D30" s="48">
        <v>25.814208984375</v>
      </c>
      <c r="E30" s="48">
        <v>23.541259765625</v>
      </c>
      <c r="F30" s="48">
        <v>20.034423828125</v>
      </c>
      <c r="G30" s="48">
        <v>132.967529296875</v>
      </c>
      <c r="H30" s="48">
        <v>132.967529296875</v>
      </c>
      <c r="I30" s="48">
        <v>132.967529296875</v>
      </c>
      <c r="J30" s="48">
        <v>132.967529296875</v>
      </c>
      <c r="K30" s="48">
        <v>132.967529296875</v>
      </c>
      <c r="L30" s="48">
        <v>132.967529296875</v>
      </c>
      <c r="M30" s="50">
        <v>60</v>
      </c>
      <c r="N30" s="48">
        <v>3.86962890625</v>
      </c>
      <c r="O30" s="82">
        <v>60</v>
      </c>
      <c r="P30" s="49">
        <v>2.94189453125</v>
      </c>
      <c r="Q30" s="47">
        <v>1</v>
      </c>
      <c r="R30" s="46" t="str">
        <f t="shared" si="0"/>
        <v>Countercurrent</v>
      </c>
      <c r="S30" s="46" t="s">
        <v>71</v>
      </c>
      <c r="T30" s="45">
        <f t="shared" si="1"/>
        <v>4.1787582723441847</v>
      </c>
      <c r="U30" s="45">
        <f t="shared" si="2"/>
        <v>4.1806018551925543</v>
      </c>
      <c r="V30" s="39">
        <f t="shared" si="3"/>
        <v>27.0318603515625</v>
      </c>
      <c r="W30" s="43">
        <f t="shared" si="4"/>
        <v>996.51314231844844</v>
      </c>
      <c r="X30" s="39">
        <f t="shared" si="5"/>
        <v>21.787841796875</v>
      </c>
      <c r="Y30" s="43">
        <f t="shared" si="6"/>
        <v>997.8278677319247</v>
      </c>
      <c r="Z30" s="43">
        <f t="shared" si="7"/>
        <v>2.435302734375</v>
      </c>
      <c r="AA30" s="43">
        <f t="shared" si="8"/>
        <v>-3.5068359375</v>
      </c>
      <c r="AB30" s="42">
        <f t="shared" si="9"/>
        <v>6.4268934349558146E-2</v>
      </c>
      <c r="AC30" s="42">
        <f t="shared" si="10"/>
        <v>4.8925072453489961E-2</v>
      </c>
      <c r="AD30" s="81">
        <f t="shared" si="11"/>
        <v>654.03547415842672</v>
      </c>
      <c r="AE30" s="81">
        <f t="shared" si="12"/>
        <v>717.27506733807093</v>
      </c>
      <c r="AF30" s="81">
        <f t="shared" si="13"/>
        <v>-63.239593179644203</v>
      </c>
      <c r="AG30" s="81">
        <f t="shared" si="14"/>
        <v>109.66913809392635</v>
      </c>
      <c r="AH30" s="81">
        <f t="shared" si="15"/>
        <v>29.644268774703566</v>
      </c>
      <c r="AI30" s="39"/>
      <c r="AJ30" s="81">
        <f t="shared" si="37"/>
        <v>32.510614059464338</v>
      </c>
      <c r="AK30" s="39"/>
      <c r="AL30" s="81">
        <f t="shared" si="16"/>
        <v>72.332015810276687</v>
      </c>
      <c r="AM30" s="39"/>
      <c r="AN30" s="81">
        <f t="shared" si="17"/>
        <v>4.9644354878236543</v>
      </c>
      <c r="AO30" s="81">
        <f t="shared" si="38"/>
        <v>1722.7464442821004</v>
      </c>
      <c r="AP30" s="40"/>
      <c r="AQ30" s="38">
        <f t="shared" si="18"/>
        <v>0.04</v>
      </c>
      <c r="AR30" s="38">
        <f t="shared" si="19"/>
        <v>2206.2796661610923</v>
      </c>
      <c r="AS30" s="38">
        <f t="shared" si="20"/>
        <v>941.81108278813429</v>
      </c>
      <c r="AT30" s="38">
        <f t="shared" si="51"/>
        <v>30723.702854658601</v>
      </c>
      <c r="AU30" s="38">
        <f t="shared" si="21"/>
        <v>21341.400843793344</v>
      </c>
      <c r="AV30" s="38">
        <f t="shared" si="22"/>
        <v>8.6802792968750011E-4</v>
      </c>
      <c r="AW30" s="38">
        <f t="shared" si="23"/>
        <v>9.075772460937501E-4</v>
      </c>
      <c r="AX30" s="38">
        <f t="shared" si="24"/>
        <v>9.4448994140625001E-4</v>
      </c>
      <c r="AY30" s="38">
        <f t="shared" si="25"/>
        <v>1.00144095703125E-3</v>
      </c>
      <c r="AZ30" s="38">
        <f t="shared" si="26"/>
        <v>3.0000000000000001E-3</v>
      </c>
      <c r="BA30" s="38">
        <f t="shared" si="27"/>
        <v>8.8780258789062511E-4</v>
      </c>
      <c r="BB30" s="38">
        <f t="shared" si="28"/>
        <v>9.7296544921874999E-4</v>
      </c>
      <c r="BC30" s="38">
        <f t="shared" si="29"/>
        <v>3.0000000000000001E-3</v>
      </c>
      <c r="BD30" s="38">
        <f t="shared" si="39"/>
        <v>163.82614403998321</v>
      </c>
      <c r="BE30" s="38">
        <f t="shared" si="40"/>
        <v>139.51894623665015</v>
      </c>
      <c r="BF30" s="38">
        <f t="shared" si="41"/>
        <v>6.1380493164062502</v>
      </c>
      <c r="BG30" s="38">
        <f t="shared" si="42"/>
        <v>6.7883076171874999</v>
      </c>
      <c r="BH30" s="38">
        <f t="shared" si="30"/>
        <v>0.25658602887211318</v>
      </c>
      <c r="BI30" s="38">
        <f t="shared" si="31"/>
        <v>0.33690780104371548</v>
      </c>
      <c r="BJ30" s="38">
        <f t="shared" si="43"/>
        <v>3293.6044579619847</v>
      </c>
      <c r="BK30" s="38">
        <f t="shared" si="44"/>
        <v>3612.0676212700432</v>
      </c>
      <c r="BL30" s="38">
        <f t="shared" si="32"/>
        <v>59.288537549407117</v>
      </c>
      <c r="BM30" s="38">
        <f t="shared" si="33"/>
        <v>85.37549407114625</v>
      </c>
      <c r="BN30" s="38">
        <f t="shared" si="45"/>
        <v>268.56434106796144</v>
      </c>
      <c r="BO30" s="38">
        <f t="shared" si="46"/>
        <v>204.53624866449027</v>
      </c>
      <c r="BP30" s="38">
        <f t="shared" si="47"/>
        <v>204.53624866449027</v>
      </c>
      <c r="BQ30" s="38">
        <f t="shared" si="48"/>
        <v>268.56434106796144</v>
      </c>
      <c r="BR30" s="38">
        <f t="shared" si="49"/>
        <v>0.76159123676337748</v>
      </c>
      <c r="BS30" s="38">
        <f t="shared" si="34"/>
        <v>24.1419677734375</v>
      </c>
      <c r="BT30" s="1">
        <f t="shared" si="35"/>
        <v>0.4268774703557312</v>
      </c>
      <c r="BU30" s="1">
        <f t="shared" si="36"/>
        <v>0.33690780104371548</v>
      </c>
      <c r="BV30" s="1">
        <f t="shared" si="50"/>
        <v>0.25970232727892784</v>
      </c>
    </row>
    <row r="31" spans="1:74" ht="12.75" customHeight="1" x14ac:dyDescent="0.2">
      <c r="A31" s="5">
        <v>1E-3</v>
      </c>
      <c r="B31" s="50" t="s">
        <v>101</v>
      </c>
      <c r="C31" s="48">
        <v>28.087158203125</v>
      </c>
      <c r="D31" s="48">
        <v>25.684326171875</v>
      </c>
      <c r="E31" s="48">
        <v>23.476318359375</v>
      </c>
      <c r="F31" s="48">
        <v>20.001953125</v>
      </c>
      <c r="G31" s="48">
        <v>132.967529296875</v>
      </c>
      <c r="H31" s="48">
        <v>132.967529296875</v>
      </c>
      <c r="I31" s="48">
        <v>132.967529296875</v>
      </c>
      <c r="J31" s="48">
        <v>132.967529296875</v>
      </c>
      <c r="K31" s="48">
        <v>132.967529296875</v>
      </c>
      <c r="L31" s="48">
        <v>132.967529296875</v>
      </c>
      <c r="M31" s="50">
        <v>60</v>
      </c>
      <c r="N31" s="48">
        <v>3.96728515625</v>
      </c>
      <c r="O31" s="82">
        <v>60</v>
      </c>
      <c r="P31" s="49">
        <v>2.83203125</v>
      </c>
      <c r="Q31" s="47">
        <v>1</v>
      </c>
      <c r="R31" s="46" t="str">
        <f t="shared" si="0"/>
        <v>Countercurrent</v>
      </c>
      <c r="S31" s="46" t="s">
        <v>71</v>
      </c>
      <c r="T31" s="45">
        <f t="shared" si="1"/>
        <v>4.1787929450740293</v>
      </c>
      <c r="U31" s="45">
        <f t="shared" si="2"/>
        <v>4.1806255391939624</v>
      </c>
      <c r="V31" s="39">
        <f t="shared" si="3"/>
        <v>26.8857421875</v>
      </c>
      <c r="W31" s="43">
        <f t="shared" si="4"/>
        <v>996.55339525319459</v>
      </c>
      <c r="X31" s="39">
        <f t="shared" si="5"/>
        <v>21.7391357421875</v>
      </c>
      <c r="Y31" s="43">
        <f t="shared" si="6"/>
        <v>997.83878026187995</v>
      </c>
      <c r="Z31" s="43">
        <f t="shared" si="7"/>
        <v>2.40283203125</v>
      </c>
      <c r="AA31" s="43">
        <f t="shared" si="8"/>
        <v>-3.474365234375</v>
      </c>
      <c r="AB31" s="42">
        <f t="shared" si="9"/>
        <v>6.5893524873308976E-2</v>
      </c>
      <c r="AC31" s="42">
        <f t="shared" si="10"/>
        <v>4.7098510136058785E-2</v>
      </c>
      <c r="AD31" s="81">
        <f t="shared" si="11"/>
        <v>661.6327675687271</v>
      </c>
      <c r="AE31" s="81">
        <f t="shared" si="12"/>
        <v>684.10680317138133</v>
      </c>
      <c r="AF31" s="81">
        <f t="shared" si="13"/>
        <v>-22.474035602654226</v>
      </c>
      <c r="AG31" s="81">
        <f t="shared" si="14"/>
        <v>103.39675371358021</v>
      </c>
      <c r="AH31" s="81">
        <f t="shared" si="15"/>
        <v>29.718875502008032</v>
      </c>
      <c r="AI31" s="39"/>
      <c r="AJ31" s="81">
        <f t="shared" si="37"/>
        <v>30.728352509256766</v>
      </c>
      <c r="AK31" s="39"/>
      <c r="AL31" s="81">
        <f t="shared" si="16"/>
        <v>72.690763052208837</v>
      </c>
      <c r="AM31" s="39"/>
      <c r="AN31" s="81">
        <f t="shared" si="17"/>
        <v>4.8715630846729328</v>
      </c>
      <c r="AO31" s="81">
        <f t="shared" si="38"/>
        <v>1726.0428376323737</v>
      </c>
      <c r="AP31" s="40"/>
      <c r="AQ31" s="38">
        <f t="shared" si="18"/>
        <v>0.04</v>
      </c>
      <c r="AR31" s="38">
        <f t="shared" si="19"/>
        <v>2226.3048530353117</v>
      </c>
      <c r="AS31" s="38">
        <f t="shared" si="20"/>
        <v>956.68521797099743</v>
      </c>
      <c r="AT31" s="38">
        <f t="shared" si="51"/>
        <v>31416.365721426322</v>
      </c>
      <c r="AU31" s="38">
        <f t="shared" si="21"/>
        <v>20527.955251171628</v>
      </c>
      <c r="AV31" s="38">
        <f t="shared" si="22"/>
        <v>8.7066455078124998E-4</v>
      </c>
      <c r="AW31" s="38">
        <f t="shared" si="23"/>
        <v>9.0968654296875008E-4</v>
      </c>
      <c r="AX31" s="38">
        <f t="shared" si="24"/>
        <v>9.4554458984375011E-4</v>
      </c>
      <c r="AY31" s="38">
        <f t="shared" si="25"/>
        <v>1.0019682812500001E-3</v>
      </c>
      <c r="AZ31" s="38">
        <f t="shared" si="26"/>
        <v>3.0000000000000001E-3</v>
      </c>
      <c r="BA31" s="38">
        <f t="shared" si="27"/>
        <v>8.9017554687500003E-4</v>
      </c>
      <c r="BB31" s="38">
        <f t="shared" si="28"/>
        <v>9.7375643554687514E-4</v>
      </c>
      <c r="BC31" s="38">
        <f t="shared" si="29"/>
        <v>3.0000000000000001E-3</v>
      </c>
      <c r="BD31" s="38">
        <f t="shared" si="39"/>
        <v>166.93823405931127</v>
      </c>
      <c r="BE31" s="38">
        <f t="shared" si="40"/>
        <v>134.93647731978618</v>
      </c>
      <c r="BF31" s="38">
        <f t="shared" si="41"/>
        <v>6.1561679687500002</v>
      </c>
      <c r="BG31" s="38">
        <f t="shared" si="42"/>
        <v>6.7943471679687502</v>
      </c>
      <c r="BH31" s="38">
        <f t="shared" si="30"/>
        <v>0.250736736199626</v>
      </c>
      <c r="BI31" s="38">
        <f t="shared" si="31"/>
        <v>0.3506413443229307</v>
      </c>
      <c r="BJ31" s="38">
        <f t="shared" si="43"/>
        <v>3395.3823242604476</v>
      </c>
      <c r="BK31" s="38">
        <f t="shared" si="44"/>
        <v>3510.7150994500103</v>
      </c>
      <c r="BL31" s="38">
        <f t="shared" si="32"/>
        <v>59.437751004016064</v>
      </c>
      <c r="BM31" s="38">
        <f t="shared" si="33"/>
        <v>85.943775100401609</v>
      </c>
      <c r="BN31" s="38">
        <f t="shared" si="45"/>
        <v>275.35539686664362</v>
      </c>
      <c r="BO31" s="38">
        <f t="shared" si="46"/>
        <v>196.90123433279305</v>
      </c>
      <c r="BP31" s="38">
        <f t="shared" si="47"/>
        <v>196.90123433279305</v>
      </c>
      <c r="BQ31" s="38">
        <f t="shared" si="48"/>
        <v>275.35539686664362</v>
      </c>
      <c r="BR31" s="38">
        <f t="shared" si="49"/>
        <v>0.71508035278550786</v>
      </c>
      <c r="BS31" s="38">
        <f t="shared" si="34"/>
        <v>24.0445556640625</v>
      </c>
      <c r="BT31" s="1">
        <f t="shared" si="35"/>
        <v>0.42971887550200805</v>
      </c>
      <c r="BU31" s="1">
        <f t="shared" si="36"/>
        <v>0.3506413443229307</v>
      </c>
      <c r="BV31" s="1">
        <f t="shared" si="50"/>
        <v>0.26940897584457246</v>
      </c>
    </row>
    <row r="32" spans="1:74" ht="12.75" customHeight="1" x14ac:dyDescent="0.2">
      <c r="A32" s="5">
        <v>1E-3</v>
      </c>
      <c r="B32" s="36" t="s">
        <v>102</v>
      </c>
      <c r="C32" s="34">
        <v>28.996337890625</v>
      </c>
      <c r="D32" s="34">
        <v>26.658447265625</v>
      </c>
      <c r="E32" s="34">
        <v>24.5478515625</v>
      </c>
      <c r="F32" s="34">
        <v>20.099365234375</v>
      </c>
      <c r="G32" s="34">
        <v>132.967529296875</v>
      </c>
      <c r="H32" s="34">
        <v>132.967529296875</v>
      </c>
      <c r="I32" s="34">
        <v>132.967529296875</v>
      </c>
      <c r="J32" s="34">
        <v>132.967529296875</v>
      </c>
      <c r="K32" s="34">
        <v>132.967529296875</v>
      </c>
      <c r="L32" s="34">
        <v>132.967529296875</v>
      </c>
      <c r="M32" s="36">
        <v>60</v>
      </c>
      <c r="N32" s="34">
        <v>3.89404296875</v>
      </c>
      <c r="O32" s="80">
        <v>30</v>
      </c>
      <c r="P32" s="35">
        <v>2.2216796875</v>
      </c>
      <c r="Q32" s="33">
        <v>1</v>
      </c>
      <c r="R32" s="32" t="str">
        <f t="shared" si="0"/>
        <v>Countercurrent</v>
      </c>
      <c r="S32" s="32" t="s">
        <v>71</v>
      </c>
      <c r="T32" s="31">
        <f t="shared" si="1"/>
        <v>4.1785839794136868</v>
      </c>
      <c r="U32" s="31">
        <f t="shared" si="2"/>
        <v>4.1803502654466467</v>
      </c>
      <c r="V32" s="25">
        <f t="shared" si="3"/>
        <v>27.827392578125</v>
      </c>
      <c r="W32" s="29">
        <f t="shared" si="4"/>
        <v>996.29049728154541</v>
      </c>
      <c r="X32" s="25">
        <f t="shared" si="5"/>
        <v>22.3236083984375</v>
      </c>
      <c r="Y32" s="29">
        <f t="shared" si="6"/>
        <v>997.70620002449664</v>
      </c>
      <c r="Z32" s="29">
        <f t="shared" si="7"/>
        <v>2.337890625</v>
      </c>
      <c r="AA32" s="29">
        <f t="shared" si="8"/>
        <v>-4.448486328125</v>
      </c>
      <c r="AB32" s="28">
        <f t="shared" si="9"/>
        <v>6.4659966762860718E-2</v>
      </c>
      <c r="AC32" s="28">
        <f t="shared" si="10"/>
        <v>3.6943059978120606E-2</v>
      </c>
      <c r="AD32" s="79">
        <f t="shared" si="11"/>
        <v>631.6678909491784</v>
      </c>
      <c r="AE32" s="79">
        <f t="shared" si="12"/>
        <v>687.00167729652253</v>
      </c>
      <c r="AF32" s="79">
        <f t="shared" si="13"/>
        <v>-55.33378634734413</v>
      </c>
      <c r="AG32" s="79">
        <f t="shared" si="14"/>
        <v>108.75994919801869</v>
      </c>
      <c r="AH32" s="79">
        <f t="shared" si="15"/>
        <v>26.277372262773724</v>
      </c>
      <c r="AI32" s="25"/>
      <c r="AJ32" s="79">
        <f t="shared" si="37"/>
        <v>28.579256723566957</v>
      </c>
      <c r="AK32" s="25"/>
      <c r="AL32" s="79">
        <f t="shared" si="16"/>
        <v>76.277372262773724</v>
      </c>
      <c r="AM32" s="25"/>
      <c r="AN32" s="79">
        <f t="shared" si="17"/>
        <v>5.1638790315867737</v>
      </c>
      <c r="AO32" s="79">
        <f t="shared" si="38"/>
        <v>1593.2156491970513</v>
      </c>
      <c r="AP32" s="26"/>
      <c r="AQ32" s="24">
        <f t="shared" si="18"/>
        <v>0.04</v>
      </c>
      <c r="AR32" s="24">
        <f t="shared" si="19"/>
        <v>2403.8472516677066</v>
      </c>
      <c r="AS32" s="24">
        <f t="shared" si="20"/>
        <v>1201.9236258338533</v>
      </c>
      <c r="AT32" s="24">
        <f t="shared" si="51"/>
        <v>31367.094435545263</v>
      </c>
      <c r="AU32" s="24">
        <f t="shared" si="21"/>
        <v>16260.185875232793</v>
      </c>
      <c r="AV32" s="24">
        <f t="shared" si="22"/>
        <v>8.5589947265624999E-4</v>
      </c>
      <c r="AW32" s="24">
        <f t="shared" si="23"/>
        <v>8.9386681640625E-4</v>
      </c>
      <c r="AX32" s="24">
        <f t="shared" si="24"/>
        <v>9.2814289062500004E-4</v>
      </c>
      <c r="AY32" s="24">
        <f t="shared" si="25"/>
        <v>1.00038630859375E-3</v>
      </c>
      <c r="AZ32" s="24">
        <f t="shared" si="26"/>
        <v>3.0000000000000001E-3</v>
      </c>
      <c r="BA32" s="24">
        <f t="shared" si="27"/>
        <v>8.7488314453124994E-4</v>
      </c>
      <c r="BB32" s="24">
        <f t="shared" si="28"/>
        <v>9.6426459960937501E-4</v>
      </c>
      <c r="BC32" s="24">
        <f t="shared" si="29"/>
        <v>3.0000000000000001E-3</v>
      </c>
      <c r="BD32" s="24">
        <f t="shared" si="39"/>
        <v>165.66789470825594</v>
      </c>
      <c r="BE32" s="24">
        <f t="shared" si="40"/>
        <v>109.85478576733682</v>
      </c>
      <c r="BF32" s="24">
        <f t="shared" si="41"/>
        <v>6.0394033203125002</v>
      </c>
      <c r="BG32" s="24">
        <f t="shared" si="42"/>
        <v>6.7218725585937502</v>
      </c>
      <c r="BH32" s="24">
        <f t="shared" si="30"/>
        <v>0.23586849882548522</v>
      </c>
      <c r="BI32" s="24">
        <f t="shared" si="31"/>
        <v>0.41265681103417906</v>
      </c>
      <c r="BJ32" s="24">
        <f t="shared" si="43"/>
        <v>3058.1075151322698</v>
      </c>
      <c r="BK32" s="24">
        <f t="shared" si="44"/>
        <v>3325.996179878648</v>
      </c>
      <c r="BL32" s="24">
        <f t="shared" si="32"/>
        <v>52.554744525547449</v>
      </c>
      <c r="BM32" s="24">
        <f t="shared" si="33"/>
        <v>100</v>
      </c>
      <c r="BN32" s="24">
        <f t="shared" si="45"/>
        <v>270.18710122471123</v>
      </c>
      <c r="BO32" s="24">
        <f t="shared" si="46"/>
        <v>154.43493058594788</v>
      </c>
      <c r="BP32" s="24">
        <f t="shared" si="47"/>
        <v>154.43493058594788</v>
      </c>
      <c r="BQ32" s="24">
        <f t="shared" si="48"/>
        <v>270.18710122471123</v>
      </c>
      <c r="BR32" s="24">
        <f t="shared" si="49"/>
        <v>0.57158513447133907</v>
      </c>
      <c r="BS32" s="24">
        <f t="shared" si="34"/>
        <v>24.5478515625</v>
      </c>
      <c r="BT32" s="1">
        <f t="shared" si="35"/>
        <v>0.5</v>
      </c>
      <c r="BU32" s="1">
        <f t="shared" si="36"/>
        <v>0.41265681103417906</v>
      </c>
      <c r="BV32" s="1">
        <f t="shared" si="50"/>
        <v>0.31100116416231904</v>
      </c>
    </row>
    <row r="33" spans="1:74" ht="12.75" customHeight="1" x14ac:dyDescent="0.2">
      <c r="A33" s="5">
        <v>1E-3</v>
      </c>
      <c r="B33" s="36" t="s">
        <v>103</v>
      </c>
      <c r="C33" s="34">
        <v>29.061279296875</v>
      </c>
      <c r="D33" s="34">
        <v>26.658447265625</v>
      </c>
      <c r="E33" s="34">
        <v>24.5478515625</v>
      </c>
      <c r="F33" s="34">
        <v>20.1318359375</v>
      </c>
      <c r="G33" s="34">
        <v>132.967529296875</v>
      </c>
      <c r="H33" s="34">
        <v>132.967529296875</v>
      </c>
      <c r="I33" s="34">
        <v>132.967529296875</v>
      </c>
      <c r="J33" s="34">
        <v>132.967529296875</v>
      </c>
      <c r="K33" s="34">
        <v>132.967529296875</v>
      </c>
      <c r="L33" s="34">
        <v>132.967529296875</v>
      </c>
      <c r="M33" s="36">
        <v>60</v>
      </c>
      <c r="N33" s="34">
        <v>3.99169921875</v>
      </c>
      <c r="O33" s="80">
        <v>30</v>
      </c>
      <c r="P33" s="35">
        <v>1.9775390625</v>
      </c>
      <c r="Q33" s="33">
        <v>1</v>
      </c>
      <c r="R33" s="32" t="str">
        <f t="shared" si="0"/>
        <v>Countercurrent</v>
      </c>
      <c r="S33" s="32" t="s">
        <v>71</v>
      </c>
      <c r="T33" s="31">
        <f t="shared" si="1"/>
        <v>4.1785773736595102</v>
      </c>
      <c r="U33" s="31">
        <f t="shared" si="2"/>
        <v>4.1803428933096098</v>
      </c>
      <c r="V33" s="25">
        <f t="shared" si="3"/>
        <v>27.85986328125</v>
      </c>
      <c r="W33" s="29">
        <f t="shared" si="4"/>
        <v>996.28128529802495</v>
      </c>
      <c r="X33" s="25">
        <f t="shared" si="5"/>
        <v>22.33984375</v>
      </c>
      <c r="Y33" s="29">
        <f t="shared" si="6"/>
        <v>997.70246667547633</v>
      </c>
      <c r="Z33" s="29">
        <f t="shared" si="7"/>
        <v>2.40283203125</v>
      </c>
      <c r="AA33" s="29">
        <f t="shared" si="8"/>
        <v>-4.416015625</v>
      </c>
      <c r="AB33" s="28">
        <f t="shared" si="9"/>
        <v>6.628092046965621E-2</v>
      </c>
      <c r="AC33" s="28">
        <f t="shared" si="10"/>
        <v>3.2883260010055981E-2</v>
      </c>
      <c r="AD33" s="79">
        <f t="shared" si="11"/>
        <v>665.48825023796292</v>
      </c>
      <c r="AE33" s="79">
        <f t="shared" si="12"/>
        <v>607.04009078508284</v>
      </c>
      <c r="AF33" s="79">
        <f t="shared" si="13"/>
        <v>58.448159452880077</v>
      </c>
      <c r="AG33" s="79">
        <f t="shared" si="14"/>
        <v>91.21725147934913</v>
      </c>
      <c r="AH33" s="79">
        <f t="shared" si="15"/>
        <v>26.909090909090914</v>
      </c>
      <c r="AI33" s="25"/>
      <c r="AJ33" s="79">
        <f t="shared" si="37"/>
        <v>24.545733125352132</v>
      </c>
      <c r="AK33" s="25"/>
      <c r="AL33" s="79">
        <f t="shared" si="16"/>
        <v>76.36363636363636</v>
      </c>
      <c r="AM33" s="25"/>
      <c r="AN33" s="79">
        <f t="shared" si="17"/>
        <v>5.1853682148953322</v>
      </c>
      <c r="AO33" s="79">
        <f t="shared" si="38"/>
        <v>1530.56123691682</v>
      </c>
      <c r="AP33" s="26"/>
      <c r="AQ33" s="24">
        <f t="shared" si="18"/>
        <v>0.04</v>
      </c>
      <c r="AR33" s="24">
        <f t="shared" si="19"/>
        <v>2473.0982272356728</v>
      </c>
      <c r="AS33" s="24">
        <f t="shared" si="20"/>
        <v>1223.0594869238237</v>
      </c>
      <c r="AT33" s="24">
        <f t="shared" si="51"/>
        <v>32172.824473698653</v>
      </c>
      <c r="AU33" s="24">
        <f t="shared" si="21"/>
        <v>14477.256669200302</v>
      </c>
      <c r="AV33" s="24">
        <f t="shared" si="22"/>
        <v>8.5484482421875E-4</v>
      </c>
      <c r="AW33" s="24">
        <f t="shared" si="23"/>
        <v>8.9386681640625E-4</v>
      </c>
      <c r="AX33" s="24">
        <f t="shared" si="24"/>
        <v>9.2814289062500004E-4</v>
      </c>
      <c r="AY33" s="24">
        <f t="shared" si="25"/>
        <v>9.9985898437500009E-4</v>
      </c>
      <c r="AZ33" s="24">
        <f t="shared" si="26"/>
        <v>3.0000000000000001E-3</v>
      </c>
      <c r="BA33" s="24">
        <f t="shared" si="27"/>
        <v>8.7435582031250006E-4</v>
      </c>
      <c r="BB33" s="24">
        <f t="shared" si="28"/>
        <v>9.6400093750000006E-4</v>
      </c>
      <c r="BC33" s="24">
        <f t="shared" si="29"/>
        <v>3.0000000000000001E-3</v>
      </c>
      <c r="BD33" s="24">
        <f t="shared" si="39"/>
        <v>169.02608308429888</v>
      </c>
      <c r="BE33" s="24">
        <f t="shared" si="40"/>
        <v>99.32185095710652</v>
      </c>
      <c r="BF33" s="24">
        <f t="shared" si="41"/>
        <v>6.0353769531249997</v>
      </c>
      <c r="BG33" s="24">
        <f t="shared" si="42"/>
        <v>6.7198593749999995</v>
      </c>
      <c r="BH33" s="24">
        <f t="shared" si="30"/>
        <v>0.22105163026023691</v>
      </c>
      <c r="BI33" s="24">
        <f t="shared" si="31"/>
        <v>0.44537304470303668</v>
      </c>
      <c r="BJ33" s="24">
        <f t="shared" si="43"/>
        <v>3208.4908084555186</v>
      </c>
      <c r="BK33" s="24">
        <f t="shared" si="44"/>
        <v>2926.6971294406721</v>
      </c>
      <c r="BL33" s="24">
        <f t="shared" si="32"/>
        <v>53.81818181818182</v>
      </c>
      <c r="BM33" s="24">
        <f t="shared" si="33"/>
        <v>98.909090909090907</v>
      </c>
      <c r="BN33" s="24">
        <f t="shared" si="45"/>
        <v>276.95995457983094</v>
      </c>
      <c r="BO33" s="24">
        <f t="shared" si="46"/>
        <v>137.46330229188962</v>
      </c>
      <c r="BP33" s="24">
        <f t="shared" si="47"/>
        <v>137.46330229188962</v>
      </c>
      <c r="BQ33" s="24">
        <f t="shared" si="48"/>
        <v>276.95995457983094</v>
      </c>
      <c r="BR33" s="24">
        <f t="shared" si="49"/>
        <v>0.49632916246116437</v>
      </c>
      <c r="BS33" s="24">
        <f t="shared" si="34"/>
        <v>24.5965576171875</v>
      </c>
      <c r="BT33" s="1">
        <f t="shared" si="35"/>
        <v>0.49454545454545457</v>
      </c>
      <c r="BU33" s="1">
        <f t="shared" si="36"/>
        <v>0.44537304470303668</v>
      </c>
      <c r="BV33" s="1">
        <f t="shared" si="50"/>
        <v>0.33301355114528913</v>
      </c>
    </row>
    <row r="34" spans="1:74" ht="12.75" customHeight="1" x14ac:dyDescent="0.2">
      <c r="A34" s="5">
        <v>1E-3</v>
      </c>
      <c r="B34" s="36" t="s">
        <v>104</v>
      </c>
      <c r="C34" s="34">
        <v>29.256103515625</v>
      </c>
      <c r="D34" s="34">
        <v>26.755859375</v>
      </c>
      <c r="E34" s="34">
        <v>24.61279296875</v>
      </c>
      <c r="F34" s="34">
        <v>20.1318359375</v>
      </c>
      <c r="G34" s="34">
        <v>132.967529296875</v>
      </c>
      <c r="H34" s="34">
        <v>132.967529296875</v>
      </c>
      <c r="I34" s="34">
        <v>132.967529296875</v>
      </c>
      <c r="J34" s="34">
        <v>132.967529296875</v>
      </c>
      <c r="K34" s="34">
        <v>132.967529296875</v>
      </c>
      <c r="L34" s="34">
        <v>132.967529296875</v>
      </c>
      <c r="M34" s="36">
        <v>60</v>
      </c>
      <c r="N34" s="34">
        <v>4.1015625</v>
      </c>
      <c r="O34" s="80">
        <v>30</v>
      </c>
      <c r="P34" s="35">
        <v>2.001953125</v>
      </c>
      <c r="Q34" s="33">
        <v>1</v>
      </c>
      <c r="R34" s="32" t="str">
        <f t="shared" ref="R34:R65" si="52">IF(ISNUMBER(Q34),IF(Q34=1,"Countercurrent","Cocurrent"),"")</f>
        <v>Countercurrent</v>
      </c>
      <c r="S34" s="32" t="s">
        <v>71</v>
      </c>
      <c r="T34" s="31">
        <f t="shared" ref="T34:T65" si="53">IF(ISNUMBER(N34),1.15290498E-12*(V34^6)-3.5879038802E-10*(V34^5)+4.710833256816E-08*(V34^4)-3.38194190874219E-06*(V34^3)+0.000148978977392744*(V34^2)-0.00373903643230733*(V34)+4.21734712411944,"")</f>
        <v>4.1785481302296335</v>
      </c>
      <c r="U34" s="31">
        <f t="shared" ref="U34:U65" si="54">IF(ISNUMBER(N34),1.15290498E-12*(X34^6)-3.5879038802E-10*(X34^5)+4.710833256816E-08*(X34^4)-3.38194190874219E-06*(X34^3)+0.000148978977392744*(X34^2)-0.00373903643230733*(X34)+4.21734712411944,"")</f>
        <v>4.1803281928095677</v>
      </c>
      <c r="V34" s="25">
        <f t="shared" ref="V34:V65" si="55">IF(ISNUMBER(C34),AVERAGE(C34:D34),"")</f>
        <v>28.0059814453125</v>
      </c>
      <c r="W34" s="29">
        <f t="shared" ref="W34:W65" si="56">IF(ISNUMBER(D34),-0.0000002301*(V34^4)+0.0000569866*(V34^3)-0.0082923226*(V34^2)+0.0654036947*V34+999.8017570756,"")</f>
        <v>996.23971140186939</v>
      </c>
      <c r="X34" s="25">
        <f t="shared" ref="X34:X65" si="57">IF(ISNUMBER(E34),AVERAGE(E34:F34),"")</f>
        <v>22.372314453125</v>
      </c>
      <c r="Y34" s="29">
        <f t="shared" ref="Y34:Y65" si="58">IF(ISNUMBER(D34),-0.0000002301*(X34^4)+0.0000569866*(X34^3)-0.0082923226*(X34^2)+0.0654036947*X34+999.8017570756,"")</f>
        <v>997.694991814373</v>
      </c>
      <c r="Z34" s="29">
        <f t="shared" ref="Z34:Z65" si="59">IF(ISNUMBER(C34),IF(R34="Countercurrent",C34-D34,D34-C34),"")</f>
        <v>2.500244140625</v>
      </c>
      <c r="AA34" s="29">
        <f t="shared" ref="AA34:AA65" si="60">IF(ISNUMBER(E34),F34-E34,"")</f>
        <v>-4.48095703125</v>
      </c>
      <c r="AB34" s="28">
        <f t="shared" ref="AB34:AB65" si="61">IF(ISNUMBER(N34),N34*W34/(1000*60),"")</f>
        <v>6.8102324021612162E-2</v>
      </c>
      <c r="AC34" s="28">
        <f t="shared" ref="AC34:AC65" si="62">IF(ISNUMBER(P34),P34*Y34/(1000*60),"")</f>
        <v>3.3288976777660559E-2</v>
      </c>
      <c r="AD34" s="79">
        <f t="shared" ref="AD34:AD65" si="63">AB34*T34*(C34-D34)*1000</f>
        <v>711.49157157613729</v>
      </c>
      <c r="AE34" s="79">
        <f t="shared" ref="AE34:AE65" si="64">AC34*U34*(E34-F34)*1000</f>
        <v>623.56481900417737</v>
      </c>
      <c r="AF34" s="79">
        <f t="shared" ref="AF34:AF65" si="65">AD34-AE34</f>
        <v>87.926752571959923</v>
      </c>
      <c r="AG34" s="79">
        <f t="shared" ref="AG34:AG65" si="66">AE34*100/AD34</f>
        <v>87.641912274915711</v>
      </c>
      <c r="AH34" s="79">
        <f t="shared" ref="AH34:AH65" si="67">AD34*100/AR34</f>
        <v>27.402135231316727</v>
      </c>
      <c r="AI34" s="25"/>
      <c r="AJ34" s="79">
        <f t="shared" si="37"/>
        <v>24.015755320884374</v>
      </c>
      <c r="AK34" s="25"/>
      <c r="AL34" s="79">
        <f t="shared" ref="AL34:AL65" si="68">(BL34+BM34)/2</f>
        <v>76.512455516014228</v>
      </c>
      <c r="AM34" s="25"/>
      <c r="AN34" s="79">
        <f t="shared" ref="AN34:AN65" si="69">((C34-E34)-(D34-F34))/(LN((C34-E34)/(D34-F34)))*0.95</f>
        <v>5.2963910221914823</v>
      </c>
      <c r="AO34" s="79">
        <f t="shared" ref="AO34:AO65" si="70">((1/BJ34)+(1/BK34))^-1</f>
        <v>1568.5982364269191</v>
      </c>
      <c r="AP34" s="26"/>
      <c r="AQ34" s="24">
        <f t="shared" ref="AQ34:AQ65" si="71">5*0.008</f>
        <v>0.04</v>
      </c>
      <c r="AR34" s="24">
        <f t="shared" ref="AR34:AR65" si="72">BN34*(C34-F34)</f>
        <v>2596.4822287388906</v>
      </c>
      <c r="AS34" s="24">
        <f t="shared" ref="AS34:AS65" si="73">BN34*(E34-F34)</f>
        <v>1275.1407386689214</v>
      </c>
      <c r="AT34" s="24">
        <f t="shared" ref="AT34:AT65" si="74">(4*AB34)/(BA34*PI()*BC34)</f>
        <v>33146.894615418758</v>
      </c>
      <c r="AU34" s="24">
        <f t="shared" ref="AU34:AU65" si="75">(4*AC34)/(BB34*PI()*BC34)</f>
        <v>14663.899821376586</v>
      </c>
      <c r="AV34" s="24">
        <f t="shared" ref="AV34:AV65" si="76">0.001002+((C34-20)/25)*(0.000596-0.001002)</f>
        <v>8.5168087890625003E-4</v>
      </c>
      <c r="AW34" s="24">
        <f t="shared" ref="AW34:AW65" si="77">0.001002+((D34-20)/25)*(0.000596-0.001002)</f>
        <v>8.9228484375000001E-4</v>
      </c>
      <c r="AX34" s="24">
        <f t="shared" ref="AX34:AX65" si="78">0.001002+((E34-20)/25)*(0.000596-0.001002)</f>
        <v>9.2708824218750005E-4</v>
      </c>
      <c r="AY34" s="24">
        <f t="shared" ref="AY34:AY65" si="79">0.001002+((F34-20)/25)*(0.000596-0.001002)</f>
        <v>9.9985898437500009E-4</v>
      </c>
      <c r="AZ34" s="24">
        <f t="shared" ref="AZ34:AZ65" si="80">0.003</f>
        <v>3.0000000000000001E-3</v>
      </c>
      <c r="BA34" s="24">
        <f t="shared" ref="BA34:BA65" si="81">(AV34+AW34)/2</f>
        <v>8.7198286132812502E-4</v>
      </c>
      <c r="BB34" s="24">
        <f t="shared" ref="BB34:BB65" si="82">(AX34+AY34)/2</f>
        <v>9.6347361328125007E-4</v>
      </c>
      <c r="BC34" s="24">
        <f t="shared" ref="BC34:BC65" si="83">0.003</f>
        <v>3.0000000000000001E-3</v>
      </c>
      <c r="BD34" s="24">
        <f t="shared" si="39"/>
        <v>172.93440572061519</v>
      </c>
      <c r="BE34" s="24">
        <f t="shared" si="40"/>
        <v>100.41101173139751</v>
      </c>
      <c r="BF34" s="24">
        <f t="shared" ref="BF34:BF65" si="84">7.01+((AVERAGE(C34:D34)-20)/25)*(3.91-7.01)</f>
        <v>6.0172583007812497</v>
      </c>
      <c r="BG34" s="24">
        <f t="shared" ref="BG34:BG65" si="85">7.01+((AVERAGE(E34:F34)-20)/25)*(3.91-7.01)</f>
        <v>6.7158330078124999</v>
      </c>
      <c r="BH34" s="24">
        <f t="shared" ref="BH34:BH65" si="86">(AO34*AQ34)/((AB34*T34)*1000)</f>
        <v>0.22048770252798025</v>
      </c>
      <c r="BI34" s="24">
        <f t="shared" ref="BI34:BI65" si="87">(AO34*AQ34)/(AC34*U34*1000)</f>
        <v>0.45087991384430337</v>
      </c>
      <c r="BJ34" s="24">
        <f t="shared" si="43"/>
        <v>3358.3791708119775</v>
      </c>
      <c r="BK34" s="24">
        <f t="shared" si="44"/>
        <v>2943.3477267420749</v>
      </c>
      <c r="BL34" s="24">
        <f t="shared" ref="BL34:BL65" si="88">(C34-D34)*100/(C34-BS34)</f>
        <v>54.804270462633454</v>
      </c>
      <c r="BM34" s="24">
        <f t="shared" ref="BM34:BM65" si="89">(E34-F34)*100/(BS34-F34)</f>
        <v>98.220640569395016</v>
      </c>
      <c r="BN34" s="24">
        <f t="shared" si="45"/>
        <v>284.56883870480016</v>
      </c>
      <c r="BO34" s="24">
        <f t="shared" si="46"/>
        <v>139.15884813343743</v>
      </c>
      <c r="BP34" s="24">
        <f t="shared" si="47"/>
        <v>139.15884813343743</v>
      </c>
      <c r="BQ34" s="24">
        <f t="shared" si="48"/>
        <v>284.56883870480016</v>
      </c>
      <c r="BR34" s="24">
        <f t="shared" si="49"/>
        <v>0.48901646704119639</v>
      </c>
      <c r="BS34" s="24">
        <f t="shared" ref="BS34:BS65" si="90">(C34+F34)/2</f>
        <v>24.6939697265625</v>
      </c>
      <c r="BT34" s="1">
        <f t="shared" ref="BT34:BT65" si="91">(E34-F34)/(C34-F34)</f>
        <v>0.49110320284697506</v>
      </c>
      <c r="BU34" s="1">
        <f t="shared" ref="BU34:BU65" si="92">AO34*AQ34/BP34</f>
        <v>0.45087991384430337</v>
      </c>
      <c r="BV34" s="1">
        <f t="shared" si="50"/>
        <v>0.33645161556514752</v>
      </c>
    </row>
    <row r="35" spans="1:74" ht="12.75" customHeight="1" x14ac:dyDescent="0.2">
      <c r="A35" s="5">
        <v>1E-3</v>
      </c>
      <c r="B35" s="36" t="s">
        <v>105</v>
      </c>
      <c r="C35" s="34">
        <v>29.02880859375</v>
      </c>
      <c r="D35" s="34">
        <v>26.755859375</v>
      </c>
      <c r="E35" s="34">
        <v>24.580322265625</v>
      </c>
      <c r="F35" s="34">
        <v>20.099365234375</v>
      </c>
      <c r="G35" s="34">
        <v>132.967529296875</v>
      </c>
      <c r="H35" s="34">
        <v>132.967529296875</v>
      </c>
      <c r="I35" s="34">
        <v>132.967529296875</v>
      </c>
      <c r="J35" s="34">
        <v>132.967529296875</v>
      </c>
      <c r="K35" s="34">
        <v>132.967529296875</v>
      </c>
      <c r="L35" s="34">
        <v>132.967529296875</v>
      </c>
      <c r="M35" s="36">
        <v>60</v>
      </c>
      <c r="N35" s="34">
        <v>3.9306640625</v>
      </c>
      <c r="O35" s="80">
        <v>30</v>
      </c>
      <c r="P35" s="35">
        <v>2.06298828125</v>
      </c>
      <c r="Q35" s="33">
        <v>1</v>
      </c>
      <c r="R35" s="32" t="str">
        <f t="shared" si="52"/>
        <v>Countercurrent</v>
      </c>
      <c r="S35" s="32" t="s">
        <v>71</v>
      </c>
      <c r="T35" s="31">
        <f t="shared" si="53"/>
        <v>4.1785708069922256</v>
      </c>
      <c r="U35" s="31">
        <f t="shared" si="54"/>
        <v>4.1803428933096098</v>
      </c>
      <c r="V35" s="25">
        <f t="shared" si="55"/>
        <v>27.892333984375</v>
      </c>
      <c r="W35" s="29">
        <f t="shared" si="56"/>
        <v>996.2720636124302</v>
      </c>
      <c r="X35" s="25">
        <f t="shared" si="57"/>
        <v>22.33984375</v>
      </c>
      <c r="Y35" s="29">
        <f t="shared" si="58"/>
        <v>997.70246667547633</v>
      </c>
      <c r="Z35" s="29">
        <f t="shared" si="59"/>
        <v>2.27294921875</v>
      </c>
      <c r="AA35" s="29">
        <f t="shared" si="60"/>
        <v>-4.48095703125</v>
      </c>
      <c r="AB35" s="28">
        <f t="shared" si="61"/>
        <v>6.526684661523488E-2</v>
      </c>
      <c r="AC35" s="28">
        <f t="shared" si="62"/>
        <v>3.4304141615428767E-2</v>
      </c>
      <c r="AD35" s="79">
        <f t="shared" si="63"/>
        <v>619.88357489167595</v>
      </c>
      <c r="AE35" s="79">
        <f t="shared" si="64"/>
        <v>642.5830154906364</v>
      </c>
      <c r="AF35" s="79">
        <f t="shared" si="65"/>
        <v>-22.69944059896045</v>
      </c>
      <c r="AG35" s="79">
        <f t="shared" si="66"/>
        <v>103.66188773479394</v>
      </c>
      <c r="AH35" s="79">
        <f t="shared" si="67"/>
        <v>25.454545454545453</v>
      </c>
      <c r="AI35" s="25"/>
      <c r="AJ35" s="79">
        <f t="shared" ref="AJ35:AJ66" si="93">AE35*100/AR35</f>
        <v>26.386662332493</v>
      </c>
      <c r="AK35" s="25"/>
      <c r="AL35" s="79">
        <f t="shared" si="68"/>
        <v>75.636363636363626</v>
      </c>
      <c r="AM35" s="25"/>
      <c r="AN35" s="79">
        <f t="shared" si="69"/>
        <v>5.2046059822394444</v>
      </c>
      <c r="AO35" s="79">
        <f t="shared" si="70"/>
        <v>1515.5547479354909</v>
      </c>
      <c r="AP35" s="26"/>
      <c r="AQ35" s="24">
        <f t="shared" si="71"/>
        <v>0.04</v>
      </c>
      <c r="AR35" s="24">
        <f t="shared" si="72"/>
        <v>2435.2569013601556</v>
      </c>
      <c r="AS35" s="24">
        <f t="shared" si="73"/>
        <v>1222.0561905007326</v>
      </c>
      <c r="AT35" s="24">
        <f t="shared" si="74"/>
        <v>31699.710123196306</v>
      </c>
      <c r="AU35" s="24">
        <f t="shared" si="75"/>
        <v>15102.817142560809</v>
      </c>
      <c r="AV35" s="24">
        <f t="shared" si="76"/>
        <v>8.553721484375E-4</v>
      </c>
      <c r="AW35" s="24">
        <f t="shared" si="77"/>
        <v>8.9228484375000001E-4</v>
      </c>
      <c r="AX35" s="24">
        <f t="shared" si="78"/>
        <v>9.2761556640625004E-4</v>
      </c>
      <c r="AY35" s="24">
        <f t="shared" si="79"/>
        <v>1.00038630859375E-3</v>
      </c>
      <c r="AZ35" s="24">
        <f t="shared" si="80"/>
        <v>3.0000000000000001E-3</v>
      </c>
      <c r="BA35" s="24">
        <f t="shared" si="81"/>
        <v>8.7382849609374995E-4</v>
      </c>
      <c r="BB35" s="24">
        <f t="shared" si="82"/>
        <v>9.6400093749999995E-4</v>
      </c>
      <c r="BC35" s="24">
        <f t="shared" si="83"/>
        <v>3.0000000000000001E-3</v>
      </c>
      <c r="BD35" s="24">
        <f t="shared" ref="BD35:BD66" si="94">(0.023*AT35^0.8)*(BF35^0.333333)</f>
        <v>166.99751155793027</v>
      </c>
      <c r="BE35" s="24">
        <f t="shared" ref="BE35:BE66" si="95">(0.013*AU35^0.867)*(BG35^0.333333)</f>
        <v>103.03222052639089</v>
      </c>
      <c r="BF35" s="24">
        <f t="shared" si="84"/>
        <v>6.0313505859375001</v>
      </c>
      <c r="BG35" s="24">
        <f t="shared" si="85"/>
        <v>6.7198593749999995</v>
      </c>
      <c r="BH35" s="24">
        <f t="shared" si="86"/>
        <v>0.22228554650087634</v>
      </c>
      <c r="BI35" s="24">
        <f t="shared" si="87"/>
        <v>0.42273981977694025</v>
      </c>
      <c r="BJ35" s="24">
        <f t="shared" si="43"/>
        <v>2977.5720631254762</v>
      </c>
      <c r="BK35" s="24">
        <f t="shared" si="44"/>
        <v>3086.6074092997187</v>
      </c>
      <c r="BL35" s="24">
        <f t="shared" si="88"/>
        <v>50.909090909090907</v>
      </c>
      <c r="BM35" s="24">
        <f t="shared" si="89"/>
        <v>100.36363636363636</v>
      </c>
      <c r="BN35" s="24">
        <f t="shared" si="45"/>
        <v>272.72213993085978</v>
      </c>
      <c r="BO35" s="24">
        <f t="shared" si="46"/>
        <v>143.40307461314407</v>
      </c>
      <c r="BP35" s="24">
        <f t="shared" si="47"/>
        <v>143.40307461314407</v>
      </c>
      <c r="BQ35" s="24">
        <f t="shared" si="48"/>
        <v>272.72213993085978</v>
      </c>
      <c r="BR35" s="24">
        <f t="shared" si="49"/>
        <v>0.52582116966924453</v>
      </c>
      <c r="BS35" s="24">
        <f t="shared" si="90"/>
        <v>24.5640869140625</v>
      </c>
      <c r="BT35" s="1">
        <f t="shared" si="91"/>
        <v>0.50181818181818183</v>
      </c>
      <c r="BU35" s="1">
        <f t="shared" si="92"/>
        <v>0.42273981977694025</v>
      </c>
      <c r="BV35" s="1">
        <f t="shared" si="50"/>
        <v>0.31884223002211953</v>
      </c>
    </row>
    <row r="36" spans="1:74" ht="12.75" customHeight="1" x14ac:dyDescent="0.2">
      <c r="A36" s="5">
        <v>1E-3</v>
      </c>
      <c r="B36" s="36" t="s">
        <v>106</v>
      </c>
      <c r="C36" s="34">
        <v>29.02880859375</v>
      </c>
      <c r="D36" s="34">
        <v>26.6259765625</v>
      </c>
      <c r="E36" s="34">
        <v>24.5478515625</v>
      </c>
      <c r="F36" s="34">
        <v>20.1318359375</v>
      </c>
      <c r="G36" s="34">
        <v>132.967529296875</v>
      </c>
      <c r="H36" s="34">
        <v>132.967529296875</v>
      </c>
      <c r="I36" s="34">
        <v>132.967529296875</v>
      </c>
      <c r="J36" s="34">
        <v>132.967529296875</v>
      </c>
      <c r="K36" s="34">
        <v>132.967529296875</v>
      </c>
      <c r="L36" s="34">
        <v>132.967529296875</v>
      </c>
      <c r="M36" s="36">
        <v>60</v>
      </c>
      <c r="N36" s="34">
        <v>3.9306640625</v>
      </c>
      <c r="O36" s="80">
        <v>30</v>
      </c>
      <c r="P36" s="35">
        <v>2.16064453125</v>
      </c>
      <c r="Q36" s="33">
        <v>1</v>
      </c>
      <c r="R36" s="32" t="str">
        <f t="shared" si="52"/>
        <v>Countercurrent</v>
      </c>
      <c r="S36" s="32" t="s">
        <v>71</v>
      </c>
      <c r="T36" s="31">
        <f t="shared" si="53"/>
        <v>4.1785839794136868</v>
      </c>
      <c r="U36" s="31">
        <f t="shared" si="54"/>
        <v>4.1803428933096098</v>
      </c>
      <c r="V36" s="25">
        <f t="shared" si="55"/>
        <v>27.827392578125</v>
      </c>
      <c r="W36" s="29">
        <f t="shared" si="56"/>
        <v>996.29049728154541</v>
      </c>
      <c r="X36" s="25">
        <f t="shared" si="57"/>
        <v>22.33984375</v>
      </c>
      <c r="Y36" s="29">
        <f t="shared" si="58"/>
        <v>997.70246667547633</v>
      </c>
      <c r="Z36" s="29">
        <f t="shared" si="59"/>
        <v>2.40283203125</v>
      </c>
      <c r="AA36" s="29">
        <f t="shared" si="60"/>
        <v>-4.416015625</v>
      </c>
      <c r="AB36" s="28">
        <f t="shared" si="61"/>
        <v>6.5268054224580416E-2</v>
      </c>
      <c r="AC36" s="28">
        <f t="shared" si="62"/>
        <v>3.5928006307283385E-2</v>
      </c>
      <c r="AD36" s="79">
        <f t="shared" si="63"/>
        <v>655.31968414912171</v>
      </c>
      <c r="AE36" s="79">
        <f t="shared" si="64"/>
        <v>663.24750659851634</v>
      </c>
      <c r="AF36" s="79">
        <f t="shared" si="65"/>
        <v>-7.9278224493946254</v>
      </c>
      <c r="AG36" s="79">
        <f t="shared" si="66"/>
        <v>101.20976412599116</v>
      </c>
      <c r="AH36" s="79">
        <f t="shared" si="67"/>
        <v>27.007299270072998</v>
      </c>
      <c r="AI36" s="25"/>
      <c r="AJ36" s="79">
        <f t="shared" si="93"/>
        <v>27.334023888041411</v>
      </c>
      <c r="AK36" s="25"/>
      <c r="AL36" s="79">
        <f t="shared" si="68"/>
        <v>76.642335766423358</v>
      </c>
      <c r="AM36" s="25"/>
      <c r="AN36" s="79">
        <f t="shared" si="69"/>
        <v>5.1541676266831571</v>
      </c>
      <c r="AO36" s="79">
        <f t="shared" si="70"/>
        <v>1598.8511877585593</v>
      </c>
      <c r="AP36" s="26"/>
      <c r="AQ36" s="24">
        <f t="shared" si="71"/>
        <v>0.04</v>
      </c>
      <c r="AR36" s="24">
        <f t="shared" si="72"/>
        <v>2426.453965633234</v>
      </c>
      <c r="AS36" s="24">
        <f t="shared" si="73"/>
        <v>1204.3713114091966</v>
      </c>
      <c r="AT36" s="24">
        <f t="shared" si="74"/>
        <v>31662.082784468879</v>
      </c>
      <c r="AU36" s="24">
        <f t="shared" si="75"/>
        <v>15817.74339782996</v>
      </c>
      <c r="AV36" s="24">
        <f t="shared" si="76"/>
        <v>8.553721484375E-4</v>
      </c>
      <c r="AW36" s="24">
        <f t="shared" si="77"/>
        <v>8.943941406250001E-4</v>
      </c>
      <c r="AX36" s="24">
        <f t="shared" si="78"/>
        <v>9.2814289062500004E-4</v>
      </c>
      <c r="AY36" s="24">
        <f t="shared" si="79"/>
        <v>9.9985898437500009E-4</v>
      </c>
      <c r="AZ36" s="24">
        <f t="shared" si="80"/>
        <v>3.0000000000000001E-3</v>
      </c>
      <c r="BA36" s="24">
        <f t="shared" si="81"/>
        <v>8.7488314453125005E-4</v>
      </c>
      <c r="BB36" s="24">
        <f t="shared" si="82"/>
        <v>9.6400093750000006E-4</v>
      </c>
      <c r="BC36" s="24">
        <f t="shared" si="83"/>
        <v>3.0000000000000001E-3</v>
      </c>
      <c r="BD36" s="24">
        <f t="shared" si="94"/>
        <v>166.91313115151982</v>
      </c>
      <c r="BE36" s="24">
        <f t="shared" si="95"/>
        <v>107.24773001890431</v>
      </c>
      <c r="BF36" s="24">
        <f t="shared" si="84"/>
        <v>6.0394033203125002</v>
      </c>
      <c r="BG36" s="24">
        <f t="shared" si="85"/>
        <v>6.7198593749999995</v>
      </c>
      <c r="BH36" s="24">
        <f t="shared" si="86"/>
        <v>0.23449750954065088</v>
      </c>
      <c r="BI36" s="24">
        <f t="shared" si="87"/>
        <v>0.4258170144296114</v>
      </c>
      <c r="BJ36" s="24">
        <f t="shared" si="43"/>
        <v>3178.5912469965456</v>
      </c>
      <c r="BK36" s="24">
        <f t="shared" si="44"/>
        <v>3217.0447036146047</v>
      </c>
      <c r="BL36" s="24">
        <f t="shared" si="88"/>
        <v>54.014598540145982</v>
      </c>
      <c r="BM36" s="24">
        <f t="shared" si="89"/>
        <v>99.270072992700733</v>
      </c>
      <c r="BN36" s="24">
        <f t="shared" si="45"/>
        <v>272.72804575033553</v>
      </c>
      <c r="BO36" s="24">
        <f t="shared" si="46"/>
        <v>150.19138583743495</v>
      </c>
      <c r="BP36" s="24">
        <f t="shared" si="47"/>
        <v>150.19138583743495</v>
      </c>
      <c r="BQ36" s="24">
        <f t="shared" si="48"/>
        <v>272.72804575033553</v>
      </c>
      <c r="BR36" s="24">
        <f t="shared" si="49"/>
        <v>0.55070018715612845</v>
      </c>
      <c r="BS36" s="24">
        <f t="shared" si="90"/>
        <v>24.580322265625</v>
      </c>
      <c r="BT36" s="1">
        <f t="shared" si="91"/>
        <v>0.49635036496350365</v>
      </c>
      <c r="BU36" s="1">
        <f t="shared" si="92"/>
        <v>0.4258170144296114</v>
      </c>
      <c r="BV36" s="1">
        <f t="shared" si="50"/>
        <v>0.31939334300691424</v>
      </c>
    </row>
    <row r="37" spans="1:74" ht="12.75" customHeight="1" x14ac:dyDescent="0.2">
      <c r="A37" s="5">
        <v>1E-3</v>
      </c>
      <c r="B37" s="36" t="s">
        <v>107</v>
      </c>
      <c r="C37" s="34">
        <v>29.061279296875</v>
      </c>
      <c r="D37" s="34">
        <v>26.658447265625</v>
      </c>
      <c r="E37" s="34">
        <v>24.515380859375</v>
      </c>
      <c r="F37" s="34">
        <v>20.1318359375</v>
      </c>
      <c r="G37" s="34">
        <v>132.967529296875</v>
      </c>
      <c r="H37" s="34">
        <v>132.967529296875</v>
      </c>
      <c r="I37" s="34">
        <v>132.967529296875</v>
      </c>
      <c r="J37" s="34">
        <v>132.967529296875</v>
      </c>
      <c r="K37" s="34">
        <v>132.967529296875</v>
      </c>
      <c r="L37" s="34">
        <v>132.967529296875</v>
      </c>
      <c r="M37" s="36">
        <v>60</v>
      </c>
      <c r="N37" s="34">
        <v>4.00390625</v>
      </c>
      <c r="O37" s="80">
        <v>30</v>
      </c>
      <c r="P37" s="35">
        <v>2.1240234375</v>
      </c>
      <c r="Q37" s="33">
        <v>1</v>
      </c>
      <c r="R37" s="32" t="str">
        <f t="shared" si="52"/>
        <v>Countercurrent</v>
      </c>
      <c r="S37" s="32" t="s">
        <v>71</v>
      </c>
      <c r="T37" s="31">
        <f t="shared" si="53"/>
        <v>4.1785773736595102</v>
      </c>
      <c r="U37" s="31">
        <f t="shared" si="54"/>
        <v>4.1803502654466467</v>
      </c>
      <c r="V37" s="25">
        <f t="shared" si="55"/>
        <v>27.85986328125</v>
      </c>
      <c r="W37" s="29">
        <f t="shared" si="56"/>
        <v>996.28128529802495</v>
      </c>
      <c r="X37" s="25">
        <f t="shared" si="57"/>
        <v>22.3236083984375</v>
      </c>
      <c r="Y37" s="29">
        <f t="shared" si="58"/>
        <v>997.70620002449664</v>
      </c>
      <c r="Z37" s="29">
        <f t="shared" si="59"/>
        <v>2.40283203125</v>
      </c>
      <c r="AA37" s="29">
        <f t="shared" si="60"/>
        <v>-4.383544921875</v>
      </c>
      <c r="AB37" s="28">
        <f t="shared" si="61"/>
        <v>6.6483614416046583E-2</v>
      </c>
      <c r="AC37" s="28">
        <f t="shared" si="62"/>
        <v>3.5319189209851568E-2</v>
      </c>
      <c r="AD37" s="79">
        <f t="shared" si="63"/>
        <v>667.52338250168725</v>
      </c>
      <c r="AE37" s="79">
        <f t="shared" si="64"/>
        <v>647.21542470904433</v>
      </c>
      <c r="AF37" s="79">
        <f t="shared" si="65"/>
        <v>20.307957792642924</v>
      </c>
      <c r="AG37" s="79">
        <f t="shared" si="66"/>
        <v>96.957715890560337</v>
      </c>
      <c r="AH37" s="79">
        <f t="shared" si="67"/>
        <v>26.909090909090907</v>
      </c>
      <c r="AI37" s="25"/>
      <c r="AJ37" s="79">
        <f t="shared" si="93"/>
        <v>26.090439912368961</v>
      </c>
      <c r="AK37" s="25"/>
      <c r="AL37" s="79">
        <f t="shared" si="68"/>
        <v>76</v>
      </c>
      <c r="AM37" s="25"/>
      <c r="AN37" s="79">
        <f t="shared" si="69"/>
        <v>5.2028543788655739</v>
      </c>
      <c r="AO37" s="79">
        <f t="shared" si="70"/>
        <v>1578.9711606156527</v>
      </c>
      <c r="AP37" s="26"/>
      <c r="AQ37" s="24">
        <f t="shared" si="71"/>
        <v>0.04</v>
      </c>
      <c r="AR37" s="24">
        <f t="shared" si="72"/>
        <v>2480.6612187562705</v>
      </c>
      <c r="AS37" s="24">
        <f t="shared" si="73"/>
        <v>1217.7791437530782</v>
      </c>
      <c r="AT37" s="24">
        <f t="shared" si="74"/>
        <v>32271.212316125857</v>
      </c>
      <c r="AU37" s="24">
        <f t="shared" si="75"/>
        <v>15545.452430167616</v>
      </c>
      <c r="AV37" s="24">
        <f t="shared" si="76"/>
        <v>8.5484482421875E-4</v>
      </c>
      <c r="AW37" s="24">
        <f t="shared" si="77"/>
        <v>8.9386681640625E-4</v>
      </c>
      <c r="AX37" s="24">
        <f t="shared" si="78"/>
        <v>9.2867021484375003E-4</v>
      </c>
      <c r="AY37" s="24">
        <f t="shared" si="79"/>
        <v>9.9985898437500009E-4</v>
      </c>
      <c r="AZ37" s="24">
        <f t="shared" si="80"/>
        <v>3.0000000000000001E-3</v>
      </c>
      <c r="BA37" s="24">
        <f t="shared" si="81"/>
        <v>8.7435582031250006E-4</v>
      </c>
      <c r="BB37" s="24">
        <f t="shared" si="82"/>
        <v>9.6426459960937501E-4</v>
      </c>
      <c r="BC37" s="24">
        <f t="shared" si="83"/>
        <v>3.0000000000000001E-3</v>
      </c>
      <c r="BD37" s="24">
        <f t="shared" si="94"/>
        <v>169.4394762494947</v>
      </c>
      <c r="BE37" s="24">
        <f t="shared" si="95"/>
        <v>105.65578628433499</v>
      </c>
      <c r="BF37" s="24">
        <f t="shared" si="84"/>
        <v>6.0353769531249997</v>
      </c>
      <c r="BG37" s="24">
        <f t="shared" si="85"/>
        <v>6.7218725585937502</v>
      </c>
      <c r="BH37" s="24">
        <f t="shared" si="86"/>
        <v>0.22734798993428154</v>
      </c>
      <c r="BI37" s="24">
        <f t="shared" si="87"/>
        <v>0.42777046087956722</v>
      </c>
      <c r="BJ37" s="24">
        <f t="shared" si="43"/>
        <v>3207.4863810008915</v>
      </c>
      <c r="BK37" s="24">
        <f t="shared" si="44"/>
        <v>3109.9055325192603</v>
      </c>
      <c r="BL37" s="24">
        <f t="shared" si="88"/>
        <v>53.81818181818182</v>
      </c>
      <c r="BM37" s="24">
        <f t="shared" si="89"/>
        <v>98.181818181818187</v>
      </c>
      <c r="BN37" s="24">
        <f t="shared" si="45"/>
        <v>277.80692691799544</v>
      </c>
      <c r="BO37" s="24">
        <f t="shared" si="46"/>
        <v>147.64658198876336</v>
      </c>
      <c r="BP37" s="24">
        <f t="shared" si="47"/>
        <v>147.64658198876336</v>
      </c>
      <c r="BQ37" s="24">
        <f t="shared" si="48"/>
        <v>277.80692691799544</v>
      </c>
      <c r="BR37" s="24">
        <f t="shared" si="49"/>
        <v>0.53147192414084943</v>
      </c>
      <c r="BS37" s="24">
        <f t="shared" si="90"/>
        <v>24.5965576171875</v>
      </c>
      <c r="BT37" s="1">
        <f t="shared" si="91"/>
        <v>0.49090909090909091</v>
      </c>
      <c r="BU37" s="1">
        <f t="shared" si="92"/>
        <v>0.42777046087956722</v>
      </c>
      <c r="BV37" s="1">
        <f t="shared" si="50"/>
        <v>0.32141336026522355</v>
      </c>
    </row>
    <row r="38" spans="1:74" ht="12.75" customHeight="1" x14ac:dyDescent="0.2">
      <c r="A38" s="5">
        <v>1E-3</v>
      </c>
      <c r="B38" s="36" t="s">
        <v>108</v>
      </c>
      <c r="C38" s="34">
        <v>29.02880859375</v>
      </c>
      <c r="D38" s="34">
        <v>26.658447265625</v>
      </c>
      <c r="E38" s="34">
        <v>24.5478515625</v>
      </c>
      <c r="F38" s="34">
        <v>20.1318359375</v>
      </c>
      <c r="G38" s="34">
        <v>132.967529296875</v>
      </c>
      <c r="H38" s="34">
        <v>132.967529296875</v>
      </c>
      <c r="I38" s="34">
        <v>132.967529296875</v>
      </c>
      <c r="J38" s="34">
        <v>132.967529296875</v>
      </c>
      <c r="K38" s="34">
        <v>132.967529296875</v>
      </c>
      <c r="L38" s="34">
        <v>132.967529296875</v>
      </c>
      <c r="M38" s="36">
        <v>60</v>
      </c>
      <c r="N38" s="34">
        <v>4.00390625</v>
      </c>
      <c r="O38" s="80">
        <v>30</v>
      </c>
      <c r="P38" s="35">
        <v>2.099609375</v>
      </c>
      <c r="Q38" s="33">
        <v>1</v>
      </c>
      <c r="R38" s="32" t="str">
        <f t="shared" si="52"/>
        <v>Countercurrent</v>
      </c>
      <c r="S38" s="32" t="s">
        <v>71</v>
      </c>
      <c r="T38" s="31">
        <f t="shared" si="53"/>
        <v>4.1785806716453626</v>
      </c>
      <c r="U38" s="31">
        <f t="shared" si="54"/>
        <v>4.1803428933096098</v>
      </c>
      <c r="V38" s="25">
        <f t="shared" si="55"/>
        <v>27.8436279296875</v>
      </c>
      <c r="W38" s="29">
        <f t="shared" si="56"/>
        <v>996.28589250294692</v>
      </c>
      <c r="X38" s="25">
        <f t="shared" si="57"/>
        <v>22.33984375</v>
      </c>
      <c r="Y38" s="29">
        <f t="shared" si="58"/>
        <v>997.70246667547633</v>
      </c>
      <c r="Z38" s="29">
        <f t="shared" si="59"/>
        <v>2.370361328125</v>
      </c>
      <c r="AA38" s="29">
        <f t="shared" si="60"/>
        <v>-4.416015625</v>
      </c>
      <c r="AB38" s="28">
        <f t="shared" si="61"/>
        <v>6.6483921862989626E-2</v>
      </c>
      <c r="AC38" s="28">
        <f t="shared" si="62"/>
        <v>3.491309087487425E-2</v>
      </c>
      <c r="AD38" s="79">
        <f t="shared" si="63"/>
        <v>658.50636116576561</v>
      </c>
      <c r="AE38" s="79">
        <f t="shared" si="64"/>
        <v>644.51170132737195</v>
      </c>
      <c r="AF38" s="79">
        <f t="shared" si="65"/>
        <v>13.994659838393659</v>
      </c>
      <c r="AG38" s="79">
        <f t="shared" si="66"/>
        <v>97.874787448731894</v>
      </c>
      <c r="AH38" s="79">
        <f t="shared" si="67"/>
        <v>26.642335766423354</v>
      </c>
      <c r="AI38" s="25"/>
      <c r="AJ38" s="79">
        <f t="shared" si="93"/>
        <v>26.076129502764335</v>
      </c>
      <c r="AK38" s="25"/>
      <c r="AL38" s="79">
        <f t="shared" si="68"/>
        <v>76.277372262773724</v>
      </c>
      <c r="AM38" s="25"/>
      <c r="AN38" s="79">
        <f t="shared" si="69"/>
        <v>5.1678374212822709</v>
      </c>
      <c r="AO38" s="79">
        <f t="shared" si="70"/>
        <v>1575.6926580165537</v>
      </c>
      <c r="AP38" s="26"/>
      <c r="AQ38" s="24">
        <f t="shared" si="71"/>
        <v>0.04</v>
      </c>
      <c r="AR38" s="24">
        <f t="shared" si="72"/>
        <v>2471.6540131427369</v>
      </c>
      <c r="AS38" s="24">
        <f t="shared" si="73"/>
        <v>1226.8063714869058</v>
      </c>
      <c r="AT38" s="24">
        <f t="shared" si="74"/>
        <v>32261.633051606292</v>
      </c>
      <c r="AU38" s="24">
        <f t="shared" si="75"/>
        <v>15370.91448828674</v>
      </c>
      <c r="AV38" s="24">
        <f t="shared" si="76"/>
        <v>8.553721484375E-4</v>
      </c>
      <c r="AW38" s="24">
        <f t="shared" si="77"/>
        <v>8.9386681640625E-4</v>
      </c>
      <c r="AX38" s="24">
        <f t="shared" si="78"/>
        <v>9.2814289062500004E-4</v>
      </c>
      <c r="AY38" s="24">
        <f t="shared" si="79"/>
        <v>9.9985898437500009E-4</v>
      </c>
      <c r="AZ38" s="24">
        <f t="shared" si="80"/>
        <v>3.0000000000000001E-3</v>
      </c>
      <c r="BA38" s="24">
        <f t="shared" si="81"/>
        <v>8.74619482421875E-4</v>
      </c>
      <c r="BB38" s="24">
        <f t="shared" si="82"/>
        <v>9.6400093750000006E-4</v>
      </c>
      <c r="BC38" s="24">
        <f t="shared" si="83"/>
        <v>3.0000000000000001E-3</v>
      </c>
      <c r="BD38" s="24">
        <f t="shared" si="94"/>
        <v>169.41807147829599</v>
      </c>
      <c r="BE38" s="24">
        <f t="shared" si="95"/>
        <v>104.61608180041114</v>
      </c>
      <c r="BF38" s="24">
        <f t="shared" si="84"/>
        <v>6.0373901367187504</v>
      </c>
      <c r="BG38" s="24">
        <f t="shared" si="85"/>
        <v>6.7198593749999995</v>
      </c>
      <c r="BH38" s="24">
        <f t="shared" si="86"/>
        <v>0.22687470687213171</v>
      </c>
      <c r="BI38" s="24">
        <f t="shared" si="87"/>
        <v>0.43184838280939186</v>
      </c>
      <c r="BJ38" s="24">
        <f t="shared" si="43"/>
        <v>3185.5992530545473</v>
      </c>
      <c r="BK38" s="24">
        <f t="shared" si="44"/>
        <v>3117.8984978955295</v>
      </c>
      <c r="BL38" s="24">
        <f t="shared" si="88"/>
        <v>53.284671532846716</v>
      </c>
      <c r="BM38" s="24">
        <f t="shared" si="89"/>
        <v>99.270072992700733</v>
      </c>
      <c r="BN38" s="24">
        <f t="shared" si="45"/>
        <v>277.80843087186901</v>
      </c>
      <c r="BO38" s="24">
        <f t="shared" si="46"/>
        <v>145.94869132225315</v>
      </c>
      <c r="BP38" s="24">
        <f t="shared" si="47"/>
        <v>145.94869132225315</v>
      </c>
      <c r="BQ38" s="24">
        <f t="shared" si="48"/>
        <v>277.80843087186901</v>
      </c>
      <c r="BR38" s="24">
        <f t="shared" si="49"/>
        <v>0.52535731498216376</v>
      </c>
      <c r="BS38" s="24">
        <f t="shared" si="90"/>
        <v>24.580322265625</v>
      </c>
      <c r="BT38" s="1">
        <f t="shared" si="91"/>
        <v>0.49635036496350365</v>
      </c>
      <c r="BU38" s="1">
        <f t="shared" si="92"/>
        <v>0.43184838280939186</v>
      </c>
      <c r="BV38" s="1">
        <f t="shared" si="50"/>
        <v>0.32400123959956623</v>
      </c>
    </row>
    <row r="39" spans="1:74" ht="12.75" customHeight="1" x14ac:dyDescent="0.2">
      <c r="A39" s="5">
        <v>1E-3</v>
      </c>
      <c r="B39" s="36" t="s">
        <v>109</v>
      </c>
      <c r="C39" s="34">
        <v>28.9638671875</v>
      </c>
      <c r="D39" s="34">
        <v>26.593505859375</v>
      </c>
      <c r="E39" s="34">
        <v>24.515380859375</v>
      </c>
      <c r="F39" s="34">
        <v>20.1318359375</v>
      </c>
      <c r="G39" s="34">
        <v>132.967529296875</v>
      </c>
      <c r="H39" s="34">
        <v>132.967529296875</v>
      </c>
      <c r="I39" s="34">
        <v>132.967529296875</v>
      </c>
      <c r="J39" s="34">
        <v>132.967529296875</v>
      </c>
      <c r="K39" s="34">
        <v>132.967529296875</v>
      </c>
      <c r="L39" s="34">
        <v>132.967529296875</v>
      </c>
      <c r="M39" s="36">
        <v>60</v>
      </c>
      <c r="N39" s="34">
        <v>3.94287109375</v>
      </c>
      <c r="O39" s="80">
        <v>30</v>
      </c>
      <c r="P39" s="35">
        <v>2.18505859375</v>
      </c>
      <c r="Q39" s="33">
        <v>1</v>
      </c>
      <c r="R39" s="32" t="str">
        <f t="shared" si="52"/>
        <v>Countercurrent</v>
      </c>
      <c r="S39" s="32" t="s">
        <v>71</v>
      </c>
      <c r="T39" s="31">
        <f t="shared" si="53"/>
        <v>4.1785939615212797</v>
      </c>
      <c r="U39" s="31">
        <f t="shared" si="54"/>
        <v>4.1803502654466467</v>
      </c>
      <c r="V39" s="25">
        <f t="shared" si="55"/>
        <v>27.7786865234375</v>
      </c>
      <c r="W39" s="29">
        <f t="shared" si="56"/>
        <v>996.30429705134407</v>
      </c>
      <c r="X39" s="25">
        <f t="shared" si="57"/>
        <v>22.3236083984375</v>
      </c>
      <c r="Y39" s="29">
        <f t="shared" si="58"/>
        <v>997.70620002449664</v>
      </c>
      <c r="Z39" s="29">
        <f t="shared" si="59"/>
        <v>2.370361328125</v>
      </c>
      <c r="AA39" s="29">
        <f t="shared" si="60"/>
        <v>-4.383544921875</v>
      </c>
      <c r="AB39" s="28">
        <f t="shared" si="61"/>
        <v>6.5471656890377636E-2</v>
      </c>
      <c r="AC39" s="28">
        <f t="shared" si="62"/>
        <v>3.6334108440019712E-2</v>
      </c>
      <c r="AD39" s="79">
        <f t="shared" si="63"/>
        <v>648.48219617201391</v>
      </c>
      <c r="AE39" s="79">
        <f t="shared" si="64"/>
        <v>665.81356909723524</v>
      </c>
      <c r="AF39" s="79">
        <f t="shared" si="65"/>
        <v>-17.331372925221331</v>
      </c>
      <c r="AG39" s="79">
        <f t="shared" si="66"/>
        <v>102.67260582133609</v>
      </c>
      <c r="AH39" s="79">
        <f t="shared" si="67"/>
        <v>26.838235294117641</v>
      </c>
      <c r="AI39" s="25"/>
      <c r="AJ39" s="79">
        <f t="shared" si="93"/>
        <v>27.555515532932109</v>
      </c>
      <c r="AK39" s="25"/>
      <c r="AL39" s="79">
        <f t="shared" si="68"/>
        <v>76.470588235294116</v>
      </c>
      <c r="AM39" s="25"/>
      <c r="AN39" s="79">
        <f t="shared" si="69"/>
        <v>5.1229627133874036</v>
      </c>
      <c r="AO39" s="79">
        <f t="shared" si="70"/>
        <v>1603.1582860437418</v>
      </c>
      <c r="AP39" s="26"/>
      <c r="AQ39" s="24">
        <f t="shared" si="71"/>
        <v>0.04</v>
      </c>
      <c r="AR39" s="24">
        <f t="shared" si="72"/>
        <v>2416.2624295724358</v>
      </c>
      <c r="AS39" s="24">
        <f t="shared" si="73"/>
        <v>1199.2478970304369</v>
      </c>
      <c r="AT39" s="24">
        <f t="shared" si="74"/>
        <v>31732.162941463062</v>
      </c>
      <c r="AU39" s="24">
        <f t="shared" si="75"/>
        <v>15992.16083333335</v>
      </c>
      <c r="AV39" s="24">
        <f t="shared" si="76"/>
        <v>8.5642679687499999E-4</v>
      </c>
      <c r="AW39" s="24">
        <f t="shared" si="77"/>
        <v>8.9492146484374999E-4</v>
      </c>
      <c r="AX39" s="24">
        <f t="shared" si="78"/>
        <v>9.2867021484375003E-4</v>
      </c>
      <c r="AY39" s="24">
        <f t="shared" si="79"/>
        <v>9.9985898437500009E-4</v>
      </c>
      <c r="AZ39" s="24">
        <f t="shared" si="80"/>
        <v>3.0000000000000001E-3</v>
      </c>
      <c r="BA39" s="24">
        <f t="shared" si="81"/>
        <v>8.7567413085937499E-4</v>
      </c>
      <c r="BB39" s="24">
        <f t="shared" si="82"/>
        <v>9.6426459960937501E-4</v>
      </c>
      <c r="BC39" s="24">
        <f t="shared" si="83"/>
        <v>3.0000000000000001E-3</v>
      </c>
      <c r="BD39" s="24">
        <f t="shared" si="94"/>
        <v>167.26433821437763</v>
      </c>
      <c r="BE39" s="24">
        <f t="shared" si="95"/>
        <v>108.28309636375269</v>
      </c>
      <c r="BF39" s="24">
        <f t="shared" si="84"/>
        <v>6.0454428710937496</v>
      </c>
      <c r="BG39" s="24">
        <f t="shared" si="85"/>
        <v>6.7218725585937502</v>
      </c>
      <c r="BH39" s="24">
        <f t="shared" si="86"/>
        <v>0.23439745464304165</v>
      </c>
      <c r="BI39" s="24">
        <f t="shared" si="87"/>
        <v>0.42219123730249941</v>
      </c>
      <c r="BJ39" s="24">
        <f t="shared" si="43"/>
        <v>3164.5857702486805</v>
      </c>
      <c r="BK39" s="24">
        <f t="shared" si="44"/>
        <v>3249.1626737655201</v>
      </c>
      <c r="BL39" s="24">
        <f t="shared" si="88"/>
        <v>53.676470588235297</v>
      </c>
      <c r="BM39" s="24">
        <f t="shared" si="89"/>
        <v>99.264705882352942</v>
      </c>
      <c r="BN39" s="24">
        <f t="shared" si="45"/>
        <v>273.57947013292505</v>
      </c>
      <c r="BO39" s="24">
        <f t="shared" si="46"/>
        <v>151.88929986200364</v>
      </c>
      <c r="BP39" s="24">
        <f t="shared" si="47"/>
        <v>151.88929986200364</v>
      </c>
      <c r="BQ39" s="24">
        <f t="shared" si="48"/>
        <v>273.57947013292505</v>
      </c>
      <c r="BR39" s="24">
        <f t="shared" si="49"/>
        <v>0.55519260925611358</v>
      </c>
      <c r="BS39" s="24">
        <f t="shared" si="90"/>
        <v>24.5478515625</v>
      </c>
      <c r="BT39" s="1">
        <f t="shared" si="91"/>
        <v>0.49632352941176472</v>
      </c>
      <c r="BU39" s="1">
        <f t="shared" si="92"/>
        <v>0.42219123730249941</v>
      </c>
      <c r="BV39" s="1">
        <f t="shared" si="50"/>
        <v>0.31714336593862791</v>
      </c>
    </row>
    <row r="40" spans="1:74" ht="12.75" customHeight="1" x14ac:dyDescent="0.2">
      <c r="A40" s="5">
        <v>1E-3</v>
      </c>
      <c r="B40" s="36" t="s">
        <v>110</v>
      </c>
      <c r="C40" s="34">
        <v>29.061279296875</v>
      </c>
      <c r="D40" s="34">
        <v>26.658447265625</v>
      </c>
      <c r="E40" s="34">
        <v>24.580322265625</v>
      </c>
      <c r="F40" s="34">
        <v>20.099365234375</v>
      </c>
      <c r="G40" s="34">
        <v>132.967529296875</v>
      </c>
      <c r="H40" s="34">
        <v>132.967529296875</v>
      </c>
      <c r="I40" s="34">
        <v>132.967529296875</v>
      </c>
      <c r="J40" s="34">
        <v>132.967529296875</v>
      </c>
      <c r="K40" s="34">
        <v>132.967529296875</v>
      </c>
      <c r="L40" s="34">
        <v>132.967529296875</v>
      </c>
      <c r="M40" s="36">
        <v>60</v>
      </c>
      <c r="N40" s="34">
        <v>3.89404296875</v>
      </c>
      <c r="O40" s="80">
        <v>30</v>
      </c>
      <c r="P40" s="35">
        <v>2.11181640625</v>
      </c>
      <c r="Q40" s="33">
        <v>1</v>
      </c>
      <c r="R40" s="32" t="str">
        <f t="shared" si="52"/>
        <v>Countercurrent</v>
      </c>
      <c r="S40" s="32" t="s">
        <v>71</v>
      </c>
      <c r="T40" s="31">
        <f t="shared" si="53"/>
        <v>4.1785773736595102</v>
      </c>
      <c r="U40" s="31">
        <f t="shared" si="54"/>
        <v>4.1803428933096098</v>
      </c>
      <c r="V40" s="25">
        <f t="shared" si="55"/>
        <v>27.85986328125</v>
      </c>
      <c r="W40" s="29">
        <f t="shared" si="56"/>
        <v>996.28128529802495</v>
      </c>
      <c r="X40" s="25">
        <f t="shared" si="57"/>
        <v>22.33984375</v>
      </c>
      <c r="Y40" s="29">
        <f t="shared" si="58"/>
        <v>997.70246667547633</v>
      </c>
      <c r="Z40" s="29">
        <f t="shared" si="59"/>
        <v>2.40283203125</v>
      </c>
      <c r="AA40" s="29">
        <f t="shared" si="60"/>
        <v>-4.48095703125</v>
      </c>
      <c r="AB40" s="28">
        <f t="shared" si="61"/>
        <v>6.4659368898533104E-2</v>
      </c>
      <c r="AC40" s="28">
        <f t="shared" si="62"/>
        <v>3.5116073961356083E-2</v>
      </c>
      <c r="AD40" s="79">
        <f t="shared" si="63"/>
        <v>649.2071921281655</v>
      </c>
      <c r="AE40" s="79">
        <f t="shared" si="64"/>
        <v>657.79208094603609</v>
      </c>
      <c r="AF40" s="79">
        <f t="shared" si="65"/>
        <v>-8.584888817870592</v>
      </c>
      <c r="AG40" s="79">
        <f t="shared" si="66"/>
        <v>101.32236502028398</v>
      </c>
      <c r="AH40" s="79">
        <f t="shared" si="67"/>
        <v>26.811594202898551</v>
      </c>
      <c r="AI40" s="25"/>
      <c r="AJ40" s="79">
        <f t="shared" si="93"/>
        <v>27.166141346018168</v>
      </c>
      <c r="AK40" s="25"/>
      <c r="AL40" s="79">
        <f t="shared" si="68"/>
        <v>76.811594202898547</v>
      </c>
      <c r="AM40" s="25"/>
      <c r="AN40" s="79">
        <f t="shared" si="69"/>
        <v>5.1814859468625452</v>
      </c>
      <c r="AO40" s="79">
        <f t="shared" si="70"/>
        <v>1576.4576242314051</v>
      </c>
      <c r="AP40" s="26"/>
      <c r="AQ40" s="24">
        <f t="shared" si="71"/>
        <v>0.04</v>
      </c>
      <c r="AR40" s="24">
        <f t="shared" si="72"/>
        <v>2421.3673652347793</v>
      </c>
      <c r="AS40" s="24">
        <f t="shared" si="73"/>
        <v>1210.6836826173896</v>
      </c>
      <c r="AT40" s="24">
        <f t="shared" si="74"/>
        <v>31385.721734280938</v>
      </c>
      <c r="AU40" s="24">
        <f t="shared" si="75"/>
        <v>15460.280270195386</v>
      </c>
      <c r="AV40" s="24">
        <f t="shared" si="76"/>
        <v>8.5484482421875E-4</v>
      </c>
      <c r="AW40" s="24">
        <f t="shared" si="77"/>
        <v>8.9386681640625E-4</v>
      </c>
      <c r="AX40" s="24">
        <f t="shared" si="78"/>
        <v>9.2761556640625004E-4</v>
      </c>
      <c r="AY40" s="24">
        <f t="shared" si="79"/>
        <v>1.00038630859375E-3</v>
      </c>
      <c r="AZ40" s="24">
        <f t="shared" si="80"/>
        <v>3.0000000000000001E-3</v>
      </c>
      <c r="BA40" s="24">
        <f t="shared" si="81"/>
        <v>8.7435582031250006E-4</v>
      </c>
      <c r="BB40" s="24">
        <f t="shared" si="82"/>
        <v>9.6400093749999995E-4</v>
      </c>
      <c r="BC40" s="24">
        <f t="shared" si="83"/>
        <v>3.0000000000000001E-3</v>
      </c>
      <c r="BD40" s="24">
        <f t="shared" si="94"/>
        <v>165.70975369870061</v>
      </c>
      <c r="BE40" s="24">
        <f t="shared" si="95"/>
        <v>105.14321640333806</v>
      </c>
      <c r="BF40" s="24">
        <f t="shared" si="84"/>
        <v>6.0353769531249997</v>
      </c>
      <c r="BG40" s="24">
        <f t="shared" si="85"/>
        <v>6.7198593749999995</v>
      </c>
      <c r="BH40" s="24">
        <f t="shared" si="86"/>
        <v>0.23339007462281366</v>
      </c>
      <c r="BI40" s="24">
        <f t="shared" si="87"/>
        <v>0.42956059097627869</v>
      </c>
      <c r="BJ40" s="24">
        <f t="shared" si="43"/>
        <v>3132.3407936736207</v>
      </c>
      <c r="BK40" s="24">
        <f t="shared" si="44"/>
        <v>3173.7617726452459</v>
      </c>
      <c r="BL40" s="24">
        <f t="shared" si="88"/>
        <v>53.623188405797102</v>
      </c>
      <c r="BM40" s="24">
        <f t="shared" si="89"/>
        <v>100</v>
      </c>
      <c r="BN40" s="24">
        <f t="shared" si="45"/>
        <v>270.18417587451387</v>
      </c>
      <c r="BO40" s="24">
        <f t="shared" si="46"/>
        <v>146.79723022528952</v>
      </c>
      <c r="BP40" s="24">
        <f t="shared" si="47"/>
        <v>146.79723022528952</v>
      </c>
      <c r="BQ40" s="24">
        <f t="shared" si="48"/>
        <v>270.18417587451387</v>
      </c>
      <c r="BR40" s="24">
        <f t="shared" si="49"/>
        <v>0.54332282692036338</v>
      </c>
      <c r="BS40" s="24">
        <f t="shared" si="90"/>
        <v>24.580322265625</v>
      </c>
      <c r="BT40" s="1">
        <f t="shared" si="91"/>
        <v>0.5</v>
      </c>
      <c r="BU40" s="1">
        <f t="shared" si="92"/>
        <v>0.42956059097627869</v>
      </c>
      <c r="BV40" s="1">
        <f t="shared" si="50"/>
        <v>0.32184533507972207</v>
      </c>
    </row>
    <row r="41" spans="1:74" ht="12.75" customHeight="1" x14ac:dyDescent="0.2">
      <c r="A41" s="5">
        <v>1E-3</v>
      </c>
      <c r="B41" s="36" t="s">
        <v>111</v>
      </c>
      <c r="C41" s="34">
        <v>29.15869140625</v>
      </c>
      <c r="D41" s="34">
        <v>26.69091796875</v>
      </c>
      <c r="E41" s="34">
        <v>24.580322265625</v>
      </c>
      <c r="F41" s="34">
        <v>20.1318359375</v>
      </c>
      <c r="G41" s="34">
        <v>132.967529296875</v>
      </c>
      <c r="H41" s="34">
        <v>132.967529296875</v>
      </c>
      <c r="I41" s="34">
        <v>132.967529296875</v>
      </c>
      <c r="J41" s="34">
        <v>132.967529296875</v>
      </c>
      <c r="K41" s="34">
        <v>132.967529296875</v>
      </c>
      <c r="L41" s="34">
        <v>132.967529296875</v>
      </c>
      <c r="M41" s="36">
        <v>60</v>
      </c>
      <c r="N41" s="34">
        <v>3.90625</v>
      </c>
      <c r="O41" s="80">
        <v>30</v>
      </c>
      <c r="P41" s="35">
        <v>2.1240234375</v>
      </c>
      <c r="Q41" s="33">
        <v>1</v>
      </c>
      <c r="R41" s="32" t="str">
        <f t="shared" si="52"/>
        <v>Countercurrent</v>
      </c>
      <c r="S41" s="32" t="s">
        <v>71</v>
      </c>
      <c r="T41" s="31">
        <f t="shared" si="53"/>
        <v>4.1785642793260216</v>
      </c>
      <c r="U41" s="31">
        <f t="shared" si="54"/>
        <v>4.1803355357699541</v>
      </c>
      <c r="V41" s="25">
        <f t="shared" si="55"/>
        <v>27.9248046875</v>
      </c>
      <c r="W41" s="29">
        <f t="shared" si="56"/>
        <v>996.26283223119651</v>
      </c>
      <c r="X41" s="25">
        <f t="shared" si="57"/>
        <v>22.3560791015625</v>
      </c>
      <c r="Y41" s="29">
        <f t="shared" si="58"/>
        <v>997.69873060512339</v>
      </c>
      <c r="Z41" s="29">
        <f t="shared" si="59"/>
        <v>2.4677734375</v>
      </c>
      <c r="AA41" s="29">
        <f t="shared" si="60"/>
        <v>-4.448486328125</v>
      </c>
      <c r="AB41" s="28">
        <f t="shared" si="61"/>
        <v>6.4860861473385184E-2</v>
      </c>
      <c r="AC41" s="28">
        <f t="shared" si="62"/>
        <v>3.5318924789488011E-2</v>
      </c>
      <c r="AD41" s="79">
        <f t="shared" si="63"/>
        <v>668.82898410862765</v>
      </c>
      <c r="AE41" s="79">
        <f t="shared" si="64"/>
        <v>656.79656988497754</v>
      </c>
      <c r="AF41" s="79">
        <f t="shared" si="65"/>
        <v>12.032414223650107</v>
      </c>
      <c r="AG41" s="79">
        <f t="shared" si="66"/>
        <v>98.200972967748072</v>
      </c>
      <c r="AH41" s="79">
        <f t="shared" si="67"/>
        <v>27.338129496402878</v>
      </c>
      <c r="AI41" s="25"/>
      <c r="AJ41" s="79">
        <f t="shared" si="93"/>
        <v>26.846309156650555</v>
      </c>
      <c r="AK41" s="25"/>
      <c r="AL41" s="79">
        <f t="shared" si="68"/>
        <v>76.618705035971232</v>
      </c>
      <c r="AM41" s="25"/>
      <c r="AN41" s="79">
        <f t="shared" si="69"/>
        <v>5.2340372290529311</v>
      </c>
      <c r="AO41" s="79">
        <f t="shared" si="70"/>
        <v>1582.8082133169312</v>
      </c>
      <c r="AP41" s="26"/>
      <c r="AQ41" s="24">
        <f t="shared" si="71"/>
        <v>0.04</v>
      </c>
      <c r="AR41" s="24">
        <f t="shared" si="72"/>
        <v>2446.5060208184009</v>
      </c>
      <c r="AS41" s="24">
        <f t="shared" si="73"/>
        <v>1205.6522476694997</v>
      </c>
      <c r="AT41" s="24">
        <f t="shared" si="74"/>
        <v>31521.547736769393</v>
      </c>
      <c r="AU41" s="24">
        <f t="shared" si="75"/>
        <v>15553.841926222753</v>
      </c>
      <c r="AV41" s="24">
        <f t="shared" si="76"/>
        <v>8.5326285156250002E-4</v>
      </c>
      <c r="AW41" s="24">
        <f t="shared" si="77"/>
        <v>8.933394921875E-4</v>
      </c>
      <c r="AX41" s="24">
        <f t="shared" si="78"/>
        <v>9.2761556640625004E-4</v>
      </c>
      <c r="AY41" s="24">
        <f t="shared" si="79"/>
        <v>9.9985898437500009E-4</v>
      </c>
      <c r="AZ41" s="24">
        <f t="shared" si="80"/>
        <v>3.0000000000000001E-3</v>
      </c>
      <c r="BA41" s="24">
        <f t="shared" si="81"/>
        <v>8.7330117187500006E-4</v>
      </c>
      <c r="BB41" s="24">
        <f t="shared" si="82"/>
        <v>9.6373727539062512E-4</v>
      </c>
      <c r="BC41" s="24">
        <f t="shared" si="83"/>
        <v>3.0000000000000001E-3</v>
      </c>
      <c r="BD41" s="24">
        <f t="shared" si="94"/>
        <v>166.20922354309559</v>
      </c>
      <c r="BE41" s="24">
        <f t="shared" si="95"/>
        <v>105.68411086633213</v>
      </c>
      <c r="BF41" s="24">
        <f t="shared" si="84"/>
        <v>6.0273242187499996</v>
      </c>
      <c r="BG41" s="24">
        <f t="shared" si="85"/>
        <v>6.7178461914062497</v>
      </c>
      <c r="BH41" s="24">
        <f t="shared" si="86"/>
        <v>0.23360303804333712</v>
      </c>
      <c r="BI41" s="24">
        <f t="shared" si="87"/>
        <v>0.42881470579040387</v>
      </c>
      <c r="BJ41" s="24">
        <f t="shared" si="43"/>
        <v>3194.6132346752929</v>
      </c>
      <c r="BK41" s="24">
        <f t="shared" si="44"/>
        <v>3137.1412790075869</v>
      </c>
      <c r="BL41" s="24">
        <f t="shared" si="88"/>
        <v>54.676258992805757</v>
      </c>
      <c r="BM41" s="24">
        <f t="shared" si="89"/>
        <v>98.561151079136692</v>
      </c>
      <c r="BN41" s="24">
        <f t="shared" si="45"/>
        <v>271.02527887900067</v>
      </c>
      <c r="BO41" s="24">
        <f t="shared" si="46"/>
        <v>147.64495638268306</v>
      </c>
      <c r="BP41" s="24">
        <f t="shared" si="47"/>
        <v>147.64495638268306</v>
      </c>
      <c r="BQ41" s="24">
        <f t="shared" si="48"/>
        <v>271.02527887900067</v>
      </c>
      <c r="BR41" s="24">
        <f t="shared" si="49"/>
        <v>0.54476452157290911</v>
      </c>
      <c r="BS41" s="24">
        <f t="shared" si="90"/>
        <v>24.645263671875</v>
      </c>
      <c r="BT41" s="1">
        <f t="shared" si="91"/>
        <v>0.49280575539568344</v>
      </c>
      <c r="BU41" s="1">
        <f t="shared" si="92"/>
        <v>0.42881470579040387</v>
      </c>
      <c r="BV41" s="1">
        <f t="shared" si="50"/>
        <v>0.32135816310825971</v>
      </c>
    </row>
    <row r="42" spans="1:74" ht="12.75" customHeight="1" x14ac:dyDescent="0.2">
      <c r="A42" s="5">
        <v>1E-3</v>
      </c>
      <c r="B42" s="75" t="s">
        <v>112</v>
      </c>
      <c r="C42" s="73">
        <v>45.19921875</v>
      </c>
      <c r="D42" s="73">
        <v>35.100830078125</v>
      </c>
      <c r="E42" s="73">
        <v>32.438232421875</v>
      </c>
      <c r="F42" s="73">
        <v>20.19677734375</v>
      </c>
      <c r="G42" s="73">
        <v>132.967529296875</v>
      </c>
      <c r="H42" s="73">
        <v>132.967529296875</v>
      </c>
      <c r="I42" s="73">
        <v>132.967529296875</v>
      </c>
      <c r="J42" s="73">
        <v>132.967529296875</v>
      </c>
      <c r="K42" s="73">
        <v>132.967529296875</v>
      </c>
      <c r="L42" s="73">
        <v>132.967529296875</v>
      </c>
      <c r="M42" s="75">
        <v>30</v>
      </c>
      <c r="N42" s="73">
        <v>1.806640625</v>
      </c>
      <c r="O42" s="86">
        <v>30</v>
      </c>
      <c r="P42" s="74">
        <v>1.40380859375</v>
      </c>
      <c r="Q42" s="72">
        <v>1</v>
      </c>
      <c r="R42" s="71" t="str">
        <f t="shared" si="52"/>
        <v>Countercurrent</v>
      </c>
      <c r="S42" s="71" t="s">
        <v>113</v>
      </c>
      <c r="T42" s="70">
        <f t="shared" si="53"/>
        <v>4.1783056995574679</v>
      </c>
      <c r="U42" s="70">
        <f t="shared" si="54"/>
        <v>4.1789359093118525</v>
      </c>
      <c r="V42" s="18">
        <f t="shared" si="55"/>
        <v>40.1500244140625</v>
      </c>
      <c r="W42" s="68">
        <f t="shared" si="56"/>
        <v>992.15068056554844</v>
      </c>
      <c r="X42" s="18">
        <f t="shared" si="57"/>
        <v>26.3175048828125</v>
      </c>
      <c r="Y42" s="68">
        <f t="shared" si="58"/>
        <v>996.70802353159843</v>
      </c>
      <c r="Z42" s="68">
        <f t="shared" si="59"/>
        <v>10.098388671875</v>
      </c>
      <c r="AA42" s="68">
        <f t="shared" si="60"/>
        <v>-12.241455078125</v>
      </c>
      <c r="AB42" s="67">
        <f t="shared" si="61"/>
        <v>2.9874328760518629E-2</v>
      </c>
      <c r="AC42" s="67">
        <f t="shared" si="62"/>
        <v>2.3319788148220583E-2</v>
      </c>
      <c r="AD42" s="85">
        <f t="shared" si="63"/>
        <v>1260.5220565705697</v>
      </c>
      <c r="AE42" s="85">
        <f t="shared" si="64"/>
        <v>1192.9530572314227</v>
      </c>
      <c r="AF42" s="85">
        <f t="shared" si="65"/>
        <v>67.568999339147013</v>
      </c>
      <c r="AG42" s="85">
        <f t="shared" si="66"/>
        <v>94.6396019818187</v>
      </c>
      <c r="AH42" s="85">
        <f t="shared" si="67"/>
        <v>40.38961038961039</v>
      </c>
      <c r="AI42" s="18"/>
      <c r="AJ42" s="85">
        <f t="shared" si="93"/>
        <v>38.224566514734562</v>
      </c>
      <c r="AK42" s="18"/>
      <c r="AL42" s="85">
        <f t="shared" si="68"/>
        <v>89.350649350649348</v>
      </c>
      <c r="AM42" s="18"/>
      <c r="AN42" s="85">
        <f t="shared" si="69"/>
        <v>13.114566097129396</v>
      </c>
      <c r="AO42" s="85">
        <f t="shared" si="70"/>
        <v>1168.364167220049</v>
      </c>
      <c r="AP42" s="66"/>
      <c r="AQ42" s="17">
        <f t="shared" si="71"/>
        <v>0.04</v>
      </c>
      <c r="AR42" s="17">
        <f t="shared" si="72"/>
        <v>3120.9066995477128</v>
      </c>
      <c r="AS42" s="17">
        <f t="shared" si="73"/>
        <v>1528.0283451032308</v>
      </c>
      <c r="AT42" s="17">
        <f t="shared" si="74"/>
        <v>18790.371695673181</v>
      </c>
      <c r="AU42" s="17">
        <f t="shared" si="75"/>
        <v>11004.207847820486</v>
      </c>
      <c r="AV42" s="17">
        <f t="shared" si="76"/>
        <v>5.9276468749999993E-4</v>
      </c>
      <c r="AW42" s="17">
        <f t="shared" si="77"/>
        <v>7.5676251953125007E-4</v>
      </c>
      <c r="AX42" s="17">
        <f t="shared" si="78"/>
        <v>8.0000310546875003E-4</v>
      </c>
      <c r="AY42" s="17">
        <f t="shared" si="79"/>
        <v>9.9880433593750009E-4</v>
      </c>
      <c r="AZ42" s="17">
        <f t="shared" si="80"/>
        <v>3.0000000000000001E-3</v>
      </c>
      <c r="BA42" s="17">
        <f t="shared" si="81"/>
        <v>6.7476360351562494E-4</v>
      </c>
      <c r="BB42" s="17">
        <f t="shared" si="82"/>
        <v>8.9940372070312501E-4</v>
      </c>
      <c r="BC42" s="17">
        <f t="shared" si="83"/>
        <v>3.0000000000000001E-3</v>
      </c>
      <c r="BD42" s="17">
        <f t="shared" si="94"/>
        <v>99.765319104858435</v>
      </c>
      <c r="BE42" s="17">
        <f t="shared" si="95"/>
        <v>76.335325146383852</v>
      </c>
      <c r="BF42" s="17">
        <f t="shared" si="84"/>
        <v>4.5113969726562502</v>
      </c>
      <c r="BG42" s="17">
        <f t="shared" si="85"/>
        <v>6.2266293945312503</v>
      </c>
      <c r="BH42" s="17">
        <f t="shared" si="86"/>
        <v>0.3744034595627585</v>
      </c>
      <c r="BI42" s="17">
        <f t="shared" si="87"/>
        <v>0.47956547430652496</v>
      </c>
      <c r="BJ42" s="17">
        <f t="shared" si="43"/>
        <v>2402.9046162009149</v>
      </c>
      <c r="BK42" s="17">
        <f t="shared" si="44"/>
        <v>2274.0993647752939</v>
      </c>
      <c r="BL42" s="17">
        <f t="shared" si="88"/>
        <v>80.779220779220779</v>
      </c>
      <c r="BM42" s="17">
        <f t="shared" si="89"/>
        <v>97.922077922077918</v>
      </c>
      <c r="BN42" s="17">
        <f t="shared" si="45"/>
        <v>124.82407813052858</v>
      </c>
      <c r="BO42" s="17">
        <f t="shared" si="46"/>
        <v>97.451900090143937</v>
      </c>
      <c r="BP42" s="17">
        <f t="shared" si="47"/>
        <v>97.451900090143937</v>
      </c>
      <c r="BQ42" s="17">
        <f t="shared" si="48"/>
        <v>124.82407813052858</v>
      </c>
      <c r="BR42" s="17">
        <f t="shared" si="49"/>
        <v>0.78071395799325238</v>
      </c>
      <c r="BS42" s="17">
        <f t="shared" si="90"/>
        <v>32.697998046875</v>
      </c>
      <c r="BT42" s="1">
        <f t="shared" si="91"/>
        <v>0.48961038961038961</v>
      </c>
      <c r="BU42" s="1">
        <f t="shared" si="92"/>
        <v>0.47956547430652496</v>
      </c>
      <c r="BV42" s="1">
        <f t="shared" si="50"/>
        <v>0.33585229915504605</v>
      </c>
    </row>
    <row r="43" spans="1:74" ht="12.75" customHeight="1" x14ac:dyDescent="0.2">
      <c r="A43" s="5">
        <v>1E-3</v>
      </c>
      <c r="B43" s="75" t="s">
        <v>114</v>
      </c>
      <c r="C43" s="73">
        <v>45.13427734375</v>
      </c>
      <c r="D43" s="73">
        <v>35.1982421875</v>
      </c>
      <c r="E43" s="73">
        <v>32.568115234375</v>
      </c>
      <c r="F43" s="73">
        <v>20.19677734375</v>
      </c>
      <c r="G43" s="73">
        <v>132.967529296875</v>
      </c>
      <c r="H43" s="73">
        <v>132.967529296875</v>
      </c>
      <c r="I43" s="73">
        <v>132.967529296875</v>
      </c>
      <c r="J43" s="73">
        <v>132.967529296875</v>
      </c>
      <c r="K43" s="73">
        <v>132.967529296875</v>
      </c>
      <c r="L43" s="73">
        <v>132.967529296875</v>
      </c>
      <c r="M43" s="75">
        <v>30</v>
      </c>
      <c r="N43" s="73">
        <v>1.69677734375</v>
      </c>
      <c r="O43" s="86">
        <v>30</v>
      </c>
      <c r="P43" s="74">
        <v>1.4404296875</v>
      </c>
      <c r="Q43" s="72">
        <v>1</v>
      </c>
      <c r="R43" s="71" t="str">
        <f t="shared" si="52"/>
        <v>Countercurrent</v>
      </c>
      <c r="S43" s="71" t="s">
        <v>113</v>
      </c>
      <c r="T43" s="70">
        <f t="shared" si="53"/>
        <v>4.1783077238827362</v>
      </c>
      <c r="U43" s="70">
        <f t="shared" si="54"/>
        <v>4.1789189062386143</v>
      </c>
      <c r="V43" s="18">
        <f t="shared" si="55"/>
        <v>40.166259765625</v>
      </c>
      <c r="W43" s="68">
        <f t="shared" si="56"/>
        <v>992.14443792615975</v>
      </c>
      <c r="X43" s="18">
        <f t="shared" si="57"/>
        <v>26.3824462890625</v>
      </c>
      <c r="Y43" s="68">
        <f t="shared" si="58"/>
        <v>996.69050628288039</v>
      </c>
      <c r="Z43" s="68">
        <f t="shared" si="59"/>
        <v>9.93603515625</v>
      </c>
      <c r="AA43" s="68">
        <f t="shared" si="60"/>
        <v>-12.371337890625</v>
      </c>
      <c r="AB43" s="67">
        <f t="shared" si="61"/>
        <v>2.8057470066678102E-2</v>
      </c>
      <c r="AC43" s="67">
        <f t="shared" si="62"/>
        <v>2.3927709908321101E-2</v>
      </c>
      <c r="AD43" s="85">
        <f t="shared" si="63"/>
        <v>1164.8286647766488</v>
      </c>
      <c r="AE43" s="85">
        <f t="shared" si="64"/>
        <v>1237.0343150794452</v>
      </c>
      <c r="AF43" s="85">
        <f t="shared" si="65"/>
        <v>-72.205650302796357</v>
      </c>
      <c r="AG43" s="85">
        <f t="shared" si="66"/>
        <v>106.19882155086228</v>
      </c>
      <c r="AH43" s="85">
        <f t="shared" si="67"/>
        <v>39.843749999999993</v>
      </c>
      <c r="AI43" s="18"/>
      <c r="AJ43" s="85">
        <f t="shared" si="93"/>
        <v>42.313592961671688</v>
      </c>
      <c r="AK43" s="18"/>
      <c r="AL43" s="85">
        <f t="shared" si="68"/>
        <v>89.453125</v>
      </c>
      <c r="AM43" s="18"/>
      <c r="AN43" s="85">
        <f t="shared" si="69"/>
        <v>13.060488940955487</v>
      </c>
      <c r="AO43" s="85">
        <f t="shared" si="70"/>
        <v>1148.3549347915673</v>
      </c>
      <c r="AP43" s="66"/>
      <c r="AQ43" s="17">
        <f t="shared" si="71"/>
        <v>0.04</v>
      </c>
      <c r="AR43" s="17">
        <f t="shared" si="72"/>
        <v>2923.4915508119816</v>
      </c>
      <c r="AS43" s="17">
        <f t="shared" si="73"/>
        <v>1450.3258865356315</v>
      </c>
      <c r="AT43" s="17">
        <f t="shared" si="74"/>
        <v>17654.501367654066</v>
      </c>
      <c r="AU43" s="17">
        <f t="shared" si="75"/>
        <v>11304.331248947463</v>
      </c>
      <c r="AV43" s="17">
        <f t="shared" si="76"/>
        <v>5.9381933593750003E-4</v>
      </c>
      <c r="AW43" s="17">
        <f t="shared" si="77"/>
        <v>7.5518054687499997E-4</v>
      </c>
      <c r="AX43" s="17">
        <f t="shared" si="78"/>
        <v>7.9789380859375005E-4</v>
      </c>
      <c r="AY43" s="17">
        <f t="shared" si="79"/>
        <v>9.9880433593750009E-4</v>
      </c>
      <c r="AZ43" s="17">
        <f t="shared" si="80"/>
        <v>3.0000000000000001E-3</v>
      </c>
      <c r="BA43" s="17">
        <f t="shared" si="81"/>
        <v>6.7449994140625E-4</v>
      </c>
      <c r="BB43" s="17">
        <f t="shared" si="82"/>
        <v>8.9834907226562502E-4</v>
      </c>
      <c r="BC43" s="17">
        <f t="shared" si="83"/>
        <v>3.0000000000000001E-3</v>
      </c>
      <c r="BD43" s="17">
        <f t="shared" si="94"/>
        <v>94.896686639900253</v>
      </c>
      <c r="BE43" s="17">
        <f t="shared" si="95"/>
        <v>78.103421329099888</v>
      </c>
      <c r="BF43" s="17">
        <f t="shared" si="84"/>
        <v>4.5093837890625004</v>
      </c>
      <c r="BG43" s="17">
        <f t="shared" si="85"/>
        <v>6.2185766601562502</v>
      </c>
      <c r="BH43" s="17">
        <f t="shared" si="86"/>
        <v>0.39182054319138954</v>
      </c>
      <c r="BI43" s="17">
        <f t="shared" si="87"/>
        <v>0.45937891111001988</v>
      </c>
      <c r="BJ43" s="17">
        <f t="shared" si="43"/>
        <v>2229.6804316489693</v>
      </c>
      <c r="BK43" s="17">
        <f t="shared" si="44"/>
        <v>2367.8943427613849</v>
      </c>
      <c r="BL43" s="17">
        <f t="shared" si="88"/>
        <v>79.6875</v>
      </c>
      <c r="BM43" s="17">
        <f t="shared" si="89"/>
        <v>99.21875</v>
      </c>
      <c r="BN43" s="17">
        <f t="shared" si="45"/>
        <v>117.23274389220978</v>
      </c>
      <c r="BO43" s="17">
        <f t="shared" si="46"/>
        <v>99.99195931887607</v>
      </c>
      <c r="BP43" s="17">
        <f t="shared" si="47"/>
        <v>99.99195931887607</v>
      </c>
      <c r="BQ43" s="17">
        <f t="shared" si="48"/>
        <v>117.23274389220978</v>
      </c>
      <c r="BR43" s="17">
        <f t="shared" si="49"/>
        <v>0.85293541718015375</v>
      </c>
      <c r="BS43" s="17">
        <f t="shared" si="90"/>
        <v>32.66552734375</v>
      </c>
      <c r="BT43" s="1">
        <f t="shared" si="91"/>
        <v>0.49609375</v>
      </c>
      <c r="BU43" s="1">
        <f t="shared" si="92"/>
        <v>0.45937891111001988</v>
      </c>
      <c r="BV43" s="1">
        <f t="shared" si="50"/>
        <v>0.32214960754858007</v>
      </c>
    </row>
    <row r="44" spans="1:74" ht="12.75" customHeight="1" x14ac:dyDescent="0.2">
      <c r="A44" s="5">
        <v>1E-3</v>
      </c>
      <c r="B44" s="75" t="s">
        <v>115</v>
      </c>
      <c r="C44" s="73">
        <v>44.906982421875</v>
      </c>
      <c r="D44" s="73">
        <v>35.13330078125</v>
      </c>
      <c r="E44" s="73">
        <v>32.53564453125</v>
      </c>
      <c r="F44" s="73">
        <v>20.19677734375</v>
      </c>
      <c r="G44" s="73">
        <v>132.967529296875</v>
      </c>
      <c r="H44" s="73">
        <v>132.967529296875</v>
      </c>
      <c r="I44" s="73">
        <v>132.967529296875</v>
      </c>
      <c r="J44" s="73">
        <v>132.967529296875</v>
      </c>
      <c r="K44" s="73">
        <v>132.967529296875</v>
      </c>
      <c r="L44" s="73">
        <v>132.967529296875</v>
      </c>
      <c r="M44" s="75">
        <v>30</v>
      </c>
      <c r="N44" s="73">
        <v>1.77001953125</v>
      </c>
      <c r="O44" s="86">
        <v>30</v>
      </c>
      <c r="P44" s="74">
        <v>1.4404296875</v>
      </c>
      <c r="Q44" s="72">
        <v>1</v>
      </c>
      <c r="R44" s="71" t="str">
        <f t="shared" si="52"/>
        <v>Countercurrent</v>
      </c>
      <c r="S44" s="71" t="s">
        <v>113</v>
      </c>
      <c r="T44" s="70">
        <f t="shared" si="53"/>
        <v>4.1782896946435431</v>
      </c>
      <c r="U44" s="70">
        <f t="shared" si="54"/>
        <v>4.178923140738064</v>
      </c>
      <c r="V44" s="18">
        <f t="shared" si="55"/>
        <v>40.0201416015625</v>
      </c>
      <c r="W44" s="68">
        <f t="shared" si="56"/>
        <v>992.20055229387538</v>
      </c>
      <c r="X44" s="18">
        <f t="shared" si="57"/>
        <v>26.3662109375</v>
      </c>
      <c r="Y44" s="68">
        <f t="shared" si="58"/>
        <v>996.6948893476781</v>
      </c>
      <c r="Z44" s="68">
        <f t="shared" si="59"/>
        <v>9.773681640625</v>
      </c>
      <c r="AA44" s="68">
        <f t="shared" si="60"/>
        <v>-12.3388671875</v>
      </c>
      <c r="AB44" s="67">
        <f t="shared" si="61"/>
        <v>2.9270239274619938E-2</v>
      </c>
      <c r="AC44" s="67">
        <f t="shared" si="62"/>
        <v>2.3927815133265383E-2</v>
      </c>
      <c r="AD44" s="85">
        <f t="shared" si="63"/>
        <v>1195.316760162792</v>
      </c>
      <c r="AE44" s="85">
        <f t="shared" si="64"/>
        <v>1233.7941817831588</v>
      </c>
      <c r="AF44" s="85">
        <f t="shared" si="65"/>
        <v>-38.47742162036684</v>
      </c>
      <c r="AG44" s="85">
        <f t="shared" si="66"/>
        <v>103.21901464973406</v>
      </c>
      <c r="AH44" s="85">
        <f t="shared" si="67"/>
        <v>39.553219448094609</v>
      </c>
      <c r="AI44" s="18"/>
      <c r="AJ44" s="85">
        <f t="shared" si="93"/>
        <v>40.826443376570232</v>
      </c>
      <c r="AK44" s="18"/>
      <c r="AL44" s="85">
        <f t="shared" si="68"/>
        <v>89.487516425755587</v>
      </c>
      <c r="AM44" s="18"/>
      <c r="AN44" s="85">
        <f t="shared" si="69"/>
        <v>12.932991506314838</v>
      </c>
      <c r="AO44" s="85">
        <f t="shared" si="70"/>
        <v>1173.5980871003246</v>
      </c>
      <c r="AP44" s="66"/>
      <c r="AQ44" s="17">
        <f t="shared" si="71"/>
        <v>0.04</v>
      </c>
      <c r="AR44" s="17">
        <f t="shared" si="72"/>
        <v>3022.0466926374911</v>
      </c>
      <c r="AS44" s="17">
        <f t="shared" si="73"/>
        <v>1509.0377703051861</v>
      </c>
      <c r="AT44" s="17">
        <f t="shared" si="74"/>
        <v>18353.039941372994</v>
      </c>
      <c r="AU44" s="17">
        <f t="shared" si="75"/>
        <v>11301.064140819031</v>
      </c>
      <c r="AV44" s="17">
        <f t="shared" si="76"/>
        <v>5.9751060546874989E-4</v>
      </c>
      <c r="AW44" s="17">
        <f t="shared" si="77"/>
        <v>7.5623519531249996E-4</v>
      </c>
      <c r="AX44" s="17">
        <f t="shared" si="78"/>
        <v>7.9842113281250004E-4</v>
      </c>
      <c r="AY44" s="17">
        <f t="shared" si="79"/>
        <v>9.9880433593750009E-4</v>
      </c>
      <c r="AZ44" s="17">
        <f t="shared" si="80"/>
        <v>3.0000000000000001E-3</v>
      </c>
      <c r="BA44" s="17">
        <f t="shared" si="81"/>
        <v>6.7687290039062493E-4</v>
      </c>
      <c r="BB44" s="17">
        <f t="shared" si="82"/>
        <v>8.9861273437500007E-4</v>
      </c>
      <c r="BC44" s="17">
        <f t="shared" si="83"/>
        <v>3.0000000000000001E-3</v>
      </c>
      <c r="BD44" s="17">
        <f t="shared" si="94"/>
        <v>98.019749793865259</v>
      </c>
      <c r="BE44" s="17">
        <f t="shared" si="95"/>
        <v>78.092275482428875</v>
      </c>
      <c r="BF44" s="17">
        <f t="shared" si="84"/>
        <v>4.5275024414062504</v>
      </c>
      <c r="BG44" s="17">
        <f t="shared" si="85"/>
        <v>6.22058984375</v>
      </c>
      <c r="BH44" s="17">
        <f t="shared" si="86"/>
        <v>0.38384382984148546</v>
      </c>
      <c r="BI44" s="17">
        <f t="shared" si="87"/>
        <v>0.46947444369712538</v>
      </c>
      <c r="BJ44" s="17">
        <f t="shared" si="43"/>
        <v>2310.5960434195567</v>
      </c>
      <c r="BK44" s="17">
        <f t="shared" si="44"/>
        <v>2384.9744685534079</v>
      </c>
      <c r="BL44" s="17">
        <f t="shared" si="88"/>
        <v>79.106438896189218</v>
      </c>
      <c r="BM44" s="17">
        <f t="shared" si="89"/>
        <v>99.868593955321941</v>
      </c>
      <c r="BN44" s="17">
        <f t="shared" si="45"/>
        <v>122.29953912089518</v>
      </c>
      <c r="BO44" s="17">
        <f t="shared" si="46"/>
        <v>99.992500367705162</v>
      </c>
      <c r="BP44" s="17">
        <f t="shared" si="47"/>
        <v>99.992500367705162</v>
      </c>
      <c r="BQ44" s="17">
        <f t="shared" si="48"/>
        <v>122.29953912089518</v>
      </c>
      <c r="BR44" s="17">
        <f t="shared" si="49"/>
        <v>0.81760324762026182</v>
      </c>
      <c r="BS44" s="17">
        <f t="shared" si="90"/>
        <v>32.5518798828125</v>
      </c>
      <c r="BT44" s="1">
        <f t="shared" si="91"/>
        <v>0.49934296977660975</v>
      </c>
      <c r="BU44" s="1">
        <f t="shared" si="92"/>
        <v>0.46947444369712538</v>
      </c>
      <c r="BV44" s="1">
        <f t="shared" si="50"/>
        <v>0.32893174155297794</v>
      </c>
    </row>
    <row r="45" spans="1:74" ht="12.75" customHeight="1" x14ac:dyDescent="0.2">
      <c r="A45" s="5">
        <v>1E-3</v>
      </c>
      <c r="B45" s="75" t="s">
        <v>116</v>
      </c>
      <c r="C45" s="73">
        <v>44.6796875</v>
      </c>
      <c r="D45" s="73">
        <v>35.035888671875</v>
      </c>
      <c r="E45" s="73">
        <v>32.438232421875</v>
      </c>
      <c r="F45" s="73">
        <v>20.19677734375</v>
      </c>
      <c r="G45" s="73">
        <v>132.967529296875</v>
      </c>
      <c r="H45" s="73">
        <v>132.967529296875</v>
      </c>
      <c r="I45" s="73">
        <v>132.967529296875</v>
      </c>
      <c r="J45" s="73">
        <v>132.967529296875</v>
      </c>
      <c r="K45" s="73">
        <v>132.967529296875</v>
      </c>
      <c r="L45" s="73">
        <v>132.967529296875</v>
      </c>
      <c r="M45" s="75">
        <v>30</v>
      </c>
      <c r="N45" s="73">
        <v>1.7333984375</v>
      </c>
      <c r="O45" s="86">
        <v>30</v>
      </c>
      <c r="P45" s="74">
        <v>1.33056640625</v>
      </c>
      <c r="Q45" s="72">
        <v>1</v>
      </c>
      <c r="R45" s="71" t="str">
        <f t="shared" si="52"/>
        <v>Countercurrent</v>
      </c>
      <c r="S45" s="71" t="s">
        <v>113</v>
      </c>
      <c r="T45" s="70">
        <f t="shared" si="53"/>
        <v>4.1782701643163183</v>
      </c>
      <c r="U45" s="70">
        <f t="shared" si="54"/>
        <v>4.1789359093118525</v>
      </c>
      <c r="V45" s="18">
        <f t="shared" si="55"/>
        <v>39.8577880859375</v>
      </c>
      <c r="W45" s="68">
        <f t="shared" si="56"/>
        <v>992.26271819277156</v>
      </c>
      <c r="X45" s="18">
        <f t="shared" si="57"/>
        <v>26.3175048828125</v>
      </c>
      <c r="Y45" s="68">
        <f t="shared" si="58"/>
        <v>996.70802353159843</v>
      </c>
      <c r="Z45" s="68">
        <f t="shared" si="59"/>
        <v>9.643798828125</v>
      </c>
      <c r="AA45" s="68">
        <f t="shared" si="60"/>
        <v>-12.241455078125</v>
      </c>
      <c r="AB45" s="67">
        <f t="shared" si="61"/>
        <v>2.8666444088414216E-2</v>
      </c>
      <c r="AC45" s="67">
        <f t="shared" si="62"/>
        <v>2.210310354918299E-2</v>
      </c>
      <c r="AD45" s="85">
        <f t="shared" si="63"/>
        <v>1155.0970762179545</v>
      </c>
      <c r="AE45" s="85">
        <f t="shared" si="64"/>
        <v>1130.7120281584791</v>
      </c>
      <c r="AF45" s="85">
        <f t="shared" si="65"/>
        <v>24.385048059475366</v>
      </c>
      <c r="AG45" s="85">
        <f t="shared" si="66"/>
        <v>97.888917861404551</v>
      </c>
      <c r="AH45" s="85">
        <f t="shared" si="67"/>
        <v>39.389920424403194</v>
      </c>
      <c r="AI45" s="18"/>
      <c r="AJ45" s="85">
        <f t="shared" si="93"/>
        <v>38.558366849916659</v>
      </c>
      <c r="AK45" s="18"/>
      <c r="AL45" s="85">
        <f t="shared" si="68"/>
        <v>89.389920424403186</v>
      </c>
      <c r="AM45" s="18"/>
      <c r="AN45" s="85">
        <f t="shared" si="69"/>
        <v>12.823718956563598</v>
      </c>
      <c r="AO45" s="85">
        <f t="shared" si="70"/>
        <v>1113.9265508876481</v>
      </c>
      <c r="AP45" s="66"/>
      <c r="AQ45" s="17">
        <f t="shared" si="71"/>
        <v>0.04</v>
      </c>
      <c r="AR45" s="17">
        <f t="shared" si="72"/>
        <v>2932.4686716105639</v>
      </c>
      <c r="AS45" s="17">
        <f t="shared" si="73"/>
        <v>1466.2343358052819</v>
      </c>
      <c r="AT45" s="17">
        <f t="shared" si="74"/>
        <v>17904.703842155948</v>
      </c>
      <c r="AU45" s="17">
        <f t="shared" si="75"/>
        <v>10430.07526445594</v>
      </c>
      <c r="AV45" s="17">
        <f t="shared" si="76"/>
        <v>6.0120187499999997E-4</v>
      </c>
      <c r="AW45" s="17">
        <f t="shared" si="77"/>
        <v>7.5781716796875006E-4</v>
      </c>
      <c r="AX45" s="17">
        <f t="shared" si="78"/>
        <v>8.0000310546875003E-4</v>
      </c>
      <c r="AY45" s="17">
        <f t="shared" si="79"/>
        <v>9.9880433593750009E-4</v>
      </c>
      <c r="AZ45" s="17">
        <f t="shared" si="80"/>
        <v>3.0000000000000001E-3</v>
      </c>
      <c r="BA45" s="17">
        <f t="shared" si="81"/>
        <v>6.7950952148437501E-4</v>
      </c>
      <c r="BB45" s="17">
        <f t="shared" si="82"/>
        <v>8.9940372070312501E-4</v>
      </c>
      <c r="BC45" s="17">
        <f t="shared" si="83"/>
        <v>3.0000000000000001E-3</v>
      </c>
      <c r="BD45" s="17">
        <f t="shared" si="94"/>
        <v>96.241675239271714</v>
      </c>
      <c r="BE45" s="17">
        <f t="shared" si="95"/>
        <v>72.870090000771341</v>
      </c>
      <c r="BF45" s="17">
        <f t="shared" si="84"/>
        <v>4.5476342773437501</v>
      </c>
      <c r="BG45" s="17">
        <f t="shared" si="85"/>
        <v>6.2266293945312503</v>
      </c>
      <c r="BH45" s="17">
        <f t="shared" si="86"/>
        <v>0.3720027965525084</v>
      </c>
      <c r="BI45" s="17">
        <f t="shared" si="87"/>
        <v>0.48238920232342841</v>
      </c>
      <c r="BJ45" s="17">
        <f t="shared" si="43"/>
        <v>2251.8761525624709</v>
      </c>
      <c r="BK45" s="17">
        <f t="shared" si="44"/>
        <v>2204.3371973224348</v>
      </c>
      <c r="BL45" s="17">
        <f t="shared" si="88"/>
        <v>78.779840848806373</v>
      </c>
      <c r="BM45" s="17">
        <f t="shared" si="89"/>
        <v>100</v>
      </c>
      <c r="BN45" s="17">
        <f t="shared" si="45"/>
        <v>119.77614805166301</v>
      </c>
      <c r="BO45" s="17">
        <f t="shared" si="46"/>
        <v>92.367453128919053</v>
      </c>
      <c r="BP45" s="17">
        <f t="shared" si="47"/>
        <v>92.367453128919053</v>
      </c>
      <c r="BQ45" s="17">
        <f t="shared" si="48"/>
        <v>119.77614805166301</v>
      </c>
      <c r="BR45" s="17">
        <f t="shared" si="49"/>
        <v>0.77116733699833306</v>
      </c>
      <c r="BS45" s="17">
        <f t="shared" si="90"/>
        <v>32.438232421875</v>
      </c>
      <c r="BT45" s="1">
        <f t="shared" si="91"/>
        <v>0.5</v>
      </c>
      <c r="BU45" s="1">
        <f t="shared" si="92"/>
        <v>0.48238920232342841</v>
      </c>
      <c r="BV45" s="1">
        <f t="shared" si="50"/>
        <v>0.33775760510842623</v>
      </c>
    </row>
    <row r="46" spans="1:74" ht="12.75" customHeight="1" x14ac:dyDescent="0.2">
      <c r="A46" s="5">
        <v>1E-3</v>
      </c>
      <c r="B46" s="75" t="s">
        <v>117</v>
      </c>
      <c r="C46" s="73">
        <v>44.5498046875</v>
      </c>
      <c r="D46" s="73">
        <v>34.9384765625</v>
      </c>
      <c r="E46" s="73">
        <v>32.308349609375</v>
      </c>
      <c r="F46" s="73">
        <v>20.19677734375</v>
      </c>
      <c r="G46" s="73">
        <v>132.967529296875</v>
      </c>
      <c r="H46" s="73">
        <v>132.967529296875</v>
      </c>
      <c r="I46" s="73">
        <v>132.967529296875</v>
      </c>
      <c r="J46" s="73">
        <v>132.967529296875</v>
      </c>
      <c r="K46" s="73">
        <v>132.967529296875</v>
      </c>
      <c r="L46" s="73">
        <v>132.967529296875</v>
      </c>
      <c r="M46" s="75">
        <v>30</v>
      </c>
      <c r="N46" s="73">
        <v>1.5625</v>
      </c>
      <c r="O46" s="86">
        <v>30</v>
      </c>
      <c r="P46" s="74">
        <v>1.2939453125</v>
      </c>
      <c r="Q46" s="72">
        <v>1</v>
      </c>
      <c r="R46" s="71" t="str">
        <f t="shared" si="52"/>
        <v>Countercurrent</v>
      </c>
      <c r="S46" s="71" t="s">
        <v>113</v>
      </c>
      <c r="T46" s="70">
        <f t="shared" si="53"/>
        <v>4.1782568090573511</v>
      </c>
      <c r="U46" s="70">
        <f t="shared" si="54"/>
        <v>4.178953086386425</v>
      </c>
      <c r="V46" s="18">
        <f t="shared" si="55"/>
        <v>39.744140625</v>
      </c>
      <c r="W46" s="68">
        <f t="shared" si="56"/>
        <v>992.30611918886723</v>
      </c>
      <c r="X46" s="18">
        <f t="shared" si="57"/>
        <v>26.2525634765625</v>
      </c>
      <c r="Y46" s="68">
        <f t="shared" si="58"/>
        <v>996.72550072099227</v>
      </c>
      <c r="Z46" s="68">
        <f t="shared" si="59"/>
        <v>9.611328125</v>
      </c>
      <c r="AA46" s="68">
        <f t="shared" si="60"/>
        <v>-12.111572265625</v>
      </c>
      <c r="AB46" s="67">
        <f t="shared" si="61"/>
        <v>2.5841305187210083E-2</v>
      </c>
      <c r="AC46" s="67">
        <f t="shared" si="62"/>
        <v>2.1495138158452387E-2</v>
      </c>
      <c r="AD46" s="85">
        <f t="shared" si="63"/>
        <v>1037.7505656797464</v>
      </c>
      <c r="AE46" s="85">
        <f t="shared" si="64"/>
        <v>1087.9483087070507</v>
      </c>
      <c r="AF46" s="85">
        <f t="shared" si="65"/>
        <v>-50.197743027304341</v>
      </c>
      <c r="AG46" s="85">
        <f t="shared" si="66"/>
        <v>104.83716845718354</v>
      </c>
      <c r="AH46" s="85">
        <f t="shared" si="67"/>
        <v>39.466666666666669</v>
      </c>
      <c r="AI46" s="18"/>
      <c r="AJ46" s="85">
        <f t="shared" si="93"/>
        <v>41.375735817768437</v>
      </c>
      <c r="AK46" s="18"/>
      <c r="AL46" s="85">
        <f t="shared" si="68"/>
        <v>89.2</v>
      </c>
      <c r="AM46" s="18"/>
      <c r="AN46" s="85">
        <f t="shared" si="69"/>
        <v>12.780232648604461</v>
      </c>
      <c r="AO46" s="85">
        <f t="shared" si="70"/>
        <v>1038.9645909211879</v>
      </c>
      <c r="AP46" s="66"/>
      <c r="AQ46" s="17">
        <f t="shared" si="71"/>
        <v>0.04</v>
      </c>
      <c r="AR46" s="17">
        <f t="shared" si="72"/>
        <v>2629.4355549317897</v>
      </c>
      <c r="AS46" s="17">
        <f t="shared" si="73"/>
        <v>1307.7059493194101</v>
      </c>
      <c r="AT46" s="17">
        <f t="shared" si="74"/>
        <v>16096.437298579438</v>
      </c>
      <c r="AU46" s="17">
        <f t="shared" si="75"/>
        <v>10131.306773240802</v>
      </c>
      <c r="AV46" s="17">
        <f t="shared" si="76"/>
        <v>6.0331117187499995E-4</v>
      </c>
      <c r="AW46" s="17">
        <f t="shared" si="77"/>
        <v>7.5939914062499994E-4</v>
      </c>
      <c r="AX46" s="17">
        <f t="shared" si="78"/>
        <v>8.0211240234375001E-4</v>
      </c>
      <c r="AY46" s="17">
        <f t="shared" si="79"/>
        <v>9.9880433593750009E-4</v>
      </c>
      <c r="AZ46" s="17">
        <f t="shared" si="80"/>
        <v>3.0000000000000001E-3</v>
      </c>
      <c r="BA46" s="17">
        <f t="shared" si="81"/>
        <v>6.8135515624999994E-4</v>
      </c>
      <c r="BB46" s="17">
        <f t="shared" si="82"/>
        <v>9.00458369140625E-4</v>
      </c>
      <c r="BC46" s="17">
        <f t="shared" si="83"/>
        <v>3.0000000000000001E-3</v>
      </c>
      <c r="BD46" s="17">
        <f t="shared" si="94"/>
        <v>88.475123159474919</v>
      </c>
      <c r="BE46" s="17">
        <f t="shared" si="95"/>
        <v>71.087485335447965</v>
      </c>
      <c r="BF46" s="17">
        <f t="shared" si="84"/>
        <v>4.5617265625000005</v>
      </c>
      <c r="BG46" s="17">
        <f t="shared" si="85"/>
        <v>6.2346821289062495</v>
      </c>
      <c r="BH46" s="17">
        <f t="shared" si="86"/>
        <v>0.3849028822088485</v>
      </c>
      <c r="BI46" s="17">
        <f t="shared" si="87"/>
        <v>0.46265046321261616</v>
      </c>
      <c r="BJ46" s="17">
        <f t="shared" si="43"/>
        <v>2029.9915389119767</v>
      </c>
      <c r="BK46" s="17">
        <f t="shared" si="44"/>
        <v>2128.1856493157215</v>
      </c>
      <c r="BL46" s="17">
        <f t="shared" si="88"/>
        <v>78.933333333333337</v>
      </c>
      <c r="BM46" s="17">
        <f t="shared" si="89"/>
        <v>99.466666666666669</v>
      </c>
      <c r="BN46" s="17">
        <f t="shared" si="45"/>
        <v>107.97160935338958</v>
      </c>
      <c r="BO46" s="17">
        <f t="shared" si="46"/>
        <v>89.827173949567211</v>
      </c>
      <c r="BP46" s="17">
        <f t="shared" si="47"/>
        <v>89.827173949567211</v>
      </c>
      <c r="BQ46" s="17">
        <f t="shared" si="48"/>
        <v>107.97160935338958</v>
      </c>
      <c r="BR46" s="17">
        <f t="shared" si="49"/>
        <v>0.8319517925824752</v>
      </c>
      <c r="BS46" s="17">
        <f t="shared" si="90"/>
        <v>32.373291015625</v>
      </c>
      <c r="BT46" s="1">
        <f t="shared" si="91"/>
        <v>0.49733333333333335</v>
      </c>
      <c r="BU46" s="1">
        <f t="shared" si="92"/>
        <v>0.46265046321261616</v>
      </c>
      <c r="BV46" s="1">
        <f t="shared" si="50"/>
        <v>0.32483103805099761</v>
      </c>
    </row>
    <row r="47" spans="1:74" ht="12.75" customHeight="1" x14ac:dyDescent="0.2">
      <c r="A47" s="5">
        <v>1E-3</v>
      </c>
      <c r="B47" s="75" t="s">
        <v>118</v>
      </c>
      <c r="C47" s="73">
        <v>44.582275390625</v>
      </c>
      <c r="D47" s="73">
        <v>34.841064453125</v>
      </c>
      <c r="E47" s="73">
        <v>32.27587890625</v>
      </c>
      <c r="F47" s="73">
        <v>20.19677734375</v>
      </c>
      <c r="G47" s="73">
        <v>132.967529296875</v>
      </c>
      <c r="H47" s="73">
        <v>132.967529296875</v>
      </c>
      <c r="I47" s="73">
        <v>132.967529296875</v>
      </c>
      <c r="J47" s="73">
        <v>132.967529296875</v>
      </c>
      <c r="K47" s="73">
        <v>132.967529296875</v>
      </c>
      <c r="L47" s="73">
        <v>132.967529296875</v>
      </c>
      <c r="M47" s="75">
        <v>30</v>
      </c>
      <c r="N47" s="73">
        <v>1.69677734375</v>
      </c>
      <c r="O47" s="86">
        <v>30</v>
      </c>
      <c r="P47" s="74">
        <v>1.45263671875</v>
      </c>
      <c r="Q47" s="72">
        <v>1</v>
      </c>
      <c r="R47" s="71" t="str">
        <f t="shared" si="52"/>
        <v>Countercurrent</v>
      </c>
      <c r="S47" s="71" t="s">
        <v>113</v>
      </c>
      <c r="T47" s="70">
        <f t="shared" si="53"/>
        <v>4.1782530412261654</v>
      </c>
      <c r="U47" s="70">
        <f t="shared" si="54"/>
        <v>4.1789574079368563</v>
      </c>
      <c r="V47" s="18">
        <f t="shared" si="55"/>
        <v>39.711669921875</v>
      </c>
      <c r="W47" s="68">
        <f t="shared" si="56"/>
        <v>992.31850202862506</v>
      </c>
      <c r="X47" s="18">
        <f t="shared" si="57"/>
        <v>26.236328125</v>
      </c>
      <c r="Y47" s="68">
        <f t="shared" si="58"/>
        <v>996.72986375275821</v>
      </c>
      <c r="Z47" s="68">
        <f t="shared" si="59"/>
        <v>9.7412109375</v>
      </c>
      <c r="AA47" s="68">
        <f t="shared" si="60"/>
        <v>-12.0791015625</v>
      </c>
      <c r="AB47" s="67">
        <f t="shared" si="61"/>
        <v>2.806239253376849E-2</v>
      </c>
      <c r="AC47" s="67">
        <f t="shared" si="62"/>
        <v>2.413143997936569E-2</v>
      </c>
      <c r="AD47" s="85">
        <f t="shared" si="63"/>
        <v>1142.1742920500965</v>
      </c>
      <c r="AE47" s="85">
        <f t="shared" si="64"/>
        <v>1218.1080569159994</v>
      </c>
      <c r="AF47" s="85">
        <f t="shared" si="65"/>
        <v>-75.933764865902958</v>
      </c>
      <c r="AG47" s="85">
        <f t="shared" si="66"/>
        <v>106.64817667447312</v>
      </c>
      <c r="AH47" s="85">
        <f t="shared" si="67"/>
        <v>39.946737683089218</v>
      </c>
      <c r="AI47" s="18"/>
      <c r="AJ47" s="85">
        <f t="shared" si="93"/>
        <v>42.60246737994931</v>
      </c>
      <c r="AK47" s="18"/>
      <c r="AL47" s="85">
        <f t="shared" si="68"/>
        <v>89.480692410119843</v>
      </c>
      <c r="AM47" s="18"/>
      <c r="AN47" s="85">
        <f t="shared" si="69"/>
        <v>12.769399228913406</v>
      </c>
      <c r="AO47" s="85">
        <f t="shared" si="70"/>
        <v>1154.0477577833856</v>
      </c>
      <c r="AP47" s="66"/>
      <c r="AQ47" s="17">
        <f t="shared" si="71"/>
        <v>0.04</v>
      </c>
      <c r="AR47" s="17">
        <f t="shared" si="72"/>
        <v>2859.2429777654083</v>
      </c>
      <c r="AS47" s="17">
        <f t="shared" si="73"/>
        <v>1416.2961221421197</v>
      </c>
      <c r="AT47" s="17">
        <f t="shared" si="74"/>
        <v>17466.425137907761</v>
      </c>
      <c r="AU47" s="17">
        <f t="shared" si="75"/>
        <v>11370.545920251678</v>
      </c>
      <c r="AV47" s="17">
        <f t="shared" si="76"/>
        <v>6.0278384765624995E-4</v>
      </c>
      <c r="AW47" s="17">
        <f t="shared" si="77"/>
        <v>7.6098111328125003E-4</v>
      </c>
      <c r="AX47" s="17">
        <f t="shared" si="78"/>
        <v>8.0263972656250001E-4</v>
      </c>
      <c r="AY47" s="17">
        <f t="shared" si="79"/>
        <v>9.9880433593750009E-4</v>
      </c>
      <c r="AZ47" s="17">
        <f t="shared" si="80"/>
        <v>3.0000000000000001E-3</v>
      </c>
      <c r="BA47" s="17">
        <f t="shared" si="81"/>
        <v>6.8188248046875005E-4</v>
      </c>
      <c r="BB47" s="17">
        <f t="shared" si="82"/>
        <v>9.0072203125000005E-4</v>
      </c>
      <c r="BC47" s="17">
        <f t="shared" si="83"/>
        <v>3.0000000000000001E-3</v>
      </c>
      <c r="BD47" s="17">
        <f t="shared" si="94"/>
        <v>94.477481225043192</v>
      </c>
      <c r="BE47" s="17">
        <f t="shared" si="95"/>
        <v>78.576074977785112</v>
      </c>
      <c r="BF47" s="17">
        <f t="shared" si="84"/>
        <v>4.5657529296875001</v>
      </c>
      <c r="BG47" s="17">
        <f t="shared" si="85"/>
        <v>6.2366953125000002</v>
      </c>
      <c r="BH47" s="17">
        <f t="shared" si="86"/>
        <v>0.39369902540316654</v>
      </c>
      <c r="BI47" s="17">
        <f t="shared" si="87"/>
        <v>0.45775446587337382</v>
      </c>
      <c r="BJ47" s="17">
        <f t="shared" si="43"/>
        <v>2236.1551071719609</v>
      </c>
      <c r="BK47" s="17">
        <f t="shared" si="44"/>
        <v>2384.8186494120064</v>
      </c>
      <c r="BL47" s="17">
        <f t="shared" si="88"/>
        <v>79.893475366178436</v>
      </c>
      <c r="BM47" s="17">
        <f t="shared" si="89"/>
        <v>99.067909454061251</v>
      </c>
      <c r="BN47" s="17">
        <f t="shared" si="45"/>
        <v>117.25177694830063</v>
      </c>
      <c r="BO47" s="17">
        <f t="shared" si="46"/>
        <v>100.84425986595387</v>
      </c>
      <c r="BP47" s="17">
        <f t="shared" si="47"/>
        <v>100.84425986595387</v>
      </c>
      <c r="BQ47" s="17">
        <f t="shared" si="48"/>
        <v>117.25177694830063</v>
      </c>
      <c r="BR47" s="17">
        <f t="shared" si="49"/>
        <v>0.86006594092317035</v>
      </c>
      <c r="BS47" s="17">
        <f t="shared" si="90"/>
        <v>32.3895263671875</v>
      </c>
      <c r="BT47" s="1">
        <f t="shared" si="91"/>
        <v>0.49533954727030627</v>
      </c>
      <c r="BU47" s="1">
        <f t="shared" si="92"/>
        <v>0.45775446587337382</v>
      </c>
      <c r="BV47" s="1">
        <f t="shared" si="50"/>
        <v>0.32099048441190609</v>
      </c>
    </row>
    <row r="48" spans="1:74" ht="12.75" customHeight="1" x14ac:dyDescent="0.2">
      <c r="A48" s="5">
        <v>1E-3</v>
      </c>
      <c r="B48" s="75" t="s">
        <v>119</v>
      </c>
      <c r="C48" s="73">
        <v>44.647216796875</v>
      </c>
      <c r="D48" s="73">
        <v>34.841064453125</v>
      </c>
      <c r="E48" s="73">
        <v>32.243408203125</v>
      </c>
      <c r="F48" s="73">
        <v>20.19677734375</v>
      </c>
      <c r="G48" s="73">
        <v>132.967529296875</v>
      </c>
      <c r="H48" s="73">
        <v>132.967529296875</v>
      </c>
      <c r="I48" s="73">
        <v>132.967529296875</v>
      </c>
      <c r="J48" s="73">
        <v>132.967529296875</v>
      </c>
      <c r="K48" s="73">
        <v>132.967529296875</v>
      </c>
      <c r="L48" s="73">
        <v>132.967529296875</v>
      </c>
      <c r="M48" s="75">
        <v>30</v>
      </c>
      <c r="N48" s="73">
        <v>1.7333984375</v>
      </c>
      <c r="O48" s="86">
        <v>30</v>
      </c>
      <c r="P48" s="74">
        <v>1.416015625</v>
      </c>
      <c r="Q48" s="72">
        <v>1</v>
      </c>
      <c r="R48" s="71" t="str">
        <f t="shared" si="52"/>
        <v>Countercurrent</v>
      </c>
      <c r="S48" s="71" t="s">
        <v>113</v>
      </c>
      <c r="T48" s="70">
        <f t="shared" si="53"/>
        <v>4.1782568090573511</v>
      </c>
      <c r="U48" s="70">
        <f t="shared" si="54"/>
        <v>4.1789617404251889</v>
      </c>
      <c r="V48" s="18">
        <f t="shared" si="55"/>
        <v>39.744140625</v>
      </c>
      <c r="W48" s="68">
        <f t="shared" si="56"/>
        <v>992.30611918886723</v>
      </c>
      <c r="X48" s="18">
        <f t="shared" si="57"/>
        <v>26.2200927734375</v>
      </c>
      <c r="Y48" s="68">
        <f t="shared" si="58"/>
        <v>996.7342242766058</v>
      </c>
      <c r="Z48" s="68">
        <f t="shared" si="59"/>
        <v>9.80615234375</v>
      </c>
      <c r="AA48" s="68">
        <f t="shared" si="60"/>
        <v>-12.046630859375</v>
      </c>
      <c r="AB48" s="67">
        <f t="shared" si="61"/>
        <v>2.8667697942061185E-2</v>
      </c>
      <c r="AC48" s="67">
        <f t="shared" si="62"/>
        <v>2.3523187259132133E-2</v>
      </c>
      <c r="AD48" s="85">
        <f t="shared" si="63"/>
        <v>1174.5907743509881</v>
      </c>
      <c r="AE48" s="85">
        <f t="shared" si="64"/>
        <v>1184.2139248588476</v>
      </c>
      <c r="AF48" s="85">
        <f t="shared" si="65"/>
        <v>-9.6231505078594637</v>
      </c>
      <c r="AG48" s="85">
        <f t="shared" si="66"/>
        <v>100.81927686799487</v>
      </c>
      <c r="AH48" s="85">
        <f t="shared" si="67"/>
        <v>40.106241699867198</v>
      </c>
      <c r="AI48" s="18"/>
      <c r="AJ48" s="85">
        <f t="shared" si="93"/>
        <v>40.434822860736325</v>
      </c>
      <c r="AK48" s="18"/>
      <c r="AL48" s="85">
        <f t="shared" si="68"/>
        <v>89.375830013280222</v>
      </c>
      <c r="AM48" s="18"/>
      <c r="AN48" s="85">
        <f t="shared" si="69"/>
        <v>12.818407073461401</v>
      </c>
      <c r="AO48" s="85">
        <f t="shared" si="70"/>
        <v>1150.0870517637557</v>
      </c>
      <c r="AP48" s="66"/>
      <c r="AQ48" s="17">
        <f t="shared" si="71"/>
        <v>0.04</v>
      </c>
      <c r="AR48" s="17">
        <f t="shared" si="72"/>
        <v>2928.6981890274637</v>
      </c>
      <c r="AS48" s="17">
        <f t="shared" si="73"/>
        <v>1442.9575406762137</v>
      </c>
      <c r="AT48" s="17">
        <f t="shared" si="74"/>
        <v>17856.985128111563</v>
      </c>
      <c r="AU48" s="17">
        <f t="shared" si="75"/>
        <v>11080.698416295865</v>
      </c>
      <c r="AV48" s="17">
        <f t="shared" si="76"/>
        <v>6.0172919921874996E-4</v>
      </c>
      <c r="AW48" s="17">
        <f t="shared" si="77"/>
        <v>7.6098111328125003E-4</v>
      </c>
      <c r="AX48" s="17">
        <f t="shared" si="78"/>
        <v>8.0316705078125E-4</v>
      </c>
      <c r="AY48" s="17">
        <f t="shared" si="79"/>
        <v>9.9880433593750009E-4</v>
      </c>
      <c r="AZ48" s="17">
        <f t="shared" si="80"/>
        <v>3.0000000000000001E-3</v>
      </c>
      <c r="BA48" s="17">
        <f t="shared" si="81"/>
        <v>6.8135515624999994E-4</v>
      </c>
      <c r="BB48" s="17">
        <f t="shared" si="82"/>
        <v>9.009856933593751E-4</v>
      </c>
      <c r="BC48" s="17">
        <f t="shared" si="83"/>
        <v>3.0000000000000001E-3</v>
      </c>
      <c r="BD48" s="17">
        <f t="shared" si="94"/>
        <v>96.135519089763832</v>
      </c>
      <c r="BE48" s="17">
        <f t="shared" si="95"/>
        <v>76.84477754885431</v>
      </c>
      <c r="BF48" s="17">
        <f t="shared" si="84"/>
        <v>4.5617265625000005</v>
      </c>
      <c r="BG48" s="17">
        <f t="shared" si="85"/>
        <v>6.23870849609375</v>
      </c>
      <c r="BH48" s="17">
        <f t="shared" si="86"/>
        <v>0.38406325281760267</v>
      </c>
      <c r="BI48" s="17">
        <f t="shared" si="87"/>
        <v>0.46797876221211565</v>
      </c>
      <c r="BJ48" s="17">
        <f t="shared" si="43"/>
        <v>2290.8282745654155</v>
      </c>
      <c r="BK48" s="17">
        <f t="shared" si="44"/>
        <v>2309.596500704416</v>
      </c>
      <c r="BL48" s="17">
        <f t="shared" si="88"/>
        <v>80.212483399734396</v>
      </c>
      <c r="BM48" s="17">
        <f t="shared" si="89"/>
        <v>98.539176626826034</v>
      </c>
      <c r="BN48" s="17">
        <f t="shared" si="45"/>
        <v>119.78100412641655</v>
      </c>
      <c r="BO48" s="17">
        <f t="shared" si="46"/>
        <v>98.302499568770443</v>
      </c>
      <c r="BP48" s="17">
        <f t="shared" si="47"/>
        <v>98.302499568770443</v>
      </c>
      <c r="BQ48" s="17">
        <f t="shared" si="48"/>
        <v>119.78100412641655</v>
      </c>
      <c r="BR48" s="17">
        <f t="shared" si="49"/>
        <v>0.82068521870982358</v>
      </c>
      <c r="BS48" s="17">
        <f t="shared" si="90"/>
        <v>32.4219970703125</v>
      </c>
      <c r="BT48" s="1">
        <f t="shared" si="91"/>
        <v>0.49269588313413015</v>
      </c>
      <c r="BU48" s="1">
        <f t="shared" si="92"/>
        <v>0.46797876221211565</v>
      </c>
      <c r="BV48" s="1">
        <f t="shared" si="50"/>
        <v>0.32803604222579946</v>
      </c>
    </row>
    <row r="49" spans="1:74" ht="12.75" customHeight="1" x14ac:dyDescent="0.2">
      <c r="A49" s="5">
        <v>1E-3</v>
      </c>
      <c r="B49" s="75" t="s">
        <v>120</v>
      </c>
      <c r="C49" s="73">
        <v>44.582275390625</v>
      </c>
      <c r="D49" s="73">
        <v>34.841064453125</v>
      </c>
      <c r="E49" s="73">
        <v>32.308349609375</v>
      </c>
      <c r="F49" s="73">
        <v>20.164306640625</v>
      </c>
      <c r="G49" s="73">
        <v>132.967529296875</v>
      </c>
      <c r="H49" s="73">
        <v>132.967529296875</v>
      </c>
      <c r="I49" s="73">
        <v>132.967529296875</v>
      </c>
      <c r="J49" s="73">
        <v>132.967529296875</v>
      </c>
      <c r="K49" s="73">
        <v>132.967529296875</v>
      </c>
      <c r="L49" s="73">
        <v>132.967529296875</v>
      </c>
      <c r="M49" s="75">
        <v>30</v>
      </c>
      <c r="N49" s="73">
        <v>1.72119140625</v>
      </c>
      <c r="O49" s="86">
        <v>30</v>
      </c>
      <c r="P49" s="74">
        <v>1.2939453125</v>
      </c>
      <c r="Q49" s="72">
        <v>1</v>
      </c>
      <c r="R49" s="71" t="str">
        <f t="shared" si="52"/>
        <v>Countercurrent</v>
      </c>
      <c r="S49" s="71" t="s">
        <v>113</v>
      </c>
      <c r="T49" s="70">
        <f t="shared" si="53"/>
        <v>4.1782530412261654</v>
      </c>
      <c r="U49" s="70">
        <f t="shared" si="54"/>
        <v>4.1789574079368563</v>
      </c>
      <c r="V49" s="18">
        <f t="shared" si="55"/>
        <v>39.711669921875</v>
      </c>
      <c r="W49" s="68">
        <f t="shared" si="56"/>
        <v>992.31850202862506</v>
      </c>
      <c r="X49" s="18">
        <f t="shared" si="57"/>
        <v>26.236328125</v>
      </c>
      <c r="Y49" s="68">
        <f t="shared" si="58"/>
        <v>996.72986375275821</v>
      </c>
      <c r="Z49" s="68">
        <f t="shared" si="59"/>
        <v>9.7412109375</v>
      </c>
      <c r="AA49" s="68">
        <f t="shared" si="60"/>
        <v>-12.14404296875</v>
      </c>
      <c r="AB49" s="67">
        <f t="shared" si="61"/>
        <v>2.8466167965909044E-2</v>
      </c>
      <c r="AC49" s="67">
        <f t="shared" si="62"/>
        <v>2.1495232250527421E-2</v>
      </c>
      <c r="AD49" s="85">
        <f t="shared" si="63"/>
        <v>1158.6084545256374</v>
      </c>
      <c r="AE49" s="85">
        <f t="shared" si="64"/>
        <v>1090.8709634132529</v>
      </c>
      <c r="AF49" s="85">
        <f t="shared" si="65"/>
        <v>67.737491112384532</v>
      </c>
      <c r="AG49" s="85">
        <f t="shared" si="66"/>
        <v>94.153547659021882</v>
      </c>
      <c r="AH49" s="85">
        <f t="shared" si="67"/>
        <v>39.89361702127659</v>
      </c>
      <c r="AI49" s="18"/>
      <c r="AJ49" s="85">
        <f t="shared" si="93"/>
        <v>37.561255715035323</v>
      </c>
      <c r="AK49" s="18"/>
      <c r="AL49" s="85">
        <f t="shared" si="68"/>
        <v>89.627659574468083</v>
      </c>
      <c r="AM49" s="18"/>
      <c r="AN49" s="85">
        <f t="shared" si="69"/>
        <v>12.767583010346803</v>
      </c>
      <c r="AO49" s="85">
        <f t="shared" si="70"/>
        <v>1100.1689149228162</v>
      </c>
      <c r="AP49" s="66"/>
      <c r="AQ49" s="17">
        <f t="shared" si="71"/>
        <v>0.04</v>
      </c>
      <c r="AR49" s="17">
        <f t="shared" si="72"/>
        <v>2904.245192677598</v>
      </c>
      <c r="AS49" s="17">
        <f t="shared" si="73"/>
        <v>1444.3985399752949</v>
      </c>
      <c r="AT49" s="17">
        <f t="shared" si="74"/>
        <v>17717.740607517946</v>
      </c>
      <c r="AU49" s="17">
        <f t="shared" si="75"/>
        <v>10128.385441568722</v>
      </c>
      <c r="AV49" s="17">
        <f t="shared" si="76"/>
        <v>6.0278384765624995E-4</v>
      </c>
      <c r="AW49" s="17">
        <f t="shared" si="77"/>
        <v>7.6098111328125003E-4</v>
      </c>
      <c r="AX49" s="17">
        <f t="shared" si="78"/>
        <v>8.0211240234375001E-4</v>
      </c>
      <c r="AY49" s="17">
        <f t="shared" si="79"/>
        <v>9.9933166015624998E-4</v>
      </c>
      <c r="AZ49" s="17">
        <f t="shared" si="80"/>
        <v>3.0000000000000001E-3</v>
      </c>
      <c r="BA49" s="17">
        <f t="shared" si="81"/>
        <v>6.8188248046875005E-4</v>
      </c>
      <c r="BB49" s="17">
        <f t="shared" si="82"/>
        <v>9.0072203125000005E-4</v>
      </c>
      <c r="BC49" s="17">
        <f t="shared" si="83"/>
        <v>3.0000000000000001E-3</v>
      </c>
      <c r="BD49" s="17">
        <f t="shared" si="94"/>
        <v>95.563435972090943</v>
      </c>
      <c r="BE49" s="17">
        <f t="shared" si="95"/>
        <v>71.077362006066139</v>
      </c>
      <c r="BF49" s="17">
        <f t="shared" si="84"/>
        <v>4.5657529296875001</v>
      </c>
      <c r="BG49" s="17">
        <f t="shared" si="85"/>
        <v>6.2366953125000002</v>
      </c>
      <c r="BH49" s="17">
        <f t="shared" si="86"/>
        <v>0.36999479592202472</v>
      </c>
      <c r="BI49" s="17">
        <f t="shared" si="87"/>
        <v>0.48990206995341601</v>
      </c>
      <c r="BJ49" s="17">
        <f t="shared" si="43"/>
        <v>2268.652676052126</v>
      </c>
      <c r="BK49" s="17">
        <f t="shared" si="44"/>
        <v>2136.0169785644139</v>
      </c>
      <c r="BL49" s="17">
        <f t="shared" si="88"/>
        <v>79.787234042553195</v>
      </c>
      <c r="BM49" s="17">
        <f t="shared" si="89"/>
        <v>99.468085106382972</v>
      </c>
      <c r="BN49" s="17">
        <f t="shared" si="45"/>
        <v>118.93885287561432</v>
      </c>
      <c r="BO49" s="17">
        <f t="shared" si="46"/>
        <v>89.827660048664782</v>
      </c>
      <c r="BP49" s="17">
        <f t="shared" si="47"/>
        <v>89.827660048664782</v>
      </c>
      <c r="BQ49" s="17">
        <f t="shared" si="48"/>
        <v>118.93885287561432</v>
      </c>
      <c r="BR49" s="17">
        <f t="shared" si="49"/>
        <v>0.75524236090124497</v>
      </c>
      <c r="BS49" s="17">
        <f t="shared" si="90"/>
        <v>32.373291015625</v>
      </c>
      <c r="BT49" s="1">
        <f t="shared" si="91"/>
        <v>0.49734042553191488</v>
      </c>
      <c r="BU49" s="1">
        <f t="shared" si="92"/>
        <v>0.48990206995341601</v>
      </c>
      <c r="BV49" s="1">
        <f t="shared" si="50"/>
        <v>0.34231445984948239</v>
      </c>
    </row>
    <row r="50" spans="1:74" ht="12.75" customHeight="1" x14ac:dyDescent="0.2">
      <c r="A50" s="5">
        <v>1E-3</v>
      </c>
      <c r="B50" s="75" t="s">
        <v>121</v>
      </c>
      <c r="C50" s="73">
        <v>44.5498046875</v>
      </c>
      <c r="D50" s="73">
        <v>34.841064453125</v>
      </c>
      <c r="E50" s="73">
        <v>32.308349609375</v>
      </c>
      <c r="F50" s="73">
        <v>20.19677734375</v>
      </c>
      <c r="G50" s="73">
        <v>132.967529296875</v>
      </c>
      <c r="H50" s="73">
        <v>132.967529296875</v>
      </c>
      <c r="I50" s="73">
        <v>132.967529296875</v>
      </c>
      <c r="J50" s="73">
        <v>132.967529296875</v>
      </c>
      <c r="K50" s="73">
        <v>132.967529296875</v>
      </c>
      <c r="L50" s="73">
        <v>132.967529296875</v>
      </c>
      <c r="M50" s="75">
        <v>30</v>
      </c>
      <c r="N50" s="73">
        <v>1.611328125</v>
      </c>
      <c r="O50" s="86">
        <v>30</v>
      </c>
      <c r="P50" s="74">
        <v>1.3916015625</v>
      </c>
      <c r="Q50" s="72">
        <v>1</v>
      </c>
      <c r="R50" s="71" t="str">
        <f t="shared" si="52"/>
        <v>Countercurrent</v>
      </c>
      <c r="S50" s="71" t="s">
        <v>113</v>
      </c>
      <c r="T50" s="70">
        <f t="shared" si="53"/>
        <v>4.1782511653178744</v>
      </c>
      <c r="U50" s="70">
        <f t="shared" si="54"/>
        <v>4.178953086386425</v>
      </c>
      <c r="V50" s="18">
        <f t="shared" si="55"/>
        <v>39.6954345703125</v>
      </c>
      <c r="W50" s="68">
        <f t="shared" si="56"/>
        <v>992.32469053841169</v>
      </c>
      <c r="X50" s="18">
        <f t="shared" si="57"/>
        <v>26.2525634765625</v>
      </c>
      <c r="Y50" s="68">
        <f t="shared" si="58"/>
        <v>996.72550072099227</v>
      </c>
      <c r="Z50" s="68">
        <f t="shared" si="59"/>
        <v>9.708740234375</v>
      </c>
      <c r="AA50" s="68">
        <f t="shared" si="60"/>
        <v>-12.111572265625</v>
      </c>
      <c r="AB50" s="67">
        <f t="shared" si="61"/>
        <v>2.6649344716607737E-2</v>
      </c>
      <c r="AC50" s="67">
        <f t="shared" si="62"/>
        <v>2.3117412736448795E-2</v>
      </c>
      <c r="AD50" s="85">
        <f t="shared" si="63"/>
        <v>1081.0454640933033</v>
      </c>
      <c r="AE50" s="85">
        <f t="shared" si="64"/>
        <v>1170.057615024564</v>
      </c>
      <c r="AF50" s="85">
        <f t="shared" si="65"/>
        <v>-89.012150931260749</v>
      </c>
      <c r="AG50" s="85">
        <f t="shared" si="66"/>
        <v>108.23389523269654</v>
      </c>
      <c r="AH50" s="85">
        <f t="shared" si="67"/>
        <v>39.86666666666666</v>
      </c>
      <c r="AI50" s="18"/>
      <c r="AJ50" s="85">
        <f t="shared" si="93"/>
        <v>43.149246232768348</v>
      </c>
      <c r="AK50" s="18"/>
      <c r="AL50" s="85">
        <f t="shared" si="68"/>
        <v>89.6</v>
      </c>
      <c r="AM50" s="18"/>
      <c r="AN50" s="85">
        <f t="shared" si="69"/>
        <v>12.736653385298141</v>
      </c>
      <c r="AO50" s="85">
        <f t="shared" si="70"/>
        <v>1102.9110880284961</v>
      </c>
      <c r="AP50" s="66"/>
      <c r="AQ50" s="17">
        <f t="shared" si="71"/>
        <v>0.04</v>
      </c>
      <c r="AR50" s="17">
        <f t="shared" si="72"/>
        <v>2711.6525019062797</v>
      </c>
      <c r="AS50" s="17">
        <f t="shared" si="73"/>
        <v>1348.5951776147231</v>
      </c>
      <c r="AT50" s="17">
        <f t="shared" si="74"/>
        <v>16580.513283279808</v>
      </c>
      <c r="AU50" s="17">
        <f t="shared" si="75"/>
        <v>10895.933699523126</v>
      </c>
      <c r="AV50" s="17">
        <f t="shared" si="76"/>
        <v>6.0331117187499995E-4</v>
      </c>
      <c r="AW50" s="17">
        <f t="shared" si="77"/>
        <v>7.6098111328125003E-4</v>
      </c>
      <c r="AX50" s="17">
        <f t="shared" si="78"/>
        <v>8.0211240234375001E-4</v>
      </c>
      <c r="AY50" s="17">
        <f t="shared" si="79"/>
        <v>9.9880433593750009E-4</v>
      </c>
      <c r="AZ50" s="17">
        <f t="shared" si="80"/>
        <v>3.0000000000000001E-3</v>
      </c>
      <c r="BA50" s="17">
        <f t="shared" si="81"/>
        <v>6.8214614257812499E-4</v>
      </c>
      <c r="BB50" s="17">
        <f t="shared" si="82"/>
        <v>9.00458369140625E-4</v>
      </c>
      <c r="BC50" s="17">
        <f t="shared" si="83"/>
        <v>3.0000000000000001E-3</v>
      </c>
      <c r="BD50" s="17">
        <f t="shared" si="94"/>
        <v>90.637366596745565</v>
      </c>
      <c r="BE50" s="17">
        <f t="shared" si="95"/>
        <v>75.716315567003335</v>
      </c>
      <c r="BF50" s="17">
        <f t="shared" si="84"/>
        <v>4.5677661132812499</v>
      </c>
      <c r="BG50" s="17">
        <f t="shared" si="85"/>
        <v>6.2346821289062495</v>
      </c>
      <c r="BH50" s="17">
        <f t="shared" si="86"/>
        <v>0.39620451168578741</v>
      </c>
      <c r="BI50" s="17">
        <f t="shared" si="87"/>
        <v>0.4566608404129156</v>
      </c>
      <c r="BJ50" s="17">
        <f t="shared" si="43"/>
        <v>2121.9181981923703</v>
      </c>
      <c r="BK50" s="17">
        <f t="shared" si="44"/>
        <v>2296.634719555052</v>
      </c>
      <c r="BL50" s="17">
        <f t="shared" si="88"/>
        <v>79.733333333333334</v>
      </c>
      <c r="BM50" s="17">
        <f t="shared" si="89"/>
        <v>99.466666666666669</v>
      </c>
      <c r="BN50" s="17">
        <f t="shared" si="45"/>
        <v>111.34765561712402</v>
      </c>
      <c r="BO50" s="17">
        <f t="shared" si="46"/>
        <v>96.606583304251529</v>
      </c>
      <c r="BP50" s="17">
        <f t="shared" si="47"/>
        <v>96.606583304251529</v>
      </c>
      <c r="BQ50" s="17">
        <f t="shared" si="48"/>
        <v>111.34765561712402</v>
      </c>
      <c r="BR50" s="17">
        <f t="shared" si="49"/>
        <v>0.86761218966692388</v>
      </c>
      <c r="BS50" s="17">
        <f t="shared" si="90"/>
        <v>32.373291015625</v>
      </c>
      <c r="BT50" s="1">
        <f t="shared" si="91"/>
        <v>0.49733333333333335</v>
      </c>
      <c r="BU50" s="1">
        <f t="shared" si="92"/>
        <v>0.4566608404129156</v>
      </c>
      <c r="BV50" s="1">
        <f t="shared" si="50"/>
        <v>0.32007354136848509</v>
      </c>
    </row>
    <row r="51" spans="1:74" ht="12.75" customHeight="1" x14ac:dyDescent="0.2">
      <c r="A51" s="5">
        <v>1E-3</v>
      </c>
      <c r="B51" s="75" t="s">
        <v>122</v>
      </c>
      <c r="C51" s="73">
        <v>44.582275390625</v>
      </c>
      <c r="D51" s="73">
        <v>34.841064453125</v>
      </c>
      <c r="E51" s="73">
        <v>32.243408203125</v>
      </c>
      <c r="F51" s="73">
        <v>20.164306640625</v>
      </c>
      <c r="G51" s="73">
        <v>132.967529296875</v>
      </c>
      <c r="H51" s="73">
        <v>132.967529296875</v>
      </c>
      <c r="I51" s="73">
        <v>132.967529296875</v>
      </c>
      <c r="J51" s="73">
        <v>132.967529296875</v>
      </c>
      <c r="K51" s="73">
        <v>132.967529296875</v>
      </c>
      <c r="L51" s="73">
        <v>132.967529296875</v>
      </c>
      <c r="M51" s="75">
        <v>30</v>
      </c>
      <c r="N51" s="73">
        <v>1.69677734375</v>
      </c>
      <c r="O51" s="86">
        <v>30</v>
      </c>
      <c r="P51" s="74">
        <v>1.3671875</v>
      </c>
      <c r="Q51" s="72">
        <v>1</v>
      </c>
      <c r="R51" s="71" t="str">
        <f t="shared" si="52"/>
        <v>Countercurrent</v>
      </c>
      <c r="S51" s="71" t="s">
        <v>113</v>
      </c>
      <c r="T51" s="70">
        <f t="shared" si="53"/>
        <v>4.1782530412261654</v>
      </c>
      <c r="U51" s="70">
        <f t="shared" si="54"/>
        <v>4.1789660838640525</v>
      </c>
      <c r="V51" s="18">
        <f t="shared" si="55"/>
        <v>39.711669921875</v>
      </c>
      <c r="W51" s="68">
        <f t="shared" si="56"/>
        <v>992.31850202862506</v>
      </c>
      <c r="X51" s="18">
        <f t="shared" si="57"/>
        <v>26.203857421875</v>
      </c>
      <c r="Y51" s="68">
        <f t="shared" si="58"/>
        <v>996.7385822916915</v>
      </c>
      <c r="Z51" s="68">
        <f t="shared" si="59"/>
        <v>9.7412109375</v>
      </c>
      <c r="AA51" s="68">
        <f t="shared" si="60"/>
        <v>-12.0791015625</v>
      </c>
      <c r="AB51" s="67">
        <f t="shared" si="61"/>
        <v>2.806239253376849E-2</v>
      </c>
      <c r="AC51" s="67">
        <f t="shared" si="62"/>
        <v>2.2712142174615368E-2</v>
      </c>
      <c r="AD51" s="85">
        <f t="shared" si="63"/>
        <v>1142.1742920500965</v>
      </c>
      <c r="AE51" s="85">
        <f t="shared" si="64"/>
        <v>1146.4670501798926</v>
      </c>
      <c r="AF51" s="85">
        <f t="shared" si="65"/>
        <v>-4.2927581297960842</v>
      </c>
      <c r="AG51" s="85">
        <f t="shared" si="66"/>
        <v>100.37584089921083</v>
      </c>
      <c r="AH51" s="85">
        <f t="shared" si="67"/>
        <v>39.893617021276597</v>
      </c>
      <c r="AI51" s="18"/>
      <c r="AJ51" s="85">
        <f t="shared" si="93"/>
        <v>40.043553550217091</v>
      </c>
      <c r="AK51" s="18"/>
      <c r="AL51" s="85">
        <f t="shared" si="68"/>
        <v>89.361702127659584</v>
      </c>
      <c r="AM51" s="18"/>
      <c r="AN51" s="85">
        <f t="shared" si="69"/>
        <v>12.800324052899139</v>
      </c>
      <c r="AO51" s="85">
        <f t="shared" si="70"/>
        <v>1117.4684332856361</v>
      </c>
      <c r="AP51" s="66"/>
      <c r="AQ51" s="17">
        <f t="shared" si="71"/>
        <v>0.04</v>
      </c>
      <c r="AR51" s="17">
        <f t="shared" si="72"/>
        <v>2863.050225405575</v>
      </c>
      <c r="AS51" s="17">
        <f t="shared" si="73"/>
        <v>1416.2961221421197</v>
      </c>
      <c r="AT51" s="17">
        <f t="shared" si="74"/>
        <v>17466.425137907761</v>
      </c>
      <c r="AU51" s="17">
        <f t="shared" si="75"/>
        <v>10695.522235104027</v>
      </c>
      <c r="AV51" s="17">
        <f t="shared" si="76"/>
        <v>6.0278384765624995E-4</v>
      </c>
      <c r="AW51" s="17">
        <f t="shared" si="77"/>
        <v>7.6098111328125003E-4</v>
      </c>
      <c r="AX51" s="17">
        <f t="shared" si="78"/>
        <v>8.0316705078125E-4</v>
      </c>
      <c r="AY51" s="17">
        <f t="shared" si="79"/>
        <v>9.9933166015624998E-4</v>
      </c>
      <c r="AZ51" s="17">
        <f t="shared" si="80"/>
        <v>3.0000000000000001E-3</v>
      </c>
      <c r="BA51" s="17">
        <f t="shared" si="81"/>
        <v>6.8188248046875005E-4</v>
      </c>
      <c r="BB51" s="17">
        <f t="shared" si="82"/>
        <v>9.0124935546874994E-4</v>
      </c>
      <c r="BC51" s="17">
        <f t="shared" si="83"/>
        <v>3.0000000000000001E-3</v>
      </c>
      <c r="BD51" s="17">
        <f t="shared" si="94"/>
        <v>94.477481225043192</v>
      </c>
      <c r="BE51" s="17">
        <f t="shared" si="95"/>
        <v>74.531435909325197</v>
      </c>
      <c r="BF51" s="17">
        <f t="shared" si="84"/>
        <v>4.5657529296875001</v>
      </c>
      <c r="BG51" s="17">
        <f t="shared" si="85"/>
        <v>6.2407216796874998</v>
      </c>
      <c r="BH51" s="17">
        <f t="shared" si="86"/>
        <v>0.38122012727478144</v>
      </c>
      <c r="BI51" s="17">
        <f t="shared" si="87"/>
        <v>0.4709429615592346</v>
      </c>
      <c r="BJ51" s="17">
        <f t="shared" si="43"/>
        <v>2230.7526890137715</v>
      </c>
      <c r="BK51" s="17">
        <f t="shared" si="44"/>
        <v>2239.1367699793304</v>
      </c>
      <c r="BL51" s="17">
        <f t="shared" si="88"/>
        <v>79.787234042553195</v>
      </c>
      <c r="BM51" s="17">
        <f t="shared" si="89"/>
        <v>98.936170212765958</v>
      </c>
      <c r="BN51" s="17">
        <f t="shared" si="45"/>
        <v>117.25177694830063</v>
      </c>
      <c r="BO51" s="17">
        <f t="shared" si="46"/>
        <v>94.913271839615973</v>
      </c>
      <c r="BP51" s="17">
        <f t="shared" si="47"/>
        <v>94.913271839615973</v>
      </c>
      <c r="BQ51" s="17">
        <f t="shared" si="48"/>
        <v>117.25177694830063</v>
      </c>
      <c r="BR51" s="17">
        <f t="shared" si="49"/>
        <v>0.80948258789686156</v>
      </c>
      <c r="BS51" s="17">
        <f t="shared" si="90"/>
        <v>32.373291015625</v>
      </c>
      <c r="BT51" s="1">
        <f t="shared" si="91"/>
        <v>0.49468085106382981</v>
      </c>
      <c r="BU51" s="1">
        <f t="shared" si="92"/>
        <v>0.4709429615592346</v>
      </c>
      <c r="BV51" s="1">
        <f t="shared" si="50"/>
        <v>0.33008039339127454</v>
      </c>
    </row>
    <row r="52" spans="1:74" ht="12.75" customHeight="1" x14ac:dyDescent="0.2">
      <c r="A52" s="5">
        <v>1E-3</v>
      </c>
      <c r="B52" s="64" t="s">
        <v>123</v>
      </c>
      <c r="C52" s="62">
        <v>40.5234375</v>
      </c>
      <c r="D52" s="62">
        <v>30.0029296875</v>
      </c>
      <c r="E52" s="62">
        <v>26.528564453125</v>
      </c>
      <c r="F52" s="62">
        <v>20.001953125</v>
      </c>
      <c r="G52" s="62">
        <v>132.967529296875</v>
      </c>
      <c r="H52" s="62">
        <v>132.967529296875</v>
      </c>
      <c r="I52" s="62">
        <v>132.967529296875</v>
      </c>
      <c r="J52" s="62">
        <v>132.967529296875</v>
      </c>
      <c r="K52" s="62">
        <v>132.967529296875</v>
      </c>
      <c r="L52" s="62">
        <v>132.967529296875</v>
      </c>
      <c r="M52" s="64">
        <v>30</v>
      </c>
      <c r="N52" s="62">
        <v>1.69677734375</v>
      </c>
      <c r="O52" s="84">
        <v>60</v>
      </c>
      <c r="P52" s="63">
        <v>2.8564453125</v>
      </c>
      <c r="Q52" s="61">
        <v>1</v>
      </c>
      <c r="R52" s="60" t="str">
        <f t="shared" si="52"/>
        <v>Countercurrent</v>
      </c>
      <c r="S52" s="60" t="s">
        <v>113</v>
      </c>
      <c r="T52" s="59">
        <f t="shared" si="53"/>
        <v>4.1779500727105603</v>
      </c>
      <c r="U52" s="59">
        <f t="shared" si="54"/>
        <v>4.1799462630460882</v>
      </c>
      <c r="V52" s="53">
        <f t="shared" si="55"/>
        <v>35.26318359375</v>
      </c>
      <c r="W52" s="57">
        <f t="shared" si="56"/>
        <v>993.93969784154399</v>
      </c>
      <c r="X52" s="53">
        <f t="shared" si="57"/>
        <v>23.2652587890625</v>
      </c>
      <c r="Y52" s="57">
        <f t="shared" si="58"/>
        <v>997.48519610850269</v>
      </c>
      <c r="Z52" s="57">
        <f t="shared" si="59"/>
        <v>10.5205078125</v>
      </c>
      <c r="AA52" s="57">
        <f t="shared" si="60"/>
        <v>-6.526611328125</v>
      </c>
      <c r="AB52" s="56">
        <f t="shared" si="61"/>
        <v>2.8108239339187546E-2</v>
      </c>
      <c r="AC52" s="56">
        <f t="shared" si="62"/>
        <v>4.7487698545204599E-2</v>
      </c>
      <c r="AD52" s="83">
        <f t="shared" si="63"/>
        <v>1235.4739474863566</v>
      </c>
      <c r="AE52" s="83">
        <f t="shared" si="64"/>
        <v>1295.5064254200711</v>
      </c>
      <c r="AF52" s="83">
        <f t="shared" si="65"/>
        <v>-60.032477933714517</v>
      </c>
      <c r="AG52" s="83">
        <f t="shared" si="66"/>
        <v>104.85906465740165</v>
      </c>
      <c r="AH52" s="83">
        <f t="shared" si="67"/>
        <v>51.265822784810133</v>
      </c>
      <c r="AI52" s="53"/>
      <c r="AJ52" s="83">
        <f t="shared" si="93"/>
        <v>53.756862261073003</v>
      </c>
      <c r="AK52" s="53"/>
      <c r="AL52" s="83">
        <f t="shared" si="68"/>
        <v>83.069620253164558</v>
      </c>
      <c r="AM52" s="53"/>
      <c r="AN52" s="83">
        <f t="shared" si="69"/>
        <v>11.291987667097571</v>
      </c>
      <c r="AO52" s="83">
        <f t="shared" si="70"/>
        <v>1400.0836995404763</v>
      </c>
      <c r="AP52" s="54"/>
      <c r="AQ52" s="52">
        <f t="shared" si="71"/>
        <v>0.04</v>
      </c>
      <c r="AR52" s="52">
        <f t="shared" si="72"/>
        <v>2409.9368358375841</v>
      </c>
      <c r="AS52" s="52">
        <f t="shared" si="73"/>
        <v>766.45143038505444</v>
      </c>
      <c r="AT52" s="52">
        <f t="shared" si="74"/>
        <v>15818.98634064756</v>
      </c>
      <c r="AU52" s="52">
        <f t="shared" si="75"/>
        <v>21238.140889141632</v>
      </c>
      <c r="AV52" s="52">
        <f t="shared" si="76"/>
        <v>6.6869937500000005E-4</v>
      </c>
      <c r="AW52" s="52">
        <f t="shared" si="77"/>
        <v>8.3955242187500002E-4</v>
      </c>
      <c r="AX52" s="52">
        <f t="shared" si="78"/>
        <v>8.9597611328124998E-4</v>
      </c>
      <c r="AY52" s="52">
        <f t="shared" si="79"/>
        <v>1.0019682812500001E-3</v>
      </c>
      <c r="AZ52" s="52">
        <f t="shared" si="80"/>
        <v>3.0000000000000001E-3</v>
      </c>
      <c r="BA52" s="52">
        <f t="shared" si="81"/>
        <v>7.5412589843749998E-4</v>
      </c>
      <c r="BB52" s="52">
        <f t="shared" si="82"/>
        <v>9.4897219726562503E-4</v>
      </c>
      <c r="BC52" s="52">
        <f t="shared" si="83"/>
        <v>3.0000000000000001E-3</v>
      </c>
      <c r="BD52" s="52">
        <f t="shared" si="94"/>
        <v>90.660753718023486</v>
      </c>
      <c r="BE52" s="52">
        <f t="shared" si="95"/>
        <v>137.6722429833498</v>
      </c>
      <c r="BF52" s="52">
        <f t="shared" si="84"/>
        <v>5.1173652343750007</v>
      </c>
      <c r="BG52" s="52">
        <f t="shared" si="85"/>
        <v>6.6051079101562502</v>
      </c>
      <c r="BH52" s="52">
        <f t="shared" si="86"/>
        <v>0.47688877710898542</v>
      </c>
      <c r="BI52" s="52">
        <f t="shared" si="87"/>
        <v>0.28213838092793958</v>
      </c>
      <c r="BJ52" s="52">
        <f t="shared" si="43"/>
        <v>2735.2889143827674</v>
      </c>
      <c r="BK52" s="52">
        <f t="shared" si="44"/>
        <v>2868.1983712993656</v>
      </c>
      <c r="BL52" s="52">
        <f t="shared" si="88"/>
        <v>102.53164556962025</v>
      </c>
      <c r="BM52" s="52">
        <f t="shared" si="89"/>
        <v>63.607594936708864</v>
      </c>
      <c r="BN52" s="52">
        <f t="shared" si="45"/>
        <v>117.43482059092445</v>
      </c>
      <c r="BO52" s="52">
        <f t="shared" si="46"/>
        <v>198.4960280746871</v>
      </c>
      <c r="BP52" s="52">
        <f t="shared" si="47"/>
        <v>117.43482059092445</v>
      </c>
      <c r="BQ52" s="52">
        <f t="shared" si="48"/>
        <v>198.4960280746871</v>
      </c>
      <c r="BR52" s="52">
        <f t="shared" si="49"/>
        <v>0.5916230250548784</v>
      </c>
      <c r="BS52" s="52">
        <f t="shared" si="90"/>
        <v>30.2626953125</v>
      </c>
      <c r="BT52" s="1">
        <f t="shared" si="91"/>
        <v>0.31803797468354428</v>
      </c>
      <c r="BU52" s="1">
        <f t="shared" si="92"/>
        <v>0.47688877710898542</v>
      </c>
      <c r="BV52" s="1">
        <f t="shared" si="50"/>
        <v>0.34490370758647182</v>
      </c>
    </row>
    <row r="53" spans="1:74" ht="12.75" customHeight="1" x14ac:dyDescent="0.2">
      <c r="A53" s="5">
        <v>1E-3</v>
      </c>
      <c r="B53" s="64" t="s">
        <v>124</v>
      </c>
      <c r="C53" s="62">
        <v>40.490966796875</v>
      </c>
      <c r="D53" s="62">
        <v>30.0029296875</v>
      </c>
      <c r="E53" s="62">
        <v>26.528564453125</v>
      </c>
      <c r="F53" s="62">
        <v>20.001953125</v>
      </c>
      <c r="G53" s="62">
        <v>132.967529296875</v>
      </c>
      <c r="H53" s="62">
        <v>132.967529296875</v>
      </c>
      <c r="I53" s="62">
        <v>132.967529296875</v>
      </c>
      <c r="J53" s="62">
        <v>132.967529296875</v>
      </c>
      <c r="K53" s="62">
        <v>132.967529296875</v>
      </c>
      <c r="L53" s="62">
        <v>132.967529296875</v>
      </c>
      <c r="M53" s="64">
        <v>30</v>
      </c>
      <c r="N53" s="62">
        <v>1.69677734375</v>
      </c>
      <c r="O53" s="84">
        <v>60</v>
      </c>
      <c r="P53" s="63">
        <v>2.734375</v>
      </c>
      <c r="Q53" s="61">
        <v>1</v>
      </c>
      <c r="R53" s="60" t="str">
        <f t="shared" si="52"/>
        <v>Countercurrent</v>
      </c>
      <c r="S53" s="60" t="s">
        <v>113</v>
      </c>
      <c r="T53" s="59">
        <f t="shared" si="53"/>
        <v>4.1779497900699782</v>
      </c>
      <c r="U53" s="59">
        <f t="shared" si="54"/>
        <v>4.1799462630460882</v>
      </c>
      <c r="V53" s="53">
        <f t="shared" si="55"/>
        <v>35.2469482421875</v>
      </c>
      <c r="W53" s="57">
        <f t="shared" si="56"/>
        <v>993.94533363488381</v>
      </c>
      <c r="X53" s="53">
        <f t="shared" si="57"/>
        <v>23.2652587890625</v>
      </c>
      <c r="Y53" s="57">
        <f t="shared" si="58"/>
        <v>997.48519610850269</v>
      </c>
      <c r="Z53" s="57">
        <f t="shared" si="59"/>
        <v>10.488037109375</v>
      </c>
      <c r="AA53" s="57">
        <f t="shared" si="60"/>
        <v>-6.526611328125</v>
      </c>
      <c r="AB53" s="56">
        <f t="shared" si="61"/>
        <v>2.8108398717295095E-2</v>
      </c>
      <c r="AC53" s="56">
        <f t="shared" si="62"/>
        <v>4.5458309718486453E-2</v>
      </c>
      <c r="AD53" s="83">
        <f t="shared" si="63"/>
        <v>1231.6676566762951</v>
      </c>
      <c r="AE53" s="83">
        <f t="shared" si="64"/>
        <v>1240.142902966222</v>
      </c>
      <c r="AF53" s="83">
        <f t="shared" si="65"/>
        <v>-8.4752462899268721</v>
      </c>
      <c r="AG53" s="83">
        <f t="shared" si="66"/>
        <v>100.68811145961222</v>
      </c>
      <c r="AH53" s="83">
        <f t="shared" si="67"/>
        <v>51.188589540412046</v>
      </c>
      <c r="AI53" s="53"/>
      <c r="AJ53" s="83">
        <f t="shared" si="93"/>
        <v>51.540824091053487</v>
      </c>
      <c r="AK53" s="53"/>
      <c r="AL53" s="83">
        <f t="shared" si="68"/>
        <v>83.042789223454832</v>
      </c>
      <c r="AM53" s="53"/>
      <c r="AN53" s="83">
        <f t="shared" si="69"/>
        <v>11.278150623853353</v>
      </c>
      <c r="AO53" s="83">
        <f t="shared" si="70"/>
        <v>1369.7843636401431</v>
      </c>
      <c r="AP53" s="54"/>
      <c r="AQ53" s="52">
        <f t="shared" si="71"/>
        <v>0.04</v>
      </c>
      <c r="AR53" s="52">
        <f t="shared" si="72"/>
        <v>2406.1371249620502</v>
      </c>
      <c r="AS53" s="52">
        <f t="shared" si="73"/>
        <v>766.45572443323636</v>
      </c>
      <c r="AT53" s="52">
        <f t="shared" si="74"/>
        <v>15813.547207669531</v>
      </c>
      <c r="AU53" s="52">
        <f t="shared" si="75"/>
        <v>20330.528030631307</v>
      </c>
      <c r="AV53" s="52">
        <f t="shared" si="76"/>
        <v>6.6922669921874994E-4</v>
      </c>
      <c r="AW53" s="52">
        <f t="shared" si="77"/>
        <v>8.3955242187500002E-4</v>
      </c>
      <c r="AX53" s="52">
        <f t="shared" si="78"/>
        <v>8.9597611328124998E-4</v>
      </c>
      <c r="AY53" s="52">
        <f t="shared" si="79"/>
        <v>1.0019682812500001E-3</v>
      </c>
      <c r="AZ53" s="52">
        <f t="shared" si="80"/>
        <v>3.0000000000000001E-3</v>
      </c>
      <c r="BA53" s="52">
        <f t="shared" si="81"/>
        <v>7.5438956054687503E-4</v>
      </c>
      <c r="BB53" s="52">
        <f t="shared" si="82"/>
        <v>9.4897219726562503E-4</v>
      </c>
      <c r="BC53" s="52">
        <f t="shared" si="83"/>
        <v>3.0000000000000001E-3</v>
      </c>
      <c r="BD53" s="52">
        <f t="shared" si="94"/>
        <v>90.647698811998936</v>
      </c>
      <c r="BE53" s="52">
        <f t="shared" si="95"/>
        <v>132.5565741940886</v>
      </c>
      <c r="BF53" s="52">
        <f t="shared" si="84"/>
        <v>5.1193784179687505</v>
      </c>
      <c r="BG53" s="52">
        <f t="shared" si="85"/>
        <v>6.6051079101562502</v>
      </c>
      <c r="BH53" s="52">
        <f t="shared" si="86"/>
        <v>0.46656577071992333</v>
      </c>
      <c r="BI53" s="52">
        <f t="shared" si="87"/>
        <v>0.28835548301535552</v>
      </c>
      <c r="BJ53" s="52">
        <f t="shared" si="43"/>
        <v>2730.2074997812829</v>
      </c>
      <c r="BK53" s="52">
        <f t="shared" si="44"/>
        <v>2748.9943704584703</v>
      </c>
      <c r="BL53" s="52">
        <f t="shared" si="88"/>
        <v>102.37717908082409</v>
      </c>
      <c r="BM53" s="52">
        <f t="shared" si="89"/>
        <v>63.70839936608558</v>
      </c>
      <c r="BN53" s="52">
        <f t="shared" si="45"/>
        <v>117.43547852012628</v>
      </c>
      <c r="BO53" s="52">
        <f t="shared" si="46"/>
        <v>190.01329183217914</v>
      </c>
      <c r="BP53" s="52">
        <f t="shared" si="47"/>
        <v>117.43547852012628</v>
      </c>
      <c r="BQ53" s="52">
        <f t="shared" si="48"/>
        <v>190.01329183217914</v>
      </c>
      <c r="BR53" s="52">
        <f t="shared" si="49"/>
        <v>0.61803822978787182</v>
      </c>
      <c r="BS53" s="52">
        <f t="shared" si="90"/>
        <v>30.2464599609375</v>
      </c>
      <c r="BT53" s="1">
        <f t="shared" si="91"/>
        <v>0.31854199683042789</v>
      </c>
      <c r="BU53" s="1">
        <f t="shared" si="92"/>
        <v>0.46656577071992333</v>
      </c>
      <c r="BV53" s="1">
        <f t="shared" si="50"/>
        <v>0.33806521923064525</v>
      </c>
    </row>
    <row r="54" spans="1:74" ht="12.75" customHeight="1" x14ac:dyDescent="0.2">
      <c r="A54" s="5">
        <v>1E-3</v>
      </c>
      <c r="B54" s="64" t="s">
        <v>125</v>
      </c>
      <c r="C54" s="62">
        <v>40.58837890625</v>
      </c>
      <c r="D54" s="62">
        <v>29.970458984375</v>
      </c>
      <c r="E54" s="62">
        <v>26.528564453125</v>
      </c>
      <c r="F54" s="62">
        <v>20.001953125</v>
      </c>
      <c r="G54" s="62">
        <v>132.967529296875</v>
      </c>
      <c r="H54" s="62">
        <v>132.967529296875</v>
      </c>
      <c r="I54" s="62">
        <v>132.967529296875</v>
      </c>
      <c r="J54" s="62">
        <v>132.967529296875</v>
      </c>
      <c r="K54" s="62">
        <v>132.967529296875</v>
      </c>
      <c r="L54" s="62">
        <v>132.967529296875</v>
      </c>
      <c r="M54" s="64">
        <v>30</v>
      </c>
      <c r="N54" s="62">
        <v>1.708984375</v>
      </c>
      <c r="O54" s="84">
        <v>60</v>
      </c>
      <c r="P54" s="63">
        <v>2.8076171875</v>
      </c>
      <c r="Q54" s="61">
        <v>1</v>
      </c>
      <c r="R54" s="60" t="str">
        <f t="shared" si="52"/>
        <v>Countercurrent</v>
      </c>
      <c r="S54" s="60" t="s">
        <v>113</v>
      </c>
      <c r="T54" s="59">
        <f t="shared" si="53"/>
        <v>4.1779503617250509</v>
      </c>
      <c r="U54" s="59">
        <f t="shared" si="54"/>
        <v>4.1799462630460882</v>
      </c>
      <c r="V54" s="53">
        <f t="shared" si="55"/>
        <v>35.2794189453125</v>
      </c>
      <c r="W54" s="57">
        <f t="shared" si="56"/>
        <v>993.93405994979025</v>
      </c>
      <c r="X54" s="53">
        <f t="shared" si="57"/>
        <v>23.2652587890625</v>
      </c>
      <c r="Y54" s="57">
        <f t="shared" si="58"/>
        <v>997.48519610850269</v>
      </c>
      <c r="Z54" s="57">
        <f t="shared" si="59"/>
        <v>10.617919921875</v>
      </c>
      <c r="AA54" s="57">
        <f t="shared" si="60"/>
        <v>-6.526611328125</v>
      </c>
      <c r="AB54" s="56">
        <f t="shared" si="61"/>
        <v>2.8310296303908414E-2</v>
      </c>
      <c r="AC54" s="56">
        <f t="shared" si="62"/>
        <v>4.6675943014517336E-2</v>
      </c>
      <c r="AD54" s="83">
        <f t="shared" si="63"/>
        <v>1255.8770851113893</v>
      </c>
      <c r="AE54" s="83">
        <f t="shared" si="64"/>
        <v>1273.3610164385311</v>
      </c>
      <c r="AF54" s="83">
        <f t="shared" si="65"/>
        <v>-17.483931327141818</v>
      </c>
      <c r="AG54" s="83">
        <f t="shared" si="66"/>
        <v>101.39216898965802</v>
      </c>
      <c r="AH54" s="83">
        <f t="shared" si="67"/>
        <v>51.577287066246051</v>
      </c>
      <c r="AI54" s="53"/>
      <c r="AJ54" s="83">
        <f t="shared" si="93"/>
        <v>52.295330062489221</v>
      </c>
      <c r="AK54" s="53"/>
      <c r="AL54" s="83">
        <f t="shared" si="68"/>
        <v>83.280757097791792</v>
      </c>
      <c r="AM54" s="53"/>
      <c r="AN54" s="83">
        <f t="shared" si="69"/>
        <v>11.302286735335363</v>
      </c>
      <c r="AO54" s="83">
        <f t="shared" si="70"/>
        <v>1398.5650089767703</v>
      </c>
      <c r="AP54" s="54"/>
      <c r="AQ54" s="52">
        <f t="shared" si="71"/>
        <v>0.04</v>
      </c>
      <c r="AR54" s="52">
        <f t="shared" si="72"/>
        <v>2434.9421160875258</v>
      </c>
      <c r="AS54" s="52">
        <f t="shared" si="73"/>
        <v>771.96114405929438</v>
      </c>
      <c r="AT54" s="52">
        <f t="shared" si="74"/>
        <v>15938.274059584131</v>
      </c>
      <c r="AU54" s="52">
        <f t="shared" si="75"/>
        <v>20875.095745737501</v>
      </c>
      <c r="AV54" s="52">
        <f t="shared" si="76"/>
        <v>6.6764472656250006E-4</v>
      </c>
      <c r="AW54" s="52">
        <f t="shared" si="77"/>
        <v>8.4007974609375002E-4</v>
      </c>
      <c r="AX54" s="52">
        <f t="shared" si="78"/>
        <v>8.9597611328124998E-4</v>
      </c>
      <c r="AY54" s="52">
        <f t="shared" si="79"/>
        <v>1.0019682812500001E-3</v>
      </c>
      <c r="AZ54" s="52">
        <f t="shared" si="80"/>
        <v>3.0000000000000001E-3</v>
      </c>
      <c r="BA54" s="52">
        <f t="shared" si="81"/>
        <v>7.5386223632812504E-4</v>
      </c>
      <c r="BB54" s="52">
        <f t="shared" si="82"/>
        <v>9.4897219726562503E-4</v>
      </c>
      <c r="BC54" s="52">
        <f t="shared" si="83"/>
        <v>3.0000000000000001E-3</v>
      </c>
      <c r="BD54" s="52">
        <f t="shared" si="94"/>
        <v>91.195303853501642</v>
      </c>
      <c r="BE54" s="52">
        <f t="shared" si="95"/>
        <v>135.62953523090562</v>
      </c>
      <c r="BF54" s="52">
        <f t="shared" si="84"/>
        <v>5.11535205078125</v>
      </c>
      <c r="BG54" s="52">
        <f t="shared" si="85"/>
        <v>6.6051079101562502</v>
      </c>
      <c r="BH54" s="52">
        <f t="shared" si="86"/>
        <v>0.47297148572575909</v>
      </c>
      <c r="BI54" s="52">
        <f t="shared" si="87"/>
        <v>0.28673377346628265</v>
      </c>
      <c r="BJ54" s="52">
        <f t="shared" si="43"/>
        <v>2777.9269684979477</v>
      </c>
      <c r="BK54" s="52">
        <f t="shared" si="44"/>
        <v>2816.600406308723</v>
      </c>
      <c r="BL54" s="52">
        <f t="shared" si="88"/>
        <v>103.15457413249212</v>
      </c>
      <c r="BM54" s="52">
        <f t="shared" si="89"/>
        <v>63.406940063091483</v>
      </c>
      <c r="BN54" s="52">
        <f t="shared" si="45"/>
        <v>118.27901268345752</v>
      </c>
      <c r="BO54" s="52">
        <f t="shared" si="46"/>
        <v>195.1029335776839</v>
      </c>
      <c r="BP54" s="52">
        <f t="shared" si="47"/>
        <v>118.27901268345752</v>
      </c>
      <c r="BQ54" s="52">
        <f t="shared" si="48"/>
        <v>195.1029335776839</v>
      </c>
      <c r="BR54" s="52">
        <f t="shared" si="49"/>
        <v>0.60623902734072688</v>
      </c>
      <c r="BS54" s="52">
        <f t="shared" si="90"/>
        <v>30.295166015625</v>
      </c>
      <c r="BT54" s="1">
        <f t="shared" si="91"/>
        <v>0.31703470031545744</v>
      </c>
      <c r="BU54" s="1">
        <f t="shared" si="92"/>
        <v>0.47297148572575909</v>
      </c>
      <c r="BV54" s="1">
        <f t="shared" si="50"/>
        <v>0.34205348037714278</v>
      </c>
    </row>
    <row r="55" spans="1:74" ht="12.75" customHeight="1" x14ac:dyDescent="0.2">
      <c r="A55" s="5">
        <v>1E-3</v>
      </c>
      <c r="B55" s="64" t="s">
        <v>126</v>
      </c>
      <c r="C55" s="62">
        <v>40.555908203125</v>
      </c>
      <c r="D55" s="62">
        <v>30.0029296875</v>
      </c>
      <c r="E55" s="62">
        <v>26.56103515625</v>
      </c>
      <c r="F55" s="62">
        <v>20.001953125</v>
      </c>
      <c r="G55" s="62">
        <v>132.967529296875</v>
      </c>
      <c r="H55" s="62">
        <v>132.967529296875</v>
      </c>
      <c r="I55" s="62">
        <v>132.967529296875</v>
      </c>
      <c r="J55" s="62">
        <v>132.967529296875</v>
      </c>
      <c r="K55" s="62">
        <v>132.967529296875</v>
      </c>
      <c r="L55" s="62">
        <v>132.967529296875</v>
      </c>
      <c r="M55" s="64">
        <v>30</v>
      </c>
      <c r="N55" s="62">
        <v>1.708984375</v>
      </c>
      <c r="O55" s="84">
        <v>60</v>
      </c>
      <c r="P55" s="63">
        <v>2.86865234375</v>
      </c>
      <c r="Q55" s="61">
        <v>1</v>
      </c>
      <c r="R55" s="60" t="str">
        <f t="shared" si="52"/>
        <v>Countercurrent</v>
      </c>
      <c r="S55" s="60" t="s">
        <v>113</v>
      </c>
      <c r="T55" s="59">
        <f t="shared" si="53"/>
        <v>4.1779503617250509</v>
      </c>
      <c r="U55" s="59">
        <f t="shared" si="54"/>
        <v>4.1799397084112293</v>
      </c>
      <c r="V55" s="53">
        <f t="shared" si="55"/>
        <v>35.2794189453125</v>
      </c>
      <c r="W55" s="57">
        <f t="shared" si="56"/>
        <v>993.93405994979025</v>
      </c>
      <c r="X55" s="53">
        <f t="shared" si="57"/>
        <v>23.281494140625</v>
      </c>
      <c r="Y55" s="57">
        <f t="shared" si="58"/>
        <v>997.4813064560351</v>
      </c>
      <c r="Z55" s="57">
        <f t="shared" si="59"/>
        <v>10.552978515625</v>
      </c>
      <c r="AA55" s="57">
        <f t="shared" si="60"/>
        <v>-6.55908203125</v>
      </c>
      <c r="AB55" s="56">
        <f t="shared" si="61"/>
        <v>2.8310296303908414E-2</v>
      </c>
      <c r="AC55" s="56">
        <f t="shared" si="62"/>
        <v>4.7690451460198617E-2</v>
      </c>
      <c r="AD55" s="83">
        <f t="shared" si="63"/>
        <v>1248.1958796978643</v>
      </c>
      <c r="AE55" s="83">
        <f t="shared" si="64"/>
        <v>1307.5084783758286</v>
      </c>
      <c r="AF55" s="83">
        <f t="shared" si="65"/>
        <v>-59.312598677964388</v>
      </c>
      <c r="AG55" s="83">
        <f t="shared" si="66"/>
        <v>104.75186624492956</v>
      </c>
      <c r="AH55" s="83">
        <f t="shared" si="67"/>
        <v>51.342812006319122</v>
      </c>
      <c r="AI55" s="53"/>
      <c r="AJ55" s="83">
        <f t="shared" si="93"/>
        <v>53.78255375924504</v>
      </c>
      <c r="AK55" s="53"/>
      <c r="AL55" s="83">
        <f t="shared" si="68"/>
        <v>83.254344391785153</v>
      </c>
      <c r="AM55" s="53"/>
      <c r="AN55" s="83">
        <f t="shared" si="69"/>
        <v>11.291987667097571</v>
      </c>
      <c r="AO55" s="83">
        <f t="shared" si="70"/>
        <v>1413.7944039133376</v>
      </c>
      <c r="AP55" s="54"/>
      <c r="AQ55" s="52">
        <f t="shared" si="71"/>
        <v>0.04</v>
      </c>
      <c r="AR55" s="52">
        <f t="shared" si="72"/>
        <v>2431.1015133807632</v>
      </c>
      <c r="AS55" s="52">
        <f t="shared" si="73"/>
        <v>775.80174676605714</v>
      </c>
      <c r="AT55" s="52">
        <f t="shared" si="74"/>
        <v>15938.274059584133</v>
      </c>
      <c r="AU55" s="52">
        <f t="shared" si="75"/>
        <v>21334.746642496477</v>
      </c>
      <c r="AV55" s="52">
        <f t="shared" si="76"/>
        <v>6.6817205078124994E-4</v>
      </c>
      <c r="AW55" s="52">
        <f t="shared" si="77"/>
        <v>8.3955242187500002E-4</v>
      </c>
      <c r="AX55" s="52">
        <f t="shared" si="78"/>
        <v>8.954487890625001E-4</v>
      </c>
      <c r="AY55" s="52">
        <f t="shared" si="79"/>
        <v>1.0019682812500001E-3</v>
      </c>
      <c r="AZ55" s="52">
        <f t="shared" si="80"/>
        <v>3.0000000000000001E-3</v>
      </c>
      <c r="BA55" s="52">
        <f t="shared" si="81"/>
        <v>7.5386223632812493E-4</v>
      </c>
      <c r="BB55" s="52">
        <f t="shared" si="82"/>
        <v>9.4870853515625008E-4</v>
      </c>
      <c r="BC55" s="52">
        <f t="shared" si="83"/>
        <v>3.0000000000000001E-3</v>
      </c>
      <c r="BD55" s="52">
        <f t="shared" si="94"/>
        <v>91.195303853501642</v>
      </c>
      <c r="BE55" s="52">
        <f t="shared" si="95"/>
        <v>138.20097552122073</v>
      </c>
      <c r="BF55" s="52">
        <f t="shared" si="84"/>
        <v>5.11535205078125</v>
      </c>
      <c r="BG55" s="52">
        <f t="shared" si="85"/>
        <v>6.6030947265624995</v>
      </c>
      <c r="BH55" s="52">
        <f t="shared" si="86"/>
        <v>0.47812181445815216</v>
      </c>
      <c r="BI55" s="52">
        <f t="shared" si="87"/>
        <v>0.28369050370086552</v>
      </c>
      <c r="BJ55" s="52">
        <f t="shared" si="43"/>
        <v>2763.4547532646516</v>
      </c>
      <c r="BK55" s="52">
        <f t="shared" si="44"/>
        <v>2894.7704268789362</v>
      </c>
      <c r="BL55" s="52">
        <f t="shared" si="88"/>
        <v>102.68562401263823</v>
      </c>
      <c r="BM55" s="52">
        <f t="shared" si="89"/>
        <v>63.823064770932071</v>
      </c>
      <c r="BN55" s="52">
        <f t="shared" si="45"/>
        <v>118.27901268345752</v>
      </c>
      <c r="BO55" s="52">
        <f t="shared" si="46"/>
        <v>199.3432117705425</v>
      </c>
      <c r="BP55" s="52">
        <f t="shared" si="47"/>
        <v>118.27901268345752</v>
      </c>
      <c r="BQ55" s="52">
        <f t="shared" si="48"/>
        <v>199.3432117705425</v>
      </c>
      <c r="BR55" s="52">
        <f t="shared" si="49"/>
        <v>0.59334356877727368</v>
      </c>
      <c r="BS55" s="52">
        <f t="shared" si="90"/>
        <v>30.2789306640625</v>
      </c>
      <c r="BT55" s="1">
        <f t="shared" si="91"/>
        <v>0.31911532385466035</v>
      </c>
      <c r="BU55" s="1">
        <f t="shared" si="92"/>
        <v>0.47812181445815216</v>
      </c>
      <c r="BV55" s="1">
        <f t="shared" si="50"/>
        <v>0.34545014277538899</v>
      </c>
    </row>
    <row r="56" spans="1:74" ht="12.75" customHeight="1" x14ac:dyDescent="0.2">
      <c r="A56" s="5">
        <v>1E-3</v>
      </c>
      <c r="B56" s="64" t="s">
        <v>127</v>
      </c>
      <c r="C56" s="62">
        <v>40.45849609375</v>
      </c>
      <c r="D56" s="62">
        <v>30.0029296875</v>
      </c>
      <c r="E56" s="62">
        <v>26.528564453125</v>
      </c>
      <c r="F56" s="62">
        <v>20.034423828125</v>
      </c>
      <c r="G56" s="62">
        <v>132.967529296875</v>
      </c>
      <c r="H56" s="62">
        <v>132.967529296875</v>
      </c>
      <c r="I56" s="62">
        <v>132.967529296875</v>
      </c>
      <c r="J56" s="62">
        <v>132.967529296875</v>
      </c>
      <c r="K56" s="62">
        <v>132.967529296875</v>
      </c>
      <c r="L56" s="62">
        <v>132.967529296875</v>
      </c>
      <c r="M56" s="64">
        <v>30</v>
      </c>
      <c r="N56" s="62">
        <v>1.69677734375</v>
      </c>
      <c r="O56" s="84">
        <v>60</v>
      </c>
      <c r="P56" s="63">
        <v>2.9052734375</v>
      </c>
      <c r="Q56" s="61">
        <v>1</v>
      </c>
      <c r="R56" s="60" t="str">
        <f t="shared" si="52"/>
        <v>Countercurrent</v>
      </c>
      <c r="S56" s="60" t="s">
        <v>113</v>
      </c>
      <c r="T56" s="59">
        <f t="shared" si="53"/>
        <v>4.1779495138081275</v>
      </c>
      <c r="U56" s="59">
        <f t="shared" si="54"/>
        <v>4.1799397084112293</v>
      </c>
      <c r="V56" s="53">
        <f t="shared" si="55"/>
        <v>35.230712890625</v>
      </c>
      <c r="W56" s="57">
        <f t="shared" si="56"/>
        <v>993.95096732917989</v>
      </c>
      <c r="X56" s="53">
        <f t="shared" si="57"/>
        <v>23.281494140625</v>
      </c>
      <c r="Y56" s="57">
        <f t="shared" si="58"/>
        <v>997.4813064560351</v>
      </c>
      <c r="Z56" s="57">
        <f t="shared" si="59"/>
        <v>10.45556640625</v>
      </c>
      <c r="AA56" s="57">
        <f t="shared" si="60"/>
        <v>-6.494140625</v>
      </c>
      <c r="AB56" s="56">
        <f t="shared" si="61"/>
        <v>2.810855803604248E-2</v>
      </c>
      <c r="AC56" s="56">
        <f t="shared" si="62"/>
        <v>4.8299265734158596E-2</v>
      </c>
      <c r="AD56" s="83">
        <f t="shared" si="63"/>
        <v>1227.8613224200756</v>
      </c>
      <c r="AE56" s="83">
        <f t="shared" si="64"/>
        <v>1311.0891841308076</v>
      </c>
      <c r="AF56" s="83">
        <f t="shared" si="65"/>
        <v>-83.227861710731986</v>
      </c>
      <c r="AG56" s="83">
        <f t="shared" si="66"/>
        <v>106.77827863709335</v>
      </c>
      <c r="AH56" s="83">
        <f t="shared" si="67"/>
        <v>51.192368839427658</v>
      </c>
      <c r="AI56" s="53"/>
      <c r="AJ56" s="83">
        <f t="shared" si="93"/>
        <v>54.662330240292611</v>
      </c>
      <c r="AK56" s="53"/>
      <c r="AL56" s="83">
        <f t="shared" si="68"/>
        <v>82.988871224165337</v>
      </c>
      <c r="AM56" s="53"/>
      <c r="AN56" s="83">
        <f t="shared" si="69"/>
        <v>11.247015367532452</v>
      </c>
      <c r="AO56" s="83">
        <f t="shared" si="70"/>
        <v>1409.3862790943497</v>
      </c>
      <c r="AP56" s="54"/>
      <c r="AQ56" s="52">
        <f t="shared" si="71"/>
        <v>0.04</v>
      </c>
      <c r="AR56" s="52">
        <f t="shared" si="72"/>
        <v>2398.5241360317627</v>
      </c>
      <c r="AS56" s="52">
        <f t="shared" si="73"/>
        <v>762.64678411184821</v>
      </c>
      <c r="AT56" s="52">
        <f t="shared" si="74"/>
        <v>15808.111841975899</v>
      </c>
      <c r="AU56" s="52">
        <f t="shared" si="75"/>
        <v>21607.105110273027</v>
      </c>
      <c r="AV56" s="52">
        <f t="shared" si="76"/>
        <v>6.6975402343750004E-4</v>
      </c>
      <c r="AW56" s="52">
        <f t="shared" si="77"/>
        <v>8.3955242187500002E-4</v>
      </c>
      <c r="AX56" s="52">
        <f t="shared" si="78"/>
        <v>8.9597611328124998E-4</v>
      </c>
      <c r="AY56" s="52">
        <f t="shared" si="79"/>
        <v>1.00144095703125E-3</v>
      </c>
      <c r="AZ56" s="52">
        <f t="shared" si="80"/>
        <v>3.0000000000000001E-3</v>
      </c>
      <c r="BA56" s="52">
        <f t="shared" si="81"/>
        <v>7.5465322265625009E-4</v>
      </c>
      <c r="BB56" s="52">
        <f t="shared" si="82"/>
        <v>9.4870853515624997E-4</v>
      </c>
      <c r="BC56" s="52">
        <f t="shared" si="83"/>
        <v>3.0000000000000001E-3</v>
      </c>
      <c r="BD56" s="52">
        <f t="shared" si="94"/>
        <v>90.634649815404686</v>
      </c>
      <c r="BE56" s="52">
        <f t="shared" si="95"/>
        <v>139.72930334858202</v>
      </c>
      <c r="BF56" s="52">
        <f t="shared" si="84"/>
        <v>5.1213916015625003</v>
      </c>
      <c r="BG56" s="52">
        <f t="shared" si="85"/>
        <v>6.6030947265624995</v>
      </c>
      <c r="BH56" s="52">
        <f t="shared" si="86"/>
        <v>0.48005199167230111</v>
      </c>
      <c r="BI56" s="52">
        <f t="shared" si="87"/>
        <v>0.27924119280877335</v>
      </c>
      <c r="BJ56" s="52">
        <f t="shared" si="43"/>
        <v>2729.3048028649205</v>
      </c>
      <c r="BK56" s="52">
        <f t="shared" si="44"/>
        <v>2914.304687258676</v>
      </c>
      <c r="BL56" s="52">
        <f t="shared" si="88"/>
        <v>102.38473767885533</v>
      </c>
      <c r="BM56" s="52">
        <f t="shared" si="89"/>
        <v>63.593004769475357</v>
      </c>
      <c r="BN56" s="52">
        <f t="shared" si="45"/>
        <v>117.43613638053121</v>
      </c>
      <c r="BO56" s="52">
        <f t="shared" si="46"/>
        <v>201.88801872931535</v>
      </c>
      <c r="BP56" s="52">
        <f t="shared" si="47"/>
        <v>117.43613638053121</v>
      </c>
      <c r="BQ56" s="52">
        <f t="shared" si="48"/>
        <v>201.88801872931535</v>
      </c>
      <c r="BR56" s="52">
        <f t="shared" si="49"/>
        <v>0.58168947875002741</v>
      </c>
      <c r="BS56" s="52">
        <f t="shared" si="90"/>
        <v>30.2464599609375</v>
      </c>
      <c r="BT56" s="1">
        <f t="shared" si="91"/>
        <v>0.31796502384737679</v>
      </c>
      <c r="BU56" s="1">
        <f t="shared" si="92"/>
        <v>0.48005199167230111</v>
      </c>
      <c r="BV56" s="1">
        <f t="shared" si="50"/>
        <v>0.34710798458084663</v>
      </c>
    </row>
    <row r="57" spans="1:74" ht="12.75" customHeight="1" x14ac:dyDescent="0.2">
      <c r="A57" s="5">
        <v>1E-3</v>
      </c>
      <c r="B57" s="64" t="s">
        <v>128</v>
      </c>
      <c r="C57" s="62">
        <v>40.6533203125</v>
      </c>
      <c r="D57" s="62">
        <v>29.93798828125</v>
      </c>
      <c r="E57" s="62">
        <v>26.49609375</v>
      </c>
      <c r="F57" s="62">
        <v>20.001953125</v>
      </c>
      <c r="G57" s="62">
        <v>132.967529296875</v>
      </c>
      <c r="H57" s="62">
        <v>132.967529296875</v>
      </c>
      <c r="I57" s="62">
        <v>132.967529296875</v>
      </c>
      <c r="J57" s="62">
        <v>132.967529296875</v>
      </c>
      <c r="K57" s="62">
        <v>132.967529296875</v>
      </c>
      <c r="L57" s="62">
        <v>132.967529296875</v>
      </c>
      <c r="M57" s="64">
        <v>30</v>
      </c>
      <c r="N57" s="62">
        <v>1.69677734375</v>
      </c>
      <c r="O57" s="84">
        <v>60</v>
      </c>
      <c r="P57" s="63">
        <v>2.94189453125</v>
      </c>
      <c r="Q57" s="61">
        <v>1</v>
      </c>
      <c r="R57" s="60" t="str">
        <f t="shared" si="52"/>
        <v>Countercurrent</v>
      </c>
      <c r="S57" s="60" t="s">
        <v>113</v>
      </c>
      <c r="T57" s="59">
        <f t="shared" si="53"/>
        <v>4.1779506571086369</v>
      </c>
      <c r="U57" s="59">
        <f t="shared" si="54"/>
        <v>4.1799528312867738</v>
      </c>
      <c r="V57" s="53">
        <f t="shared" si="55"/>
        <v>35.295654296875</v>
      </c>
      <c r="W57" s="57">
        <f t="shared" si="56"/>
        <v>993.92841996025243</v>
      </c>
      <c r="X57" s="53">
        <f t="shared" si="57"/>
        <v>23.2490234375</v>
      </c>
      <c r="Y57" s="57">
        <f t="shared" si="58"/>
        <v>997.48908309232468</v>
      </c>
      <c r="Z57" s="57">
        <f t="shared" si="59"/>
        <v>10.71533203125</v>
      </c>
      <c r="AA57" s="57">
        <f t="shared" si="60"/>
        <v>-6.494140625</v>
      </c>
      <c r="AB57" s="56">
        <f t="shared" si="61"/>
        <v>2.8107920404963193E-2</v>
      </c>
      <c r="AC57" s="56">
        <f t="shared" si="62"/>
        <v>4.8908461308848114E-2</v>
      </c>
      <c r="AD57" s="83">
        <f t="shared" si="63"/>
        <v>1258.3389925880315</v>
      </c>
      <c r="AE57" s="83">
        <f t="shared" si="64"/>
        <v>1327.6300369042631</v>
      </c>
      <c r="AF57" s="83">
        <f t="shared" si="65"/>
        <v>-69.291044316231591</v>
      </c>
      <c r="AG57" s="83">
        <f t="shared" si="66"/>
        <v>105.5065482929779</v>
      </c>
      <c r="AH57" s="83">
        <f t="shared" si="67"/>
        <v>51.886792452830193</v>
      </c>
      <c r="AI57" s="53"/>
      <c r="AJ57" s="83">
        <f t="shared" si="93"/>
        <v>54.743963736922488</v>
      </c>
      <c r="AK57" s="53"/>
      <c r="AL57" s="83">
        <f t="shared" si="68"/>
        <v>83.333333333333329</v>
      </c>
      <c r="AM57" s="53"/>
      <c r="AN57" s="83">
        <f t="shared" si="69"/>
        <v>11.326227795091729</v>
      </c>
      <c r="AO57" s="83">
        <f t="shared" si="70"/>
        <v>1425.9559882814185</v>
      </c>
      <c r="AP57" s="54"/>
      <c r="AQ57" s="52">
        <f t="shared" si="71"/>
        <v>0.04</v>
      </c>
      <c r="AR57" s="52">
        <f t="shared" si="72"/>
        <v>2425.1624220787517</v>
      </c>
      <c r="AS57" s="52">
        <f t="shared" si="73"/>
        <v>762.62969247759486</v>
      </c>
      <c r="AT57" s="52">
        <f t="shared" si="74"/>
        <v>15829.875924313681</v>
      </c>
      <c r="AU57" s="52">
        <f t="shared" si="75"/>
        <v>21867.479473287989</v>
      </c>
      <c r="AV57" s="52">
        <f t="shared" si="76"/>
        <v>6.6659007812499996E-4</v>
      </c>
      <c r="AW57" s="52">
        <f t="shared" si="77"/>
        <v>8.4060707031250001E-4</v>
      </c>
      <c r="AX57" s="52">
        <f t="shared" si="78"/>
        <v>8.9650343750000009E-4</v>
      </c>
      <c r="AY57" s="52">
        <f t="shared" si="79"/>
        <v>1.0019682812500001E-3</v>
      </c>
      <c r="AZ57" s="52">
        <f t="shared" si="80"/>
        <v>3.0000000000000001E-3</v>
      </c>
      <c r="BA57" s="52">
        <f t="shared" si="81"/>
        <v>7.5359857421874999E-4</v>
      </c>
      <c r="BB57" s="52">
        <f t="shared" si="82"/>
        <v>9.4923585937500008E-4</v>
      </c>
      <c r="BC57" s="52">
        <f t="shared" si="83"/>
        <v>3.0000000000000001E-3</v>
      </c>
      <c r="BD57" s="52">
        <f t="shared" si="94"/>
        <v>90.686881276664451</v>
      </c>
      <c r="BE57" s="52">
        <f t="shared" si="95"/>
        <v>141.21668028826875</v>
      </c>
      <c r="BF57" s="52">
        <f t="shared" si="84"/>
        <v>5.1133388671875002</v>
      </c>
      <c r="BG57" s="52">
        <f t="shared" si="85"/>
        <v>6.60712109375</v>
      </c>
      <c r="BH57" s="52">
        <f t="shared" si="86"/>
        <v>0.48570669641124381</v>
      </c>
      <c r="BI57" s="52">
        <f t="shared" si="87"/>
        <v>0.27900419410677008</v>
      </c>
      <c r="BJ57" s="52">
        <f t="shared" si="43"/>
        <v>2777.4891503006374</v>
      </c>
      <c r="BK57" s="52">
        <f t="shared" si="44"/>
        <v>2930.4329316941635</v>
      </c>
      <c r="BL57" s="52">
        <f t="shared" si="88"/>
        <v>103.77358490566037</v>
      </c>
      <c r="BM57" s="52">
        <f t="shared" si="89"/>
        <v>62.893081761006286</v>
      </c>
      <c r="BN57" s="52">
        <f t="shared" si="45"/>
        <v>117.43350452587325</v>
      </c>
      <c r="BO57" s="52">
        <f t="shared" si="46"/>
        <v>204.43506132179931</v>
      </c>
      <c r="BP57" s="52">
        <f t="shared" si="47"/>
        <v>117.43350452587325</v>
      </c>
      <c r="BQ57" s="52">
        <f t="shared" si="48"/>
        <v>204.43506132179931</v>
      </c>
      <c r="BR57" s="52">
        <f t="shared" si="49"/>
        <v>0.57442937511106407</v>
      </c>
      <c r="BS57" s="52">
        <f t="shared" si="90"/>
        <v>30.32763671875</v>
      </c>
      <c r="BT57" s="1">
        <f t="shared" si="91"/>
        <v>0.31446540880503143</v>
      </c>
      <c r="BU57" s="1">
        <f t="shared" si="92"/>
        <v>0.48570669641124381</v>
      </c>
      <c r="BV57" s="1">
        <f t="shared" si="50"/>
        <v>0.35045962775694922</v>
      </c>
    </row>
    <row r="58" spans="1:74" ht="12.75" customHeight="1" x14ac:dyDescent="0.2">
      <c r="A58" s="5">
        <v>1E-3</v>
      </c>
      <c r="B58" s="64" t="s">
        <v>129</v>
      </c>
      <c r="C58" s="62">
        <v>40.97802734375</v>
      </c>
      <c r="D58" s="62">
        <v>30.035400390625</v>
      </c>
      <c r="E58" s="62">
        <v>26.593505859375</v>
      </c>
      <c r="F58" s="62">
        <v>20.034423828125</v>
      </c>
      <c r="G58" s="62">
        <v>132.967529296875</v>
      </c>
      <c r="H58" s="62">
        <v>132.967529296875</v>
      </c>
      <c r="I58" s="62">
        <v>132.967529296875</v>
      </c>
      <c r="J58" s="62">
        <v>132.967529296875</v>
      </c>
      <c r="K58" s="62">
        <v>132.967529296875</v>
      </c>
      <c r="L58" s="62">
        <v>132.967529296875</v>
      </c>
      <c r="M58" s="64">
        <v>30</v>
      </c>
      <c r="N58" s="62">
        <v>1.64794921875</v>
      </c>
      <c r="O58" s="84">
        <v>60</v>
      </c>
      <c r="P58" s="63">
        <v>2.96630859375</v>
      </c>
      <c r="Q58" s="61">
        <v>1</v>
      </c>
      <c r="R58" s="60" t="str">
        <f t="shared" si="52"/>
        <v>Countercurrent</v>
      </c>
      <c r="S58" s="60" t="s">
        <v>113</v>
      </c>
      <c r="T58" s="59">
        <f t="shared" si="53"/>
        <v>4.177955074509117</v>
      </c>
      <c r="U58" s="59">
        <f t="shared" si="54"/>
        <v>4.1799266398923436</v>
      </c>
      <c r="V58" s="53">
        <f t="shared" si="55"/>
        <v>35.5067138671875</v>
      </c>
      <c r="W58" s="57">
        <f t="shared" si="56"/>
        <v>993.85490948370216</v>
      </c>
      <c r="X58" s="53">
        <f t="shared" si="57"/>
        <v>23.31396484375</v>
      </c>
      <c r="Y58" s="57">
        <f t="shared" si="58"/>
        <v>997.47351914881551</v>
      </c>
      <c r="Z58" s="57">
        <f t="shared" si="59"/>
        <v>10.942626953125</v>
      </c>
      <c r="AA58" s="57">
        <f t="shared" si="60"/>
        <v>-6.55908203125</v>
      </c>
      <c r="AB58" s="56">
        <f t="shared" si="61"/>
        <v>2.7297040360575314E-2</v>
      </c>
      <c r="AC58" s="56">
        <f t="shared" si="62"/>
        <v>4.9313571198153112E-2</v>
      </c>
      <c r="AD58" s="83">
        <f t="shared" si="63"/>
        <v>1247.960735723881</v>
      </c>
      <c r="AE58" s="83">
        <f t="shared" si="64"/>
        <v>1352.0046230881146</v>
      </c>
      <c r="AF58" s="83">
        <f t="shared" si="65"/>
        <v>-104.04388736423357</v>
      </c>
      <c r="AG58" s="83">
        <f t="shared" si="66"/>
        <v>108.33711224927944</v>
      </c>
      <c r="AH58" s="83">
        <f t="shared" si="67"/>
        <v>52.248062015503869</v>
      </c>
      <c r="AI58" s="53"/>
      <c r="AJ58" s="83">
        <f t="shared" si="93"/>
        <v>56.604041593809562</v>
      </c>
      <c r="AK58" s="53"/>
      <c r="AL58" s="83">
        <f t="shared" si="68"/>
        <v>83.565891472868216</v>
      </c>
      <c r="AM58" s="53"/>
      <c r="AN58" s="83">
        <f t="shared" si="69"/>
        <v>11.457253209083687</v>
      </c>
      <c r="AO58" s="83">
        <f t="shared" si="70"/>
        <v>1416.0253685142566</v>
      </c>
      <c r="AP58" s="54"/>
      <c r="AQ58" s="52">
        <f t="shared" si="71"/>
        <v>0.04</v>
      </c>
      <c r="AR58" s="52">
        <f t="shared" si="72"/>
        <v>2388.5301915190012</v>
      </c>
      <c r="AS58" s="52">
        <f t="shared" si="73"/>
        <v>748.0358119175786</v>
      </c>
      <c r="AT58" s="52">
        <f t="shared" si="74"/>
        <v>15443.444574471747</v>
      </c>
      <c r="AU58" s="52">
        <f t="shared" si="75"/>
        <v>22073.132652045428</v>
      </c>
      <c r="AV58" s="52">
        <f t="shared" si="76"/>
        <v>6.613168359375E-4</v>
      </c>
      <c r="AW58" s="52">
        <f t="shared" si="77"/>
        <v>8.3902509765625003E-4</v>
      </c>
      <c r="AX58" s="52">
        <f t="shared" si="78"/>
        <v>8.9492146484374999E-4</v>
      </c>
      <c r="AY58" s="52">
        <f t="shared" si="79"/>
        <v>1.00144095703125E-3</v>
      </c>
      <c r="AZ58" s="52">
        <f t="shared" si="80"/>
        <v>3.0000000000000001E-3</v>
      </c>
      <c r="BA58" s="52">
        <f t="shared" si="81"/>
        <v>7.5017096679687507E-4</v>
      </c>
      <c r="BB58" s="52">
        <f t="shared" si="82"/>
        <v>9.4818121093749998E-4</v>
      </c>
      <c r="BC58" s="52">
        <f t="shared" si="83"/>
        <v>3.0000000000000001E-3</v>
      </c>
      <c r="BD58" s="52">
        <f t="shared" si="94"/>
        <v>88.759521330779165</v>
      </c>
      <c r="BE58" s="52">
        <f t="shared" si="95"/>
        <v>142.30954159104965</v>
      </c>
      <c r="BF58" s="52">
        <f t="shared" si="84"/>
        <v>5.0871674804687501</v>
      </c>
      <c r="BG58" s="52">
        <f t="shared" si="85"/>
        <v>6.5990683593749999</v>
      </c>
      <c r="BH58" s="52">
        <f t="shared" si="86"/>
        <v>0.49665143847093712</v>
      </c>
      <c r="BI58" s="52">
        <f t="shared" si="87"/>
        <v>0.27478682814565203</v>
      </c>
      <c r="BJ58" s="52">
        <f t="shared" si="43"/>
        <v>2723.0801156040975</v>
      </c>
      <c r="BK58" s="52">
        <f t="shared" si="44"/>
        <v>2950.10636147982</v>
      </c>
      <c r="BL58" s="52">
        <f t="shared" si="88"/>
        <v>104.49612403100775</v>
      </c>
      <c r="BM58" s="52">
        <f t="shared" si="89"/>
        <v>62.63565891472868</v>
      </c>
      <c r="BN58" s="52">
        <f t="shared" si="45"/>
        <v>114.04580829354582</v>
      </c>
      <c r="BO58" s="52">
        <f t="shared" si="46"/>
        <v>206.12710995938798</v>
      </c>
      <c r="BP58" s="52">
        <f t="shared" si="47"/>
        <v>114.04580829354582</v>
      </c>
      <c r="BQ58" s="52">
        <f t="shared" si="48"/>
        <v>206.12710995938798</v>
      </c>
      <c r="BR58" s="52">
        <f t="shared" si="49"/>
        <v>0.55327903406793799</v>
      </c>
      <c r="BS58" s="52">
        <f t="shared" si="90"/>
        <v>30.5062255859375</v>
      </c>
      <c r="BT58" s="1">
        <f t="shared" si="91"/>
        <v>0.31317829457364343</v>
      </c>
      <c r="BU58" s="1">
        <f t="shared" si="92"/>
        <v>0.49665143847093712</v>
      </c>
      <c r="BV58" s="1">
        <f t="shared" si="50"/>
        <v>0.35735004351192423</v>
      </c>
    </row>
    <row r="59" spans="1:74" ht="12.75" customHeight="1" x14ac:dyDescent="0.2">
      <c r="A59" s="5">
        <v>1E-3</v>
      </c>
      <c r="B59" s="64" t="s">
        <v>130</v>
      </c>
      <c r="C59" s="62">
        <v>41.010498046875</v>
      </c>
      <c r="D59" s="62">
        <v>30.165283203125</v>
      </c>
      <c r="E59" s="62">
        <v>26.658447265625</v>
      </c>
      <c r="F59" s="62">
        <v>20.001953125</v>
      </c>
      <c r="G59" s="62">
        <v>132.967529296875</v>
      </c>
      <c r="H59" s="62">
        <v>132.967529296875</v>
      </c>
      <c r="I59" s="62">
        <v>132.967529296875</v>
      </c>
      <c r="J59" s="62">
        <v>132.967529296875</v>
      </c>
      <c r="K59" s="62">
        <v>132.967529296875</v>
      </c>
      <c r="L59" s="62">
        <v>132.967529296875</v>
      </c>
      <c r="M59" s="64">
        <v>30</v>
      </c>
      <c r="N59" s="62">
        <v>1.708984375</v>
      </c>
      <c r="O59" s="84">
        <v>60</v>
      </c>
      <c r="P59" s="63">
        <v>2.685546875</v>
      </c>
      <c r="Q59" s="61">
        <v>1</v>
      </c>
      <c r="R59" s="60" t="str">
        <f t="shared" si="52"/>
        <v>Countercurrent</v>
      </c>
      <c r="S59" s="60" t="s">
        <v>113</v>
      </c>
      <c r="T59" s="59">
        <f t="shared" si="53"/>
        <v>4.1779570576945426</v>
      </c>
      <c r="U59" s="59">
        <f t="shared" si="54"/>
        <v>4.1799201259750536</v>
      </c>
      <c r="V59" s="53">
        <f t="shared" si="55"/>
        <v>35.587890625</v>
      </c>
      <c r="W59" s="57">
        <f t="shared" si="56"/>
        <v>993.82654214300271</v>
      </c>
      <c r="X59" s="53">
        <f t="shared" si="57"/>
        <v>23.3302001953125</v>
      </c>
      <c r="Y59" s="57">
        <f t="shared" si="58"/>
        <v>997.46962149588887</v>
      </c>
      <c r="Z59" s="57">
        <f t="shared" si="59"/>
        <v>10.84521484375</v>
      </c>
      <c r="AA59" s="57">
        <f t="shared" si="60"/>
        <v>-6.656494140625</v>
      </c>
      <c r="AB59" s="56">
        <f t="shared" si="61"/>
        <v>2.8307233866377842E-2</v>
      </c>
      <c r="AC59" s="56">
        <f t="shared" si="62"/>
        <v>4.4645857081928621E-2</v>
      </c>
      <c r="AD59" s="83">
        <f t="shared" si="63"/>
        <v>1282.6245983078099</v>
      </c>
      <c r="AE59" s="83">
        <f t="shared" si="64"/>
        <v>1242.2090864155796</v>
      </c>
      <c r="AF59" s="83">
        <f t="shared" si="65"/>
        <v>40.41551189223037</v>
      </c>
      <c r="AG59" s="83">
        <f t="shared" si="66"/>
        <v>96.848999158011523</v>
      </c>
      <c r="AH59" s="83">
        <f t="shared" si="67"/>
        <v>51.622874806800617</v>
      </c>
      <c r="AI59" s="53"/>
      <c r="AJ59" s="83">
        <f t="shared" si="93"/>
        <v>49.996237586979667</v>
      </c>
      <c r="AK59" s="53"/>
      <c r="AL59" s="83">
        <f t="shared" si="68"/>
        <v>83.307573415765063</v>
      </c>
      <c r="AM59" s="53"/>
      <c r="AN59" s="83">
        <f t="shared" si="69"/>
        <v>11.530592612504689</v>
      </c>
      <c r="AO59" s="83">
        <f t="shared" si="70"/>
        <v>1368.2008974206451</v>
      </c>
      <c r="AP59" s="54"/>
      <c r="AQ59" s="52">
        <f t="shared" si="71"/>
        <v>0.04</v>
      </c>
      <c r="AR59" s="52">
        <f t="shared" si="72"/>
        <v>2484.6051350453686</v>
      </c>
      <c r="AS59" s="52">
        <f t="shared" si="73"/>
        <v>787.23964866197923</v>
      </c>
      <c r="AT59" s="52">
        <f t="shared" si="74"/>
        <v>16043.160275446911</v>
      </c>
      <c r="AU59" s="52">
        <f t="shared" si="75"/>
        <v>19989.38649449034</v>
      </c>
      <c r="AV59" s="52">
        <f t="shared" si="76"/>
        <v>6.6078951171875001E-4</v>
      </c>
      <c r="AW59" s="52">
        <f t="shared" si="77"/>
        <v>8.3691580078125005E-4</v>
      </c>
      <c r="AX59" s="52">
        <f t="shared" si="78"/>
        <v>8.9386681640625E-4</v>
      </c>
      <c r="AY59" s="52">
        <f t="shared" si="79"/>
        <v>1.0019682812500001E-3</v>
      </c>
      <c r="AZ59" s="52">
        <f t="shared" si="80"/>
        <v>3.0000000000000001E-3</v>
      </c>
      <c r="BA59" s="52">
        <f t="shared" si="81"/>
        <v>7.4885265625000003E-4</v>
      </c>
      <c r="BB59" s="52">
        <f t="shared" si="82"/>
        <v>9.4791754882812503E-4</v>
      </c>
      <c r="BC59" s="52">
        <f t="shared" si="83"/>
        <v>3.0000000000000001E-3</v>
      </c>
      <c r="BD59" s="52">
        <f t="shared" si="94"/>
        <v>91.446022919543879</v>
      </c>
      <c r="BE59" s="52">
        <f t="shared" si="95"/>
        <v>130.57286125148369</v>
      </c>
      <c r="BF59" s="52">
        <f t="shared" si="84"/>
        <v>5.0771015625000002</v>
      </c>
      <c r="BG59" s="52">
        <f t="shared" si="85"/>
        <v>6.5970551757812501</v>
      </c>
      <c r="BH59" s="52">
        <f t="shared" si="86"/>
        <v>0.46275216307296985</v>
      </c>
      <c r="BI59" s="52">
        <f t="shared" si="87"/>
        <v>0.29326532405774125</v>
      </c>
      <c r="BJ59" s="52">
        <f t="shared" si="43"/>
        <v>2780.9164745722396</v>
      </c>
      <c r="BK59" s="52">
        <f t="shared" si="44"/>
        <v>2693.289773043472</v>
      </c>
      <c r="BL59" s="52">
        <f t="shared" si="88"/>
        <v>103.24574961360123</v>
      </c>
      <c r="BM59" s="52">
        <f t="shared" si="89"/>
        <v>63.369397217928899</v>
      </c>
      <c r="BN59" s="52">
        <f t="shared" si="45"/>
        <v>118.26640751584327</v>
      </c>
      <c r="BO59" s="52">
        <f t="shared" si="46"/>
        <v>186.61611655815932</v>
      </c>
      <c r="BP59" s="52">
        <f t="shared" si="47"/>
        <v>118.26640751584327</v>
      </c>
      <c r="BQ59" s="52">
        <f t="shared" si="48"/>
        <v>186.61611655815932</v>
      </c>
      <c r="BR59" s="52">
        <f t="shared" si="49"/>
        <v>0.63374166013676148</v>
      </c>
      <c r="BS59" s="52">
        <f t="shared" si="90"/>
        <v>30.5062255859375</v>
      </c>
      <c r="BT59" s="1">
        <f t="shared" si="91"/>
        <v>0.31684698608964451</v>
      </c>
      <c r="BU59" s="1">
        <f t="shared" si="92"/>
        <v>0.46275216307296985</v>
      </c>
      <c r="BV59" s="1">
        <f t="shared" si="50"/>
        <v>0.33523014275527696</v>
      </c>
    </row>
    <row r="60" spans="1:74" ht="12.75" customHeight="1" x14ac:dyDescent="0.2">
      <c r="A60" s="5">
        <v>1E-3</v>
      </c>
      <c r="B60" s="64" t="s">
        <v>131</v>
      </c>
      <c r="C60" s="62">
        <v>40.783203125</v>
      </c>
      <c r="D60" s="62">
        <v>30.165283203125</v>
      </c>
      <c r="E60" s="62">
        <v>26.658447265625</v>
      </c>
      <c r="F60" s="62">
        <v>20.034423828125</v>
      </c>
      <c r="G60" s="62">
        <v>132.967529296875</v>
      </c>
      <c r="H60" s="62">
        <v>132.967529296875</v>
      </c>
      <c r="I60" s="62">
        <v>132.967529296875</v>
      </c>
      <c r="J60" s="62">
        <v>132.967529296875</v>
      </c>
      <c r="K60" s="62">
        <v>132.967529296875</v>
      </c>
      <c r="L60" s="62">
        <v>132.967529296875</v>
      </c>
      <c r="M60" s="64">
        <v>30</v>
      </c>
      <c r="N60" s="62">
        <v>1.6357421875</v>
      </c>
      <c r="O60" s="84">
        <v>60</v>
      </c>
      <c r="P60" s="63">
        <v>2.89306640625</v>
      </c>
      <c r="Q60" s="61">
        <v>1</v>
      </c>
      <c r="R60" s="60" t="str">
        <f t="shared" si="52"/>
        <v>Countercurrent</v>
      </c>
      <c r="S60" s="60" t="s">
        <v>113</v>
      </c>
      <c r="T60" s="59">
        <f t="shared" si="53"/>
        <v>4.1779543253207185</v>
      </c>
      <c r="U60" s="59">
        <f t="shared" si="54"/>
        <v>4.179913625597063</v>
      </c>
      <c r="V60" s="53">
        <f t="shared" si="55"/>
        <v>35.4742431640625</v>
      </c>
      <c r="W60" s="57">
        <f t="shared" si="56"/>
        <v>993.86624180128251</v>
      </c>
      <c r="X60" s="53">
        <f t="shared" si="57"/>
        <v>23.346435546875</v>
      </c>
      <c r="Y60" s="57">
        <f t="shared" si="58"/>
        <v>997.46572117796711</v>
      </c>
      <c r="Z60" s="57">
        <f t="shared" si="59"/>
        <v>10.617919921875</v>
      </c>
      <c r="AA60" s="57">
        <f t="shared" si="60"/>
        <v>-6.6240234375</v>
      </c>
      <c r="AB60" s="56">
        <f t="shared" si="61"/>
        <v>2.7095149007440564E-2</v>
      </c>
      <c r="AC60" s="56">
        <f t="shared" si="62"/>
        <v>4.8095576155431766E-2</v>
      </c>
      <c r="AD60" s="83">
        <f t="shared" si="63"/>
        <v>1201.9729031852708</v>
      </c>
      <c r="AE60" s="83">
        <f t="shared" si="64"/>
        <v>1331.6628973445854</v>
      </c>
      <c r="AF60" s="83">
        <f t="shared" si="65"/>
        <v>-129.68999415931467</v>
      </c>
      <c r="AG60" s="83">
        <f t="shared" si="66"/>
        <v>110.78976021968812</v>
      </c>
      <c r="AH60" s="83">
        <f t="shared" si="67"/>
        <v>51.173708920187785</v>
      </c>
      <c r="AI60" s="53"/>
      <c r="AJ60" s="83">
        <f t="shared" si="93"/>
        <v>56.6952294081972</v>
      </c>
      <c r="AK60" s="53"/>
      <c r="AL60" s="83">
        <f t="shared" si="68"/>
        <v>83.098591549295776</v>
      </c>
      <c r="AM60" s="53"/>
      <c r="AN60" s="83">
        <f t="shared" si="69"/>
        <v>11.416528855320454</v>
      </c>
      <c r="AO60" s="83">
        <f t="shared" si="70"/>
        <v>1383.4093920845305</v>
      </c>
      <c r="AP60" s="54"/>
      <c r="AQ60" s="52">
        <f t="shared" si="71"/>
        <v>0.04</v>
      </c>
      <c r="AR60" s="52">
        <f t="shared" si="72"/>
        <v>2348.8094346647954</v>
      </c>
      <c r="AS60" s="52">
        <f t="shared" si="73"/>
        <v>749.85465519815057</v>
      </c>
      <c r="AT60" s="52">
        <f t="shared" si="74"/>
        <v>15318.455540947793</v>
      </c>
      <c r="AU60" s="52">
        <f t="shared" si="75"/>
        <v>21539.928007524268</v>
      </c>
      <c r="AV60" s="52">
        <f t="shared" si="76"/>
        <v>6.6448078124999998E-4</v>
      </c>
      <c r="AW60" s="52">
        <f t="shared" si="77"/>
        <v>8.3691580078125005E-4</v>
      </c>
      <c r="AX60" s="52">
        <f t="shared" si="78"/>
        <v>8.9386681640625E-4</v>
      </c>
      <c r="AY60" s="52">
        <f t="shared" si="79"/>
        <v>1.00144095703125E-3</v>
      </c>
      <c r="AZ60" s="52">
        <f t="shared" si="80"/>
        <v>3.0000000000000001E-3</v>
      </c>
      <c r="BA60" s="52">
        <f t="shared" si="81"/>
        <v>7.5069829101562496E-4</v>
      </c>
      <c r="BB60" s="52">
        <f t="shared" si="82"/>
        <v>9.4765388671874998E-4</v>
      </c>
      <c r="BC60" s="52">
        <f t="shared" si="83"/>
        <v>3.0000000000000001E-3</v>
      </c>
      <c r="BD60" s="52">
        <f t="shared" si="94"/>
        <v>88.207625070361843</v>
      </c>
      <c r="BE60" s="52">
        <f t="shared" si="95"/>
        <v>139.29590954942822</v>
      </c>
      <c r="BF60" s="52">
        <f t="shared" si="84"/>
        <v>5.0911938476562497</v>
      </c>
      <c r="BG60" s="52">
        <f t="shared" si="85"/>
        <v>6.5950419921875003</v>
      </c>
      <c r="BH60" s="52">
        <f t="shared" si="86"/>
        <v>0.48882733064604483</v>
      </c>
      <c r="BI60" s="52">
        <f t="shared" si="87"/>
        <v>0.27525693642433346</v>
      </c>
      <c r="BJ60" s="52">
        <f t="shared" si="43"/>
        <v>2632.0892243554272</v>
      </c>
      <c r="BK60" s="52">
        <f t="shared" si="44"/>
        <v>2916.0853404316267</v>
      </c>
      <c r="BL60" s="52">
        <f t="shared" si="88"/>
        <v>102.34741784037558</v>
      </c>
      <c r="BM60" s="52">
        <f t="shared" si="89"/>
        <v>63.84976525821596</v>
      </c>
      <c r="BN60" s="52">
        <f t="shared" si="45"/>
        <v>113.20229499084567</v>
      </c>
      <c r="BO60" s="52">
        <f t="shared" si="46"/>
        <v>201.03535410303044</v>
      </c>
      <c r="BP60" s="52">
        <f t="shared" si="47"/>
        <v>113.20229499084567</v>
      </c>
      <c r="BQ60" s="52">
        <f t="shared" si="48"/>
        <v>201.03535410303044</v>
      </c>
      <c r="BR60" s="52">
        <f t="shared" si="49"/>
        <v>0.56309645383482942</v>
      </c>
      <c r="BS60" s="52">
        <f t="shared" si="90"/>
        <v>30.4088134765625</v>
      </c>
      <c r="BT60" s="1">
        <f t="shared" si="91"/>
        <v>0.31924882629107981</v>
      </c>
      <c r="BU60" s="1">
        <f t="shared" si="92"/>
        <v>0.48882733064604483</v>
      </c>
      <c r="BV60" s="1">
        <f t="shared" si="50"/>
        <v>0.35272992140087212</v>
      </c>
    </row>
    <row r="61" spans="1:74" ht="12.75" customHeight="1" x14ac:dyDescent="0.2">
      <c r="A61" s="5">
        <v>1E-3</v>
      </c>
      <c r="B61" s="64" t="s">
        <v>132</v>
      </c>
      <c r="C61" s="62">
        <v>40.58837890625</v>
      </c>
      <c r="D61" s="62">
        <v>30.100341796875</v>
      </c>
      <c r="E61" s="62">
        <v>26.593505859375</v>
      </c>
      <c r="F61" s="62">
        <v>20.001953125</v>
      </c>
      <c r="G61" s="62">
        <v>132.967529296875</v>
      </c>
      <c r="H61" s="62">
        <v>132.967529296875</v>
      </c>
      <c r="I61" s="62">
        <v>132.967529296875</v>
      </c>
      <c r="J61" s="62">
        <v>132.967529296875</v>
      </c>
      <c r="K61" s="62">
        <v>132.967529296875</v>
      </c>
      <c r="L61" s="62">
        <v>132.967529296875</v>
      </c>
      <c r="M61" s="64">
        <v>30</v>
      </c>
      <c r="N61" s="62">
        <v>1.62353515625</v>
      </c>
      <c r="O61" s="84">
        <v>60</v>
      </c>
      <c r="P61" s="63">
        <v>2.89306640625</v>
      </c>
      <c r="Q61" s="61">
        <v>1</v>
      </c>
      <c r="R61" s="60" t="str">
        <f t="shared" si="52"/>
        <v>Countercurrent</v>
      </c>
      <c r="S61" s="60" t="s">
        <v>113</v>
      </c>
      <c r="T61" s="59">
        <f t="shared" si="53"/>
        <v>4.1779515814259716</v>
      </c>
      <c r="U61" s="59">
        <f t="shared" si="54"/>
        <v>4.1799331673655296</v>
      </c>
      <c r="V61" s="53">
        <f t="shared" si="55"/>
        <v>35.3443603515625</v>
      </c>
      <c r="W61" s="57">
        <f t="shared" si="56"/>
        <v>993.91148741122493</v>
      </c>
      <c r="X61" s="53">
        <f t="shared" si="57"/>
        <v>23.2977294921875</v>
      </c>
      <c r="Y61" s="57">
        <f t="shared" si="58"/>
        <v>997.47741413583515</v>
      </c>
      <c r="Z61" s="57">
        <f t="shared" si="59"/>
        <v>10.488037109375</v>
      </c>
      <c r="AA61" s="57">
        <f t="shared" si="60"/>
        <v>-6.591552734375</v>
      </c>
      <c r="AB61" s="56">
        <f t="shared" si="61"/>
        <v>2.6894170700214215E-2</v>
      </c>
      <c r="AC61" s="56">
        <f t="shared" si="62"/>
        <v>4.8096139963825058E-2</v>
      </c>
      <c r="AD61" s="83">
        <f t="shared" si="63"/>
        <v>1178.4625207726974</v>
      </c>
      <c r="AE61" s="83">
        <f t="shared" si="64"/>
        <v>1325.1568674535192</v>
      </c>
      <c r="AF61" s="83">
        <f t="shared" si="65"/>
        <v>-146.69434668082181</v>
      </c>
      <c r="AG61" s="83">
        <f t="shared" si="66"/>
        <v>112.44794332403859</v>
      </c>
      <c r="AH61" s="83">
        <f t="shared" si="67"/>
        <v>50.946372239747646</v>
      </c>
      <c r="AI61" s="53"/>
      <c r="AJ61" s="83">
        <f t="shared" si="93"/>
        <v>57.288147781805165</v>
      </c>
      <c r="AK61" s="53"/>
      <c r="AL61" s="83">
        <f t="shared" si="68"/>
        <v>82.965299684542586</v>
      </c>
      <c r="AM61" s="53"/>
      <c r="AN61" s="83">
        <f t="shared" si="69"/>
        <v>11.343818512500526</v>
      </c>
      <c r="AO61" s="83">
        <f t="shared" si="70"/>
        <v>1374.6606448890782</v>
      </c>
      <c r="AP61" s="54"/>
      <c r="AQ61" s="52">
        <f t="shared" si="71"/>
        <v>0.04</v>
      </c>
      <c r="AR61" s="52">
        <f t="shared" si="72"/>
        <v>2313.1431522287617</v>
      </c>
      <c r="AS61" s="52">
        <f t="shared" si="73"/>
        <v>740.64362760637016</v>
      </c>
      <c r="AT61" s="52">
        <f t="shared" si="74"/>
        <v>15162.228352098566</v>
      </c>
      <c r="AU61" s="52">
        <f t="shared" si="75"/>
        <v>21522.216381549853</v>
      </c>
      <c r="AV61" s="52">
        <f t="shared" si="76"/>
        <v>6.6764472656250006E-4</v>
      </c>
      <c r="AW61" s="52">
        <f t="shared" si="77"/>
        <v>8.3797044921875004E-4</v>
      </c>
      <c r="AX61" s="52">
        <f t="shared" si="78"/>
        <v>8.9492146484374999E-4</v>
      </c>
      <c r="AY61" s="52">
        <f t="shared" si="79"/>
        <v>1.0019682812500001E-3</v>
      </c>
      <c r="AZ61" s="52">
        <f t="shared" si="80"/>
        <v>3.0000000000000001E-3</v>
      </c>
      <c r="BA61" s="52">
        <f t="shared" si="81"/>
        <v>7.5280758789062505E-4</v>
      </c>
      <c r="BB61" s="52">
        <f t="shared" si="82"/>
        <v>9.4844487304687503E-4</v>
      </c>
      <c r="BC61" s="52">
        <f t="shared" si="83"/>
        <v>3.0000000000000001E-3</v>
      </c>
      <c r="BD61" s="52">
        <f t="shared" si="94"/>
        <v>87.579365940974327</v>
      </c>
      <c r="BE61" s="52">
        <f t="shared" si="95"/>
        <v>139.23907674429796</v>
      </c>
      <c r="BF61" s="52">
        <f t="shared" si="84"/>
        <v>5.1072993164062499</v>
      </c>
      <c r="BG61" s="52">
        <f t="shared" si="85"/>
        <v>6.6010815429687497</v>
      </c>
      <c r="BH61" s="52">
        <f t="shared" si="86"/>
        <v>0.4893661564031998</v>
      </c>
      <c r="BI61" s="52">
        <f t="shared" si="87"/>
        <v>0.27351171337378682</v>
      </c>
      <c r="BJ61" s="52">
        <f t="shared" si="43"/>
        <v>2597.1468943065097</v>
      </c>
      <c r="BK61" s="52">
        <f t="shared" si="44"/>
        <v>2920.4382677518124</v>
      </c>
      <c r="BL61" s="52">
        <f t="shared" si="88"/>
        <v>101.89274447949526</v>
      </c>
      <c r="BM61" s="52">
        <f t="shared" si="89"/>
        <v>64.037854889589909</v>
      </c>
      <c r="BN61" s="52">
        <f t="shared" si="45"/>
        <v>112.3625430081</v>
      </c>
      <c r="BO61" s="52">
        <f t="shared" si="46"/>
        <v>201.0386506570471</v>
      </c>
      <c r="BP61" s="52">
        <f t="shared" si="47"/>
        <v>112.3625430081</v>
      </c>
      <c r="BQ61" s="52">
        <f t="shared" si="48"/>
        <v>201.0386506570471</v>
      </c>
      <c r="BR61" s="52">
        <f t="shared" si="49"/>
        <v>0.55891015305201119</v>
      </c>
      <c r="BS61" s="52">
        <f t="shared" si="90"/>
        <v>30.295166015625</v>
      </c>
      <c r="BT61" s="1">
        <f t="shared" si="91"/>
        <v>0.32018927444794953</v>
      </c>
      <c r="BU61" s="1">
        <f t="shared" si="92"/>
        <v>0.4893661564031998</v>
      </c>
      <c r="BV61" s="1">
        <f t="shared" si="50"/>
        <v>0.353251682649596</v>
      </c>
    </row>
    <row r="62" spans="1:74" ht="12.75" customHeight="1" x14ac:dyDescent="0.2">
      <c r="A62" s="5">
        <v>1E-3</v>
      </c>
      <c r="B62" s="50" t="s">
        <v>133</v>
      </c>
      <c r="C62" s="48">
        <v>35.425537109375</v>
      </c>
      <c r="D62" s="48">
        <v>30.84716796875</v>
      </c>
      <c r="E62" s="48">
        <v>26.95068359375</v>
      </c>
      <c r="F62" s="48">
        <v>20.06689453125</v>
      </c>
      <c r="G62" s="48">
        <v>132.967529296875</v>
      </c>
      <c r="H62" s="48">
        <v>132.967529296875</v>
      </c>
      <c r="I62" s="48">
        <v>132.967529296875</v>
      </c>
      <c r="J62" s="48">
        <v>132.967529296875</v>
      </c>
      <c r="K62" s="48">
        <v>132.967529296875</v>
      </c>
      <c r="L62" s="48">
        <v>132.967529296875</v>
      </c>
      <c r="M62" s="50">
        <v>60</v>
      </c>
      <c r="N62" s="48">
        <v>4.0283203125</v>
      </c>
      <c r="O62" s="82">
        <v>60</v>
      </c>
      <c r="P62" s="49">
        <v>2.8076171875</v>
      </c>
      <c r="Q62" s="47">
        <v>1</v>
      </c>
      <c r="R62" s="46" t="str">
        <f t="shared" si="52"/>
        <v>Countercurrent</v>
      </c>
      <c r="S62" s="46" t="s">
        <v>113</v>
      </c>
      <c r="T62" s="45">
        <f t="shared" si="53"/>
        <v>4.1779692402069122</v>
      </c>
      <c r="U62" s="45">
        <f t="shared" si="54"/>
        <v>4.1798493628451698</v>
      </c>
      <c r="V62" s="39">
        <f t="shared" si="55"/>
        <v>33.1363525390625</v>
      </c>
      <c r="W62" s="43">
        <f t="shared" si="56"/>
        <v>994.65987808630928</v>
      </c>
      <c r="X62" s="39">
        <f t="shared" si="57"/>
        <v>23.5087890625</v>
      </c>
      <c r="Y62" s="43">
        <f t="shared" si="58"/>
        <v>997.42657162439821</v>
      </c>
      <c r="Z62" s="43">
        <f t="shared" si="59"/>
        <v>4.578369140625</v>
      </c>
      <c r="AA62" s="43">
        <f t="shared" si="60"/>
        <v>-6.8837890625</v>
      </c>
      <c r="AB62" s="42">
        <f t="shared" si="61"/>
        <v>6.6780143182064225E-2</v>
      </c>
      <c r="AC62" s="42">
        <f t="shared" si="62"/>
        <v>4.6673199762697674E-2</v>
      </c>
      <c r="AD62" s="81">
        <f t="shared" si="63"/>
        <v>1277.3896405001638</v>
      </c>
      <c r="AE62" s="81">
        <f t="shared" si="64"/>
        <v>1342.9373733404427</v>
      </c>
      <c r="AF62" s="81">
        <f t="shared" si="65"/>
        <v>-65.547732840278968</v>
      </c>
      <c r="AG62" s="81">
        <f t="shared" si="66"/>
        <v>105.13138127647674</v>
      </c>
      <c r="AH62" s="81">
        <f t="shared" si="67"/>
        <v>29.809725158562372</v>
      </c>
      <c r="AI62" s="39"/>
      <c r="AJ62" s="81">
        <f t="shared" si="93"/>
        <v>31.339375813918018</v>
      </c>
      <c r="AK62" s="39"/>
      <c r="AL62" s="81">
        <f t="shared" si="68"/>
        <v>74.630021141649053</v>
      </c>
      <c r="AM62" s="39"/>
      <c r="AN62" s="81">
        <f t="shared" si="69"/>
        <v>9.1023124754962002</v>
      </c>
      <c r="AO62" s="81">
        <f t="shared" si="70"/>
        <v>1798.0920631671081</v>
      </c>
      <c r="AP62" s="40"/>
      <c r="AQ62" s="38">
        <f t="shared" si="71"/>
        <v>0.04</v>
      </c>
      <c r="AR62" s="38">
        <f t="shared" si="72"/>
        <v>4285.1439713232439</v>
      </c>
      <c r="AS62" s="38">
        <f t="shared" si="73"/>
        <v>1920.6142112484729</v>
      </c>
      <c r="AT62" s="38">
        <f t="shared" si="74"/>
        <v>35937.121873685937</v>
      </c>
      <c r="AU62" s="38">
        <f t="shared" si="75"/>
        <v>20961.226769364257</v>
      </c>
      <c r="AV62" s="38">
        <f t="shared" si="76"/>
        <v>7.5148927734375E-4</v>
      </c>
      <c r="AW62" s="38">
        <f t="shared" si="77"/>
        <v>8.2584199218750003E-4</v>
      </c>
      <c r="AX62" s="38">
        <f t="shared" si="78"/>
        <v>8.8912089843750004E-4</v>
      </c>
      <c r="AY62" s="38">
        <f t="shared" si="79"/>
        <v>1.0009136328125001E-3</v>
      </c>
      <c r="AZ62" s="38">
        <f t="shared" si="80"/>
        <v>3.0000000000000001E-3</v>
      </c>
      <c r="BA62" s="38">
        <f t="shared" si="81"/>
        <v>7.8866563476562507E-4</v>
      </c>
      <c r="BB62" s="38">
        <f t="shared" si="82"/>
        <v>9.4501726562500011E-4</v>
      </c>
      <c r="BC62" s="38">
        <f t="shared" si="83"/>
        <v>3.0000000000000001E-3</v>
      </c>
      <c r="BD62" s="38">
        <f t="shared" si="94"/>
        <v>177.74021715496517</v>
      </c>
      <c r="BE62" s="38">
        <f t="shared" si="95"/>
        <v>135.90683426394574</v>
      </c>
      <c r="BF62" s="38">
        <f t="shared" si="84"/>
        <v>5.3810922851562495</v>
      </c>
      <c r="BG62" s="38">
        <f t="shared" si="85"/>
        <v>6.5749101562499996</v>
      </c>
      <c r="BH62" s="38">
        <f t="shared" si="86"/>
        <v>0.25778600210922792</v>
      </c>
      <c r="BI62" s="38">
        <f t="shared" si="87"/>
        <v>0.36867501712337802</v>
      </c>
      <c r="BJ62" s="38">
        <f t="shared" si="43"/>
        <v>3508.4206456846796</v>
      </c>
      <c r="BK62" s="38">
        <f t="shared" si="44"/>
        <v>3688.4510857973873</v>
      </c>
      <c r="BL62" s="38">
        <f t="shared" si="88"/>
        <v>59.619450317124738</v>
      </c>
      <c r="BM62" s="38">
        <f t="shared" si="89"/>
        <v>89.640591966173361</v>
      </c>
      <c r="BN62" s="38">
        <f t="shared" si="45"/>
        <v>279.00538407127766</v>
      </c>
      <c r="BO62" s="38">
        <f t="shared" si="46"/>
        <v>195.0869442900572</v>
      </c>
      <c r="BP62" s="38">
        <f t="shared" si="47"/>
        <v>195.0869442900572</v>
      </c>
      <c r="BQ62" s="38">
        <f t="shared" si="48"/>
        <v>279.00538407127766</v>
      </c>
      <c r="BR62" s="38">
        <f t="shared" si="49"/>
        <v>0.69922286603694439</v>
      </c>
      <c r="BS62" s="38">
        <f t="shared" si="90"/>
        <v>27.7462158203125</v>
      </c>
      <c r="BT62" s="1">
        <f t="shared" si="91"/>
        <v>0.44820295983086683</v>
      </c>
      <c r="BU62" s="1">
        <f t="shared" si="92"/>
        <v>0.36867501712337802</v>
      </c>
      <c r="BV62" s="1">
        <f t="shared" si="50"/>
        <v>0.28052015615694159</v>
      </c>
    </row>
    <row r="63" spans="1:74" ht="12.75" customHeight="1" x14ac:dyDescent="0.2">
      <c r="A63" s="5">
        <v>1E-3</v>
      </c>
      <c r="B63" s="50" t="s">
        <v>134</v>
      </c>
      <c r="C63" s="48">
        <v>35.4580078125</v>
      </c>
      <c r="D63" s="48">
        <v>30.7822265625</v>
      </c>
      <c r="E63" s="48">
        <v>26.853271484375</v>
      </c>
      <c r="F63" s="48">
        <v>20.06689453125</v>
      </c>
      <c r="G63" s="48">
        <v>132.967529296875</v>
      </c>
      <c r="H63" s="48">
        <v>132.967529296875</v>
      </c>
      <c r="I63" s="48">
        <v>132.967529296875</v>
      </c>
      <c r="J63" s="48">
        <v>132.967529296875</v>
      </c>
      <c r="K63" s="48">
        <v>132.967529296875</v>
      </c>
      <c r="L63" s="48">
        <v>132.967529296875</v>
      </c>
      <c r="M63" s="50">
        <v>60</v>
      </c>
      <c r="N63" s="48">
        <v>4.052734375</v>
      </c>
      <c r="O63" s="82">
        <v>60</v>
      </c>
      <c r="P63" s="49">
        <v>2.69775390625</v>
      </c>
      <c r="Q63" s="47">
        <v>1</v>
      </c>
      <c r="R63" s="46" t="str">
        <f t="shared" si="52"/>
        <v>Countercurrent</v>
      </c>
      <c r="S63" s="46" t="s">
        <v>113</v>
      </c>
      <c r="T63" s="45">
        <f t="shared" si="53"/>
        <v>4.177969837782487</v>
      </c>
      <c r="U63" s="45">
        <f t="shared" si="54"/>
        <v>4.1798685006626615</v>
      </c>
      <c r="V63" s="39">
        <f t="shared" si="55"/>
        <v>33.1201171875</v>
      </c>
      <c r="W63" s="43">
        <f t="shared" si="56"/>
        <v>994.66523339630703</v>
      </c>
      <c r="X63" s="39">
        <f t="shared" si="57"/>
        <v>23.4600830078125</v>
      </c>
      <c r="Y63" s="43">
        <f t="shared" si="58"/>
        <v>997.43834440918477</v>
      </c>
      <c r="Z63" s="43">
        <f t="shared" si="59"/>
        <v>4.67578125</v>
      </c>
      <c r="AA63" s="43">
        <f t="shared" si="60"/>
        <v>-6.786376953125</v>
      </c>
      <c r="AB63" s="42">
        <f t="shared" si="61"/>
        <v>6.7185233050043522E-2</v>
      </c>
      <c r="AC63" s="42">
        <f t="shared" si="62"/>
        <v>4.4847386497890183E-2</v>
      </c>
      <c r="AD63" s="81">
        <f t="shared" si="63"/>
        <v>1312.4818712550011</v>
      </c>
      <c r="AE63" s="81">
        <f t="shared" si="64"/>
        <v>1272.1482871830347</v>
      </c>
      <c r="AF63" s="81">
        <f t="shared" si="65"/>
        <v>40.33358407196647</v>
      </c>
      <c r="AG63" s="81">
        <f t="shared" si="66"/>
        <v>96.92692257658392</v>
      </c>
      <c r="AH63" s="81">
        <f t="shared" si="67"/>
        <v>30.37974683544304</v>
      </c>
      <c r="AI63" s="39"/>
      <c r="AJ63" s="81">
        <f t="shared" si="93"/>
        <v>29.446153694152073</v>
      </c>
      <c r="AK63" s="39"/>
      <c r="AL63" s="81">
        <f t="shared" si="68"/>
        <v>74.472573839662445</v>
      </c>
      <c r="AM63" s="39"/>
      <c r="AN63" s="81">
        <f t="shared" si="69"/>
        <v>9.1404087552765301</v>
      </c>
      <c r="AO63" s="81">
        <f t="shared" si="70"/>
        <v>1766.8799170562781</v>
      </c>
      <c r="AP63" s="40"/>
      <c r="AQ63" s="38">
        <f t="shared" si="71"/>
        <v>0.04</v>
      </c>
      <c r="AR63" s="38">
        <f t="shared" si="72"/>
        <v>4320.2528262143787</v>
      </c>
      <c r="AS63" s="38">
        <f t="shared" si="73"/>
        <v>1904.9216048076057</v>
      </c>
      <c r="AT63" s="38">
        <f t="shared" si="74"/>
        <v>36143.034143618941</v>
      </c>
      <c r="AU63" s="38">
        <f t="shared" si="75"/>
        <v>20124.398311961992</v>
      </c>
      <c r="AV63" s="38">
        <f t="shared" si="76"/>
        <v>7.5096195312500001E-4</v>
      </c>
      <c r="AW63" s="38">
        <f t="shared" si="77"/>
        <v>8.2689664062500002E-4</v>
      </c>
      <c r="AX63" s="38">
        <f t="shared" si="78"/>
        <v>8.9070287109375003E-4</v>
      </c>
      <c r="AY63" s="38">
        <f t="shared" si="79"/>
        <v>1.0009136328125001E-3</v>
      </c>
      <c r="AZ63" s="38">
        <f t="shared" si="80"/>
        <v>3.0000000000000001E-3</v>
      </c>
      <c r="BA63" s="38">
        <f t="shared" si="81"/>
        <v>7.8892929687500001E-4</v>
      </c>
      <c r="BB63" s="38">
        <f t="shared" si="82"/>
        <v>9.4580825195312505E-4</v>
      </c>
      <c r="BC63" s="38">
        <f t="shared" si="83"/>
        <v>3.0000000000000001E-3</v>
      </c>
      <c r="BD63" s="38">
        <f t="shared" si="94"/>
        <v>178.5767473603255</v>
      </c>
      <c r="BE63" s="38">
        <f t="shared" si="95"/>
        <v>131.23017108949125</v>
      </c>
      <c r="BF63" s="38">
        <f t="shared" si="84"/>
        <v>5.3831054687500002</v>
      </c>
      <c r="BG63" s="38">
        <f t="shared" si="85"/>
        <v>6.5809497070312499</v>
      </c>
      <c r="BH63" s="38">
        <f t="shared" si="86"/>
        <v>0.25178386591423391</v>
      </c>
      <c r="BI63" s="38">
        <f t="shared" si="87"/>
        <v>0.37702249867746535</v>
      </c>
      <c r="BJ63" s="38">
        <f t="shared" si="43"/>
        <v>3589.7789321985683</v>
      </c>
      <c r="BK63" s="38">
        <f t="shared" si="44"/>
        <v>3479.4622462826269</v>
      </c>
      <c r="BL63" s="38">
        <f t="shared" si="88"/>
        <v>60.759493670886073</v>
      </c>
      <c r="BM63" s="38">
        <f t="shared" si="89"/>
        <v>88.185654008438817</v>
      </c>
      <c r="BN63" s="38">
        <f t="shared" si="45"/>
        <v>280.69787722746889</v>
      </c>
      <c r="BO63" s="38">
        <f t="shared" si="46"/>
        <v>187.45617815957513</v>
      </c>
      <c r="BP63" s="38">
        <f t="shared" si="47"/>
        <v>187.45617815957513</v>
      </c>
      <c r="BQ63" s="38">
        <f t="shared" si="48"/>
        <v>280.69787722746889</v>
      </c>
      <c r="BR63" s="38">
        <f t="shared" si="49"/>
        <v>0.66782185890086521</v>
      </c>
      <c r="BS63" s="38">
        <f t="shared" si="90"/>
        <v>27.762451171875</v>
      </c>
      <c r="BT63" s="1">
        <f t="shared" si="91"/>
        <v>0.44092827004219409</v>
      </c>
      <c r="BU63" s="1">
        <f t="shared" si="92"/>
        <v>0.37702249867746535</v>
      </c>
      <c r="BV63" s="1">
        <f t="shared" si="50"/>
        <v>0.28655442858707364</v>
      </c>
    </row>
    <row r="64" spans="1:74" ht="12.75" customHeight="1" x14ac:dyDescent="0.2">
      <c r="A64" s="5">
        <v>1E-3</v>
      </c>
      <c r="B64" s="50" t="s">
        <v>135</v>
      </c>
      <c r="C64" s="48">
        <v>35.78271484375</v>
      </c>
      <c r="D64" s="48">
        <v>30.912109375</v>
      </c>
      <c r="E64" s="48">
        <v>26.918212890625</v>
      </c>
      <c r="F64" s="48">
        <v>20.06689453125</v>
      </c>
      <c r="G64" s="48">
        <v>132.967529296875</v>
      </c>
      <c r="H64" s="48">
        <v>132.967529296875</v>
      </c>
      <c r="I64" s="48">
        <v>132.967529296875</v>
      </c>
      <c r="J64" s="48">
        <v>132.967529296875</v>
      </c>
      <c r="K64" s="48">
        <v>132.967529296875</v>
      </c>
      <c r="L64" s="48">
        <v>132.967529296875</v>
      </c>
      <c r="M64" s="50">
        <v>60</v>
      </c>
      <c r="N64" s="48">
        <v>4.00390625</v>
      </c>
      <c r="O64" s="82">
        <v>60</v>
      </c>
      <c r="P64" s="49">
        <v>2.81982421875</v>
      </c>
      <c r="Q64" s="47">
        <v>1</v>
      </c>
      <c r="R64" s="46" t="str">
        <f t="shared" si="52"/>
        <v>Countercurrent</v>
      </c>
      <c r="S64" s="46" t="s">
        <v>113</v>
      </c>
      <c r="T64" s="45">
        <f t="shared" si="53"/>
        <v>4.1779621144799481</v>
      </c>
      <c r="U64" s="45">
        <f t="shared" si="54"/>
        <v>4.1798557287375271</v>
      </c>
      <c r="V64" s="39">
        <f t="shared" si="55"/>
        <v>33.347412109375</v>
      </c>
      <c r="W64" s="43">
        <f t="shared" si="56"/>
        <v>994.59006053970143</v>
      </c>
      <c r="X64" s="39">
        <f t="shared" si="57"/>
        <v>23.4925537109375</v>
      </c>
      <c r="Y64" s="43">
        <f t="shared" si="58"/>
        <v>997.43049854219214</v>
      </c>
      <c r="Z64" s="43">
        <f t="shared" si="59"/>
        <v>4.87060546875</v>
      </c>
      <c r="AA64" s="43">
        <f t="shared" si="60"/>
        <v>-6.851318359375</v>
      </c>
      <c r="AB64" s="42">
        <f t="shared" si="61"/>
        <v>6.6370755993046482E-2</v>
      </c>
      <c r="AC64" s="42">
        <f t="shared" si="62"/>
        <v>4.6876311271819335E-2</v>
      </c>
      <c r="AD64" s="81">
        <f t="shared" si="63"/>
        <v>1350.5921278721696</v>
      </c>
      <c r="AE64" s="81">
        <f t="shared" si="64"/>
        <v>1342.4214090996247</v>
      </c>
      <c r="AF64" s="81">
        <f t="shared" si="65"/>
        <v>8.1707187725448875</v>
      </c>
      <c r="AG64" s="81">
        <f t="shared" si="66"/>
        <v>99.395026921605293</v>
      </c>
      <c r="AH64" s="81">
        <f t="shared" si="67"/>
        <v>30.991735537190088</v>
      </c>
      <c r="AI64" s="39"/>
      <c r="AJ64" s="81">
        <f t="shared" si="93"/>
        <v>30.804243880662803</v>
      </c>
      <c r="AK64" s="39"/>
      <c r="AL64" s="81">
        <f t="shared" si="68"/>
        <v>74.586776859504141</v>
      </c>
      <c r="AM64" s="39"/>
      <c r="AN64" s="81">
        <f t="shared" si="69"/>
        <v>9.3305138647743107</v>
      </c>
      <c r="AO64" s="81">
        <f t="shared" si="70"/>
        <v>1803.885607004785</v>
      </c>
      <c r="AP64" s="40"/>
      <c r="AQ64" s="38">
        <f t="shared" si="71"/>
        <v>0.04</v>
      </c>
      <c r="AR64" s="38">
        <f t="shared" si="72"/>
        <v>4357.9105992675331</v>
      </c>
      <c r="AS64" s="38">
        <f t="shared" si="73"/>
        <v>1899.8329265401849</v>
      </c>
      <c r="AT64" s="38">
        <f t="shared" si="74"/>
        <v>35872.719779069543</v>
      </c>
      <c r="AU64" s="38">
        <f t="shared" si="75"/>
        <v>21046.573377096818</v>
      </c>
      <c r="AV64" s="38">
        <f t="shared" si="76"/>
        <v>7.4568871093750005E-4</v>
      </c>
      <c r="AW64" s="38">
        <f t="shared" si="77"/>
        <v>8.2478734375000004E-4</v>
      </c>
      <c r="AX64" s="38">
        <f t="shared" si="78"/>
        <v>8.8964822265625004E-4</v>
      </c>
      <c r="AY64" s="38">
        <f t="shared" si="79"/>
        <v>1.0009136328125001E-3</v>
      </c>
      <c r="AZ64" s="38">
        <f t="shared" si="80"/>
        <v>3.0000000000000001E-3</v>
      </c>
      <c r="BA64" s="38">
        <f t="shared" si="81"/>
        <v>7.8523802734375005E-4</v>
      </c>
      <c r="BB64" s="38">
        <f t="shared" si="82"/>
        <v>9.4528092773437506E-4</v>
      </c>
      <c r="BC64" s="38">
        <f t="shared" si="83"/>
        <v>3.0000000000000001E-3</v>
      </c>
      <c r="BD64" s="38">
        <f t="shared" si="94"/>
        <v>177.19714643392595</v>
      </c>
      <c r="BE64" s="38">
        <f t="shared" si="95"/>
        <v>136.40038981096825</v>
      </c>
      <c r="BF64" s="38">
        <f t="shared" si="84"/>
        <v>5.3549208984375003</v>
      </c>
      <c r="BG64" s="38">
        <f t="shared" si="85"/>
        <v>6.5769233398437494</v>
      </c>
      <c r="BH64" s="38">
        <f t="shared" si="86"/>
        <v>0.26021224087301942</v>
      </c>
      <c r="BI64" s="38">
        <f t="shared" si="87"/>
        <v>0.36825975788850085</v>
      </c>
      <c r="BJ64" s="38">
        <f t="shared" si="43"/>
        <v>3618.7506589832342</v>
      </c>
      <c r="BK64" s="38">
        <f t="shared" si="44"/>
        <v>3596.8581917221545</v>
      </c>
      <c r="BL64" s="38">
        <f t="shared" si="88"/>
        <v>61.983471074380162</v>
      </c>
      <c r="BM64" s="38">
        <f t="shared" si="89"/>
        <v>87.190082644628106</v>
      </c>
      <c r="BN64" s="38">
        <f t="shared" si="45"/>
        <v>277.29450404834114</v>
      </c>
      <c r="BO64" s="38">
        <f t="shared" si="46"/>
        <v>195.93621821159758</v>
      </c>
      <c r="BP64" s="38">
        <f t="shared" si="47"/>
        <v>195.93621821159758</v>
      </c>
      <c r="BQ64" s="38">
        <f t="shared" si="48"/>
        <v>277.29450404834114</v>
      </c>
      <c r="BR64" s="38">
        <f t="shared" si="49"/>
        <v>0.70659971745217043</v>
      </c>
      <c r="BS64" s="38">
        <f t="shared" si="90"/>
        <v>27.9248046875</v>
      </c>
      <c r="BT64" s="1">
        <f t="shared" si="91"/>
        <v>0.43595041322314049</v>
      </c>
      <c r="BU64" s="1">
        <f t="shared" si="92"/>
        <v>0.36825975788850085</v>
      </c>
      <c r="BV64" s="1">
        <f t="shared" si="50"/>
        <v>0.28000101239433017</v>
      </c>
    </row>
    <row r="65" spans="1:74" ht="12.75" customHeight="1" x14ac:dyDescent="0.2">
      <c r="A65" s="5">
        <v>1E-3</v>
      </c>
      <c r="B65" s="50" t="s">
        <v>136</v>
      </c>
      <c r="C65" s="48">
        <v>35.555419921875</v>
      </c>
      <c r="D65" s="48">
        <v>30.84716796875</v>
      </c>
      <c r="E65" s="48">
        <v>26.918212890625</v>
      </c>
      <c r="F65" s="48">
        <v>20.06689453125</v>
      </c>
      <c r="G65" s="48">
        <v>132.967529296875</v>
      </c>
      <c r="H65" s="48">
        <v>132.967529296875</v>
      </c>
      <c r="I65" s="48">
        <v>132.967529296875</v>
      </c>
      <c r="J65" s="48">
        <v>132.967529296875</v>
      </c>
      <c r="K65" s="48">
        <v>132.967529296875</v>
      </c>
      <c r="L65" s="48">
        <v>132.967529296875</v>
      </c>
      <c r="M65" s="50">
        <v>60</v>
      </c>
      <c r="N65" s="48">
        <v>4.0283203125</v>
      </c>
      <c r="O65" s="82">
        <v>60</v>
      </c>
      <c r="P65" s="49">
        <v>2.8076171875</v>
      </c>
      <c r="Q65" s="47">
        <v>1</v>
      </c>
      <c r="R65" s="46" t="str">
        <f t="shared" si="52"/>
        <v>Countercurrent</v>
      </c>
      <c r="S65" s="46" t="s">
        <v>113</v>
      </c>
      <c r="T65" s="45">
        <f t="shared" si="53"/>
        <v>4.1779669207195385</v>
      </c>
      <c r="U65" s="45">
        <f t="shared" si="54"/>
        <v>4.1798557287375271</v>
      </c>
      <c r="V65" s="39">
        <f t="shared" si="55"/>
        <v>33.2012939453125</v>
      </c>
      <c r="W65" s="43">
        <f t="shared" si="56"/>
        <v>994.6384350109455</v>
      </c>
      <c r="X65" s="39">
        <f t="shared" si="57"/>
        <v>23.4925537109375</v>
      </c>
      <c r="Y65" s="43">
        <f t="shared" si="58"/>
        <v>997.43049854219214</v>
      </c>
      <c r="Z65" s="43">
        <f t="shared" si="59"/>
        <v>4.708251953125</v>
      </c>
      <c r="AA65" s="43">
        <f t="shared" si="60"/>
        <v>-6.851318359375</v>
      </c>
      <c r="AB65" s="42">
        <f t="shared" si="61"/>
        <v>6.6778703522463387E-2</v>
      </c>
      <c r="AC65" s="42">
        <f t="shared" si="62"/>
        <v>4.6673383517395875E-2</v>
      </c>
      <c r="AD65" s="81">
        <f t="shared" si="63"/>
        <v>1313.5985957678552</v>
      </c>
      <c r="AE65" s="81">
        <f t="shared" si="64"/>
        <v>1336.6100610082842</v>
      </c>
      <c r="AF65" s="81">
        <f t="shared" si="65"/>
        <v>-23.011465240429061</v>
      </c>
      <c r="AG65" s="81">
        <f t="shared" si="66"/>
        <v>101.75178820338017</v>
      </c>
      <c r="AH65" s="81">
        <f t="shared" si="67"/>
        <v>30.398322851153047</v>
      </c>
      <c r="AI65" s="39"/>
      <c r="AJ65" s="81">
        <f t="shared" si="93"/>
        <v>30.930837084884963</v>
      </c>
      <c r="AK65" s="39"/>
      <c r="AL65" s="81">
        <f t="shared" si="68"/>
        <v>74.633123689727455</v>
      </c>
      <c r="AM65" s="39"/>
      <c r="AN65" s="81">
        <f t="shared" si="69"/>
        <v>9.1857308860257483</v>
      </c>
      <c r="AO65" s="81">
        <f t="shared" si="70"/>
        <v>1803.0743032854496</v>
      </c>
      <c r="AP65" s="40"/>
      <c r="AQ65" s="38">
        <f t="shared" si="71"/>
        <v>0.04</v>
      </c>
      <c r="AR65" s="38">
        <f t="shared" si="72"/>
        <v>4321.2864150432197</v>
      </c>
      <c r="AS65" s="38">
        <f t="shared" si="73"/>
        <v>1911.5124393587409</v>
      </c>
      <c r="AT65" s="38">
        <f t="shared" si="74"/>
        <v>35984.467605992933</v>
      </c>
      <c r="AU65" s="38">
        <f t="shared" si="75"/>
        <v>20955.462669836659</v>
      </c>
      <c r="AV65" s="38">
        <f t="shared" si="76"/>
        <v>7.4937998046875002E-4</v>
      </c>
      <c r="AW65" s="38">
        <f t="shared" si="77"/>
        <v>8.2584199218750003E-4</v>
      </c>
      <c r="AX65" s="38">
        <f t="shared" si="78"/>
        <v>8.8964822265625004E-4</v>
      </c>
      <c r="AY65" s="38">
        <f t="shared" si="79"/>
        <v>1.0009136328125001E-3</v>
      </c>
      <c r="AZ65" s="38">
        <f t="shared" si="80"/>
        <v>3.0000000000000001E-3</v>
      </c>
      <c r="BA65" s="38">
        <f t="shared" si="81"/>
        <v>7.8761098632812508E-4</v>
      </c>
      <c r="BB65" s="38">
        <f t="shared" si="82"/>
        <v>9.4528092773437506E-4</v>
      </c>
      <c r="BC65" s="38">
        <f t="shared" si="83"/>
        <v>3.0000000000000001E-3</v>
      </c>
      <c r="BD65" s="38">
        <f t="shared" si="94"/>
        <v>177.83872540703595</v>
      </c>
      <c r="BE65" s="38">
        <f t="shared" si="95"/>
        <v>135.88829787134915</v>
      </c>
      <c r="BF65" s="38">
        <f t="shared" si="84"/>
        <v>5.3730395507812503</v>
      </c>
      <c r="BG65" s="38">
        <f t="shared" si="85"/>
        <v>6.5769233398437494</v>
      </c>
      <c r="BH65" s="38">
        <f t="shared" si="86"/>
        <v>0.25850600441943489</v>
      </c>
      <c r="BI65" s="38">
        <f t="shared" si="87"/>
        <v>0.36969454107199989</v>
      </c>
      <c r="BJ65" s="38">
        <f t="shared" si="43"/>
        <v>3575.1063580749806</v>
      </c>
      <c r="BK65" s="38">
        <f t="shared" si="44"/>
        <v>3637.7346495140332</v>
      </c>
      <c r="BL65" s="38">
        <f t="shared" si="88"/>
        <v>60.79664570230608</v>
      </c>
      <c r="BM65" s="38">
        <f t="shared" si="89"/>
        <v>88.469601677148844</v>
      </c>
      <c r="BN65" s="38">
        <f t="shared" si="45"/>
        <v>278.9992143253894</v>
      </c>
      <c r="BO65" s="38">
        <f t="shared" si="46"/>
        <v>195.08800947475083</v>
      </c>
      <c r="BP65" s="38">
        <f t="shared" si="47"/>
        <v>195.08800947475083</v>
      </c>
      <c r="BQ65" s="38">
        <f t="shared" si="48"/>
        <v>278.9992143253894</v>
      </c>
      <c r="BR65" s="38">
        <f t="shared" si="49"/>
        <v>0.69924214642133309</v>
      </c>
      <c r="BS65" s="38">
        <f t="shared" si="90"/>
        <v>27.8111572265625</v>
      </c>
      <c r="BT65" s="1">
        <f t="shared" si="91"/>
        <v>0.44234800838574423</v>
      </c>
      <c r="BU65" s="1">
        <f t="shared" si="92"/>
        <v>0.36969454107199989</v>
      </c>
      <c r="BV65" s="1">
        <f t="shared" si="50"/>
        <v>0.28110867848840437</v>
      </c>
    </row>
    <row r="66" spans="1:74" ht="12.75" customHeight="1" x14ac:dyDescent="0.2">
      <c r="A66" s="5">
        <v>1E-3</v>
      </c>
      <c r="B66" s="50" t="s">
        <v>137</v>
      </c>
      <c r="C66" s="48">
        <v>35.490478515625</v>
      </c>
      <c r="D66" s="48">
        <v>30.814697265625</v>
      </c>
      <c r="E66" s="48">
        <v>26.8857421875</v>
      </c>
      <c r="F66" s="48">
        <v>20.099365234375</v>
      </c>
      <c r="G66" s="48">
        <v>132.967529296875</v>
      </c>
      <c r="H66" s="48">
        <v>132.967529296875</v>
      </c>
      <c r="I66" s="48">
        <v>132.967529296875</v>
      </c>
      <c r="J66" s="48">
        <v>132.967529296875</v>
      </c>
      <c r="K66" s="48">
        <v>132.967529296875</v>
      </c>
      <c r="L66" s="48">
        <v>132.967529296875</v>
      </c>
      <c r="M66" s="50">
        <v>60</v>
      </c>
      <c r="N66" s="48">
        <v>4.1015625</v>
      </c>
      <c r="O66" s="82">
        <v>60</v>
      </c>
      <c r="P66" s="49">
        <v>2.8076171875</v>
      </c>
      <c r="Q66" s="47">
        <v>1</v>
      </c>
      <c r="R66" s="46" t="str">
        <f t="shared" ref="R66:R81" si="96">IF(ISNUMBER(Q66),IF(Q66=1,"Countercurrent","Cocurrent"),"")</f>
        <v>Countercurrent</v>
      </c>
      <c r="S66" s="46" t="s">
        <v>113</v>
      </c>
      <c r="T66" s="45">
        <f t="shared" ref="T66:T87" si="97">IF(ISNUMBER(N66),1.15290498E-12*(V66^6)-3.5879038802E-10*(V66^5)+4.710833256816E-08*(V66^4)-3.38194190874219E-06*(V66^3)+0.000148978977392744*(V66^2)-0.00373903643230733*(V66)+4.21734712411944,"")</f>
        <v>4.1779686497189452</v>
      </c>
      <c r="U66" s="45">
        <f t="shared" ref="U66:U87" si="98">IF(ISNUMBER(N66),1.15290498E-12*(X66^6)-3.5879038802E-10*(X66^5)+4.710833256816E-08*(X66^4)-3.38194190874219E-06*(X66^3)+0.000148978977392744*(X66^2)-0.00373903643230733*(X66)+4.21734712411944,"")</f>
        <v>4.1798557287375271</v>
      </c>
      <c r="V66" s="39">
        <f t="shared" ref="V66:V87" si="99">IF(ISNUMBER(C66),AVERAGE(C66:D66),"")</f>
        <v>33.152587890625</v>
      </c>
      <c r="W66" s="43">
        <f t="shared" ref="W66:W81" si="100">IF(ISNUMBER(D66),-0.0000002301*(V66^4)+0.0000569866*(V66^3)-0.0082923226*(V66^2)+0.0654036947*V66+999.8017570756,"")</f>
        <v>994.6545205920944</v>
      </c>
      <c r="X66" s="39">
        <f t="shared" ref="X66:X87" si="101">IF(ISNUMBER(E66),AVERAGE(E66:F66),"")</f>
        <v>23.4925537109375</v>
      </c>
      <c r="Y66" s="43">
        <f t="shared" ref="Y66:Y87" si="102">IF(ISNUMBER(D66),-0.0000002301*(X66^4)+0.0000569866*(X66^3)-0.0082923226*(X66^2)+0.0654036947*X66+999.8017570756,"")</f>
        <v>997.43049854219214</v>
      </c>
      <c r="Z66" s="43">
        <f t="shared" ref="Z66:Z87" si="103">IF(ISNUMBER(C66),IF(R66="Countercurrent",C66-D66,D66-C66),"")</f>
        <v>4.67578125</v>
      </c>
      <c r="AA66" s="43">
        <f t="shared" ref="AA66:AA87" si="104">IF(ISNUMBER(E66),F66-E66,"")</f>
        <v>-6.786376953125</v>
      </c>
      <c r="AB66" s="42">
        <f t="shared" ref="AB66:AB87" si="105">IF(ISNUMBER(N66),N66*W66/(1000*60),"")</f>
        <v>6.7993961368600198E-2</v>
      </c>
      <c r="AC66" s="42">
        <f t="shared" ref="AC66:AC87" si="106">IF(ISNUMBER(P66),P66*Y66/(1000*60),"")</f>
        <v>4.6673383517395875E-2</v>
      </c>
      <c r="AD66" s="81">
        <f t="shared" ref="AD66:AD81" si="107">AB66*T66*(C66-D66)*1000</f>
        <v>1328.280222050588</v>
      </c>
      <c r="AE66" s="81">
        <f t="shared" ref="AE66:AE81" si="108">AC66*U66*(E66-F66)*1000</f>
        <v>1323.9407713304806</v>
      </c>
      <c r="AF66" s="81">
        <f t="shared" ref="AF66:AF81" si="109">AD66-AE66</f>
        <v>4.3394507201073793</v>
      </c>
      <c r="AG66" s="81">
        <f t="shared" ref="AG66:AG81" si="110">AE66*100/AD66</f>
        <v>99.673303069031007</v>
      </c>
      <c r="AH66" s="81">
        <f t="shared" ref="AH66:AH81" si="111">AD66*100/AR66</f>
        <v>30.37974683544304</v>
      </c>
      <c r="AI66" s="39"/>
      <c r="AJ66" s="81">
        <f t="shared" si="93"/>
        <v>30.280497134895498</v>
      </c>
      <c r="AK66" s="39"/>
      <c r="AL66" s="81">
        <f t="shared" ref="AL66:AL81" si="112">(BL66+BM66)/2</f>
        <v>74.472573839662445</v>
      </c>
      <c r="AM66" s="39"/>
      <c r="AN66" s="81">
        <f t="shared" ref="AN66:AN81" si="113">((C66-E66)-(D66-F66))/(LN((C66-E66)/(D66-F66)))*0.95</f>
        <v>9.1404087552765301</v>
      </c>
      <c r="AO66" s="81">
        <f t="shared" ref="AO66:AO81" si="114">((1/BJ66)+(1/BK66))^-1</f>
        <v>1813.5224886866179</v>
      </c>
      <c r="AP66" s="40"/>
      <c r="AQ66" s="38">
        <f t="shared" ref="AQ66:AQ81" si="115">5*0.008</f>
        <v>0.04</v>
      </c>
      <c r="AR66" s="38">
        <f t="shared" ref="AR66:AR81" si="116">BN66*(C66-F66)</f>
        <v>4372.2557309165186</v>
      </c>
      <c r="AS66" s="38">
        <f t="shared" ref="AS66:AS81" si="117">BN66*(E66-F66)</f>
        <v>1927.8511556150895</v>
      </c>
      <c r="AT66" s="38">
        <f t="shared" ref="AT66:AT81" si="118">(4*AB66)/(BA66*PI()*BC66)</f>
        <v>36602.563759880031</v>
      </c>
      <c r="AU66" s="38">
        <f t="shared" ref="AU66:AU81" si="119">(4*AC66)/(BB66*PI()*BC66)</f>
        <v>20955.462669836659</v>
      </c>
      <c r="AV66" s="38">
        <f t="shared" ref="AV66:AV81" si="120">0.001002+((C66-20)/25)*(0.000596-0.001002)</f>
        <v>7.5043462890625001E-4</v>
      </c>
      <c r="AW66" s="38">
        <f t="shared" ref="AW66:AW81" si="121">0.001002+((D66-20)/25)*(0.000596-0.001002)</f>
        <v>8.2636931640625003E-4</v>
      </c>
      <c r="AX66" s="38">
        <f t="shared" ref="AX66:AX81" si="122">0.001002+((E66-20)/25)*(0.000596-0.001002)</f>
        <v>8.9017554687500003E-4</v>
      </c>
      <c r="AY66" s="38">
        <f t="shared" ref="AY66:AY81" si="123">0.001002+((F66-20)/25)*(0.000596-0.001002)</f>
        <v>1.00038630859375E-3</v>
      </c>
      <c r="AZ66" s="38">
        <f t="shared" ref="AZ66:AZ81" si="124">0.003</f>
        <v>3.0000000000000001E-3</v>
      </c>
      <c r="BA66" s="38">
        <f t="shared" ref="BA66:BA81" si="125">(AV66+AW66)/2</f>
        <v>7.8840197265625002E-4</v>
      </c>
      <c r="BB66" s="38">
        <f t="shared" ref="BB66:BB81" si="126">(AX66+AY66)/2</f>
        <v>9.4528092773437495E-4</v>
      </c>
      <c r="BC66" s="38">
        <f t="shared" ref="BC66:BC81" si="127">0.003</f>
        <v>3.0000000000000001E-3</v>
      </c>
      <c r="BD66" s="38">
        <f t="shared" si="94"/>
        <v>180.34583102547029</v>
      </c>
      <c r="BE66" s="38">
        <f t="shared" si="95"/>
        <v>135.88829787134915</v>
      </c>
      <c r="BF66" s="38">
        <f t="shared" ref="BF66:BF81" si="128">7.01+((AVERAGE(C66:D66)-20)/25)*(3.91-7.01)</f>
        <v>5.3790791015624997</v>
      </c>
      <c r="BG66" s="38">
        <f t="shared" ref="BG66:BG81" si="129">7.01+((AVERAGE(E66:F66)-20)/25)*(3.91-7.01)</f>
        <v>6.5769233398437494</v>
      </c>
      <c r="BH66" s="38">
        <f t="shared" ref="BH66:BH81" si="130">(AO66*AQ66)/((AB66*T66)*1000)</f>
        <v>0.25535679319122695</v>
      </c>
      <c r="BI66" s="38">
        <f t="shared" ref="BI66:BI81" si="131">(AO66*AQ66)/(AC66*U66*1000)</f>
        <v>0.37183679172682976</v>
      </c>
      <c r="BJ66" s="38">
        <f t="shared" si="43"/>
        <v>3632.9891190145213</v>
      </c>
      <c r="BK66" s="38">
        <f t="shared" si="44"/>
        <v>3621.1202550602638</v>
      </c>
      <c r="BL66" s="38">
        <f t="shared" ref="BL66:BL81" si="132">(C66-D66)*100/(C66-BS66)</f>
        <v>60.759493670886073</v>
      </c>
      <c r="BM66" s="38">
        <f t="shared" ref="BM66:BM81" si="133">(E66-F66)*100/(BS66-F66)</f>
        <v>88.185654008438817</v>
      </c>
      <c r="BN66" s="38">
        <f t="shared" si="45"/>
        <v>284.07663896821265</v>
      </c>
      <c r="BO66" s="38">
        <f t="shared" si="46"/>
        <v>195.08800947475083</v>
      </c>
      <c r="BP66" s="38">
        <f t="shared" si="47"/>
        <v>195.08800947475083</v>
      </c>
      <c r="BQ66" s="38">
        <f t="shared" si="48"/>
        <v>284.07663896821265</v>
      </c>
      <c r="BR66" s="38">
        <f t="shared" si="49"/>
        <v>0.68674428908806051</v>
      </c>
      <c r="BS66" s="38">
        <f t="shared" ref="BS66:BS81" si="134">(C66+F66)/2</f>
        <v>27.794921875</v>
      </c>
      <c r="BT66" s="1">
        <f t="shared" ref="BT66:BT81" si="135">(E66-F66)/(C66-F66)</f>
        <v>0.44092827004219409</v>
      </c>
      <c r="BU66" s="1">
        <f t="shared" ref="BU66:BU81" si="136">AO66*AQ66/BP66</f>
        <v>0.37183679172682976</v>
      </c>
      <c r="BV66" s="1">
        <f t="shared" si="50"/>
        <v>0.28282430027062805</v>
      </c>
    </row>
    <row r="67" spans="1:74" ht="12.75" customHeight="1" x14ac:dyDescent="0.2">
      <c r="A67" s="5">
        <v>1E-3</v>
      </c>
      <c r="B67" s="50" t="s">
        <v>138</v>
      </c>
      <c r="C67" s="48">
        <v>35.425537109375</v>
      </c>
      <c r="D67" s="48">
        <v>30.71728515625</v>
      </c>
      <c r="E67" s="48">
        <v>26.82080078125</v>
      </c>
      <c r="F67" s="48">
        <v>20.06689453125</v>
      </c>
      <c r="G67" s="48">
        <v>132.967529296875</v>
      </c>
      <c r="H67" s="48">
        <v>132.967529296875</v>
      </c>
      <c r="I67" s="48">
        <v>132.967529296875</v>
      </c>
      <c r="J67" s="48">
        <v>132.967529296875</v>
      </c>
      <c r="K67" s="48">
        <v>132.967529296875</v>
      </c>
      <c r="L67" s="48">
        <v>132.967529296875</v>
      </c>
      <c r="M67" s="50">
        <v>60</v>
      </c>
      <c r="N67" s="48">
        <v>4.0283203125</v>
      </c>
      <c r="O67" s="82">
        <v>60</v>
      </c>
      <c r="P67" s="49">
        <v>2.74658203125</v>
      </c>
      <c r="Q67" s="47">
        <v>1</v>
      </c>
      <c r="R67" s="46" t="str">
        <f t="shared" si="96"/>
        <v>Countercurrent</v>
      </c>
      <c r="S67" s="46" t="s">
        <v>113</v>
      </c>
      <c r="T67" s="45">
        <f t="shared" si="97"/>
        <v>4.1779716730962235</v>
      </c>
      <c r="U67" s="45">
        <f t="shared" si="98"/>
        <v>4.1798749067281662</v>
      </c>
      <c r="V67" s="39">
        <f t="shared" si="99"/>
        <v>33.0714111328125</v>
      </c>
      <c r="W67" s="43">
        <f t="shared" si="100"/>
        <v>994.68128621419373</v>
      </c>
      <c r="X67" s="39">
        <f t="shared" si="101"/>
        <v>23.44384765625</v>
      </c>
      <c r="Y67" s="43">
        <f t="shared" si="102"/>
        <v>997.44226335656674</v>
      </c>
      <c r="Z67" s="43">
        <f t="shared" si="103"/>
        <v>4.708251953125</v>
      </c>
      <c r="AA67" s="43">
        <f t="shared" si="104"/>
        <v>-6.75390625</v>
      </c>
      <c r="AB67" s="42">
        <f t="shared" si="105"/>
        <v>6.6781580495337708E-2</v>
      </c>
      <c r="AC67" s="42">
        <f t="shared" si="106"/>
        <v>4.5659283295741274E-2</v>
      </c>
      <c r="AD67" s="81">
        <f t="shared" si="107"/>
        <v>1313.6566827374345</v>
      </c>
      <c r="AE67" s="81">
        <f t="shared" si="108"/>
        <v>1288.9836325965207</v>
      </c>
      <c r="AF67" s="81">
        <f t="shared" si="109"/>
        <v>24.673050140913801</v>
      </c>
      <c r="AG67" s="81">
        <f t="shared" si="110"/>
        <v>98.121803781373131</v>
      </c>
      <c r="AH67" s="81">
        <f t="shared" si="111"/>
        <v>30.655391120507399</v>
      </c>
      <c r="AI67" s="39"/>
      <c r="AJ67" s="81">
        <f t="shared" ref="AJ67:AJ81" si="137">AE67*100/AR67</f>
        <v>30.079622723676753</v>
      </c>
      <c r="AK67" s="39"/>
      <c r="AL67" s="81">
        <f t="shared" si="112"/>
        <v>74.630021141649053</v>
      </c>
      <c r="AM67" s="39"/>
      <c r="AN67" s="81">
        <f t="shared" si="113"/>
        <v>9.1116706586041349</v>
      </c>
      <c r="AO67" s="81">
        <f t="shared" si="114"/>
        <v>1785.0776987944785</v>
      </c>
      <c r="AP67" s="40"/>
      <c r="AQ67" s="38">
        <f t="shared" si="115"/>
        <v>0.04</v>
      </c>
      <c r="AR67" s="38">
        <f t="shared" si="116"/>
        <v>4285.2386961021139</v>
      </c>
      <c r="AS67" s="38">
        <f t="shared" si="117"/>
        <v>1884.4178621336989</v>
      </c>
      <c r="AT67" s="38">
        <f t="shared" si="118"/>
        <v>35889.901338103693</v>
      </c>
      <c r="AU67" s="38">
        <f t="shared" si="119"/>
        <v>20483.01128496907</v>
      </c>
      <c r="AV67" s="38">
        <f t="shared" si="120"/>
        <v>7.5148927734375E-4</v>
      </c>
      <c r="AW67" s="38">
        <f t="shared" si="121"/>
        <v>8.2795128906250001E-4</v>
      </c>
      <c r="AX67" s="38">
        <f t="shared" si="122"/>
        <v>8.9123019531250002E-4</v>
      </c>
      <c r="AY67" s="38">
        <f t="shared" si="123"/>
        <v>1.0009136328125001E-3</v>
      </c>
      <c r="AZ67" s="38">
        <f t="shared" si="124"/>
        <v>3.0000000000000001E-3</v>
      </c>
      <c r="BA67" s="38">
        <f t="shared" si="125"/>
        <v>7.8972028320312506E-4</v>
      </c>
      <c r="BB67" s="38">
        <f t="shared" si="126"/>
        <v>9.460719140625001E-4</v>
      </c>
      <c r="BC67" s="38">
        <f t="shared" si="127"/>
        <v>3.0000000000000001E-3</v>
      </c>
      <c r="BD67" s="38">
        <f t="shared" ref="BD67:BD81" si="138">(0.023*AT67^0.8)*(BF67^0.333333)</f>
        <v>177.64187993674079</v>
      </c>
      <c r="BE67" s="38">
        <f t="shared" ref="BE67:BE81" si="139">(0.013*AU67^0.867)*(BG67^0.333333)</f>
        <v>133.26884794504613</v>
      </c>
      <c r="BF67" s="38">
        <f t="shared" si="128"/>
        <v>5.3891450195312505</v>
      </c>
      <c r="BG67" s="38">
        <f t="shared" si="129"/>
        <v>6.5829628906249997</v>
      </c>
      <c r="BH67" s="38">
        <f t="shared" si="130"/>
        <v>0.2559145223336512</v>
      </c>
      <c r="BI67" s="38">
        <f t="shared" si="131"/>
        <v>0.37413190118908229</v>
      </c>
      <c r="BJ67" s="38">
        <f t="shared" ref="BJ67:BJ81" si="140">AD67/(AQ67*AN67)</f>
        <v>3604.3244207278026</v>
      </c>
      <c r="BK67" s="38">
        <f t="shared" ref="BK67:BK81" si="141">AE67/(AQ67*AN67)</f>
        <v>3536.6281357506477</v>
      </c>
      <c r="BL67" s="38">
        <f t="shared" si="132"/>
        <v>61.310782241014799</v>
      </c>
      <c r="BM67" s="38">
        <f t="shared" si="133"/>
        <v>87.949260042283299</v>
      </c>
      <c r="BN67" s="38">
        <f t="shared" ref="BN67:BN81" si="142">AB67*T67*1000</f>
        <v>279.01155159411621</v>
      </c>
      <c r="BO67" s="38">
        <f t="shared" ref="BO67:BO81" si="143">AC67*U67*1000</f>
        <v>190.85009250706148</v>
      </c>
      <c r="BP67" s="38">
        <f t="shared" ref="BP67:BP81" si="144">IF(BO67&lt;BN67,BO67,BN67)</f>
        <v>190.85009250706148</v>
      </c>
      <c r="BQ67" s="38">
        <f t="shared" ref="BQ67:BQ81" si="145">IF(BN67&gt;BO67,BN67,BO67)</f>
        <v>279.01155159411621</v>
      </c>
      <c r="BR67" s="38">
        <f t="shared" ref="BR67:BR81" si="146">BP67/BQ67</f>
        <v>0.6840221898220723</v>
      </c>
      <c r="BS67" s="38">
        <f t="shared" si="134"/>
        <v>27.7462158203125</v>
      </c>
      <c r="BT67" s="1">
        <f t="shared" si="135"/>
        <v>0.43974630021141647</v>
      </c>
      <c r="BU67" s="1">
        <f t="shared" si="136"/>
        <v>0.37413190118908229</v>
      </c>
      <c r="BV67" s="1">
        <f t="shared" ref="BV67:BV81" si="147">(1-EXP(-BU67*(1-BR67)))/(1-BR67*EXP(-BU67*(1-BR67)))</f>
        <v>0.28425424654958481</v>
      </c>
    </row>
    <row r="68" spans="1:74" ht="12.75" customHeight="1" x14ac:dyDescent="0.2">
      <c r="A68" s="5">
        <v>1E-3</v>
      </c>
      <c r="B68" s="50" t="s">
        <v>139</v>
      </c>
      <c r="C68" s="48">
        <v>35.65283203125</v>
      </c>
      <c r="D68" s="48">
        <v>30.7822265625</v>
      </c>
      <c r="E68" s="48">
        <v>26.8857421875</v>
      </c>
      <c r="F68" s="48">
        <v>20.099365234375</v>
      </c>
      <c r="G68" s="48">
        <v>132.967529296875</v>
      </c>
      <c r="H68" s="48">
        <v>132.967529296875</v>
      </c>
      <c r="I68" s="48">
        <v>132.967529296875</v>
      </c>
      <c r="J68" s="48">
        <v>132.967529296875</v>
      </c>
      <c r="K68" s="48">
        <v>132.967529296875</v>
      </c>
      <c r="L68" s="48">
        <v>132.967529296875</v>
      </c>
      <c r="M68" s="50">
        <v>60</v>
      </c>
      <c r="N68" s="48">
        <v>4.0283203125</v>
      </c>
      <c r="O68" s="82">
        <v>60</v>
      </c>
      <c r="P68" s="49">
        <v>2.734375</v>
      </c>
      <c r="Q68" s="47">
        <v>1</v>
      </c>
      <c r="R68" s="46" t="str">
        <f t="shared" si="96"/>
        <v>Countercurrent</v>
      </c>
      <c r="S68" s="46" t="s">
        <v>113</v>
      </c>
      <c r="T68" s="45">
        <f t="shared" si="97"/>
        <v>4.1779663585209068</v>
      </c>
      <c r="U68" s="45">
        <f t="shared" si="98"/>
        <v>4.1798557287375271</v>
      </c>
      <c r="V68" s="39">
        <f t="shared" si="99"/>
        <v>33.217529296875</v>
      </c>
      <c r="W68" s="43">
        <f t="shared" si="100"/>
        <v>994.63306878665821</v>
      </c>
      <c r="X68" s="39">
        <f t="shared" si="101"/>
        <v>23.4925537109375</v>
      </c>
      <c r="Y68" s="43">
        <f t="shared" si="102"/>
        <v>997.43049854219214</v>
      </c>
      <c r="Z68" s="43">
        <f t="shared" si="103"/>
        <v>4.87060546875</v>
      </c>
      <c r="AA68" s="43">
        <f t="shared" si="104"/>
        <v>-6.786376953125</v>
      </c>
      <c r="AB68" s="42">
        <f t="shared" si="105"/>
        <v>6.6778343241291754E-2</v>
      </c>
      <c r="AC68" s="42">
        <f t="shared" si="106"/>
        <v>4.5455816990855109E-2</v>
      </c>
      <c r="AD68" s="81">
        <f t="shared" si="107"/>
        <v>1358.8875847706506</v>
      </c>
      <c r="AE68" s="81">
        <f t="shared" si="108"/>
        <v>1289.4031859914244</v>
      </c>
      <c r="AF68" s="81">
        <f t="shared" si="109"/>
        <v>69.48439877922624</v>
      </c>
      <c r="AG68" s="81">
        <f t="shared" si="110"/>
        <v>94.886670570991086</v>
      </c>
      <c r="AH68" s="81">
        <f t="shared" si="111"/>
        <v>31.315240083507312</v>
      </c>
      <c r="AI68" s="39"/>
      <c r="AJ68" s="81">
        <f t="shared" si="137"/>
        <v>29.713988696552533</v>
      </c>
      <c r="AK68" s="39"/>
      <c r="AL68" s="81">
        <f t="shared" si="112"/>
        <v>74.947807933194156</v>
      </c>
      <c r="AM68" s="39"/>
      <c r="AN68" s="81">
        <f t="shared" si="113"/>
        <v>9.20877182156317</v>
      </c>
      <c r="AO68" s="81">
        <f t="shared" si="114"/>
        <v>1796.1594991631994</v>
      </c>
      <c r="AP68" s="40"/>
      <c r="AQ68" s="38">
        <f t="shared" si="115"/>
        <v>0.04</v>
      </c>
      <c r="AR68" s="38">
        <f t="shared" si="116"/>
        <v>4339.3810207009437</v>
      </c>
      <c r="AS68" s="38">
        <f t="shared" si="117"/>
        <v>1893.383368113773</v>
      </c>
      <c r="AT68" s="38">
        <f t="shared" si="118"/>
        <v>35996.323660199618</v>
      </c>
      <c r="AU68" s="38">
        <f t="shared" si="119"/>
        <v>20408.798426275698</v>
      </c>
      <c r="AV68" s="38">
        <f t="shared" si="120"/>
        <v>7.4779800781250003E-4</v>
      </c>
      <c r="AW68" s="38">
        <f t="shared" si="121"/>
        <v>8.2689664062500002E-4</v>
      </c>
      <c r="AX68" s="38">
        <f t="shared" si="122"/>
        <v>8.9017554687500003E-4</v>
      </c>
      <c r="AY68" s="38">
        <f t="shared" si="123"/>
        <v>1.00038630859375E-3</v>
      </c>
      <c r="AZ68" s="38">
        <f t="shared" si="124"/>
        <v>3.0000000000000001E-3</v>
      </c>
      <c r="BA68" s="38">
        <f t="shared" si="125"/>
        <v>7.8734732421875003E-4</v>
      </c>
      <c r="BB68" s="38">
        <f t="shared" si="126"/>
        <v>9.4528092773437495E-4</v>
      </c>
      <c r="BC68" s="38">
        <f t="shared" si="127"/>
        <v>3.0000000000000001E-3</v>
      </c>
      <c r="BD68" s="38">
        <f t="shared" si="138"/>
        <v>177.86337925423922</v>
      </c>
      <c r="BE68" s="38">
        <f t="shared" si="139"/>
        <v>132.80947404431822</v>
      </c>
      <c r="BF68" s="38">
        <f t="shared" si="128"/>
        <v>5.3710263671875005</v>
      </c>
      <c r="BG68" s="38">
        <f t="shared" si="129"/>
        <v>6.5769233398437494</v>
      </c>
      <c r="BH68" s="38">
        <f t="shared" si="130"/>
        <v>0.25751605585087656</v>
      </c>
      <c r="BI68" s="38">
        <f t="shared" si="131"/>
        <v>0.37814131566257037</v>
      </c>
      <c r="BJ68" s="38">
        <f t="shared" si="140"/>
        <v>3689.1118900044103</v>
      </c>
      <c r="BK68" s="38">
        <f t="shared" si="141"/>
        <v>3500.4754460637478</v>
      </c>
      <c r="BL68" s="38">
        <f t="shared" si="132"/>
        <v>62.630480167014611</v>
      </c>
      <c r="BM68" s="38">
        <f t="shared" si="133"/>
        <v>87.265135699373701</v>
      </c>
      <c r="BN68" s="38">
        <f t="shared" si="142"/>
        <v>278.99767153987892</v>
      </c>
      <c r="BO68" s="38">
        <f t="shared" si="143"/>
        <v>189.99875705367035</v>
      </c>
      <c r="BP68" s="38">
        <f t="shared" si="144"/>
        <v>189.99875705367035</v>
      </c>
      <c r="BQ68" s="38">
        <f t="shared" si="145"/>
        <v>278.99767153987892</v>
      </c>
      <c r="BR68" s="38">
        <f t="shared" si="146"/>
        <v>0.68100481271046243</v>
      </c>
      <c r="BS68" s="38">
        <f t="shared" si="134"/>
        <v>27.8760986328125</v>
      </c>
      <c r="BT68" s="1">
        <f t="shared" si="135"/>
        <v>0.43632567849686849</v>
      </c>
      <c r="BU68" s="1">
        <f t="shared" si="136"/>
        <v>0.37814131566257037</v>
      </c>
      <c r="BV68" s="1">
        <f t="shared" si="147"/>
        <v>0.28667898560336719</v>
      </c>
    </row>
    <row r="69" spans="1:74" ht="12.75" customHeight="1" x14ac:dyDescent="0.2">
      <c r="A69" s="5">
        <v>1E-3</v>
      </c>
      <c r="B69" s="50" t="s">
        <v>140</v>
      </c>
      <c r="C69" s="48">
        <v>35.815185546875</v>
      </c>
      <c r="D69" s="48">
        <v>30.944580078125</v>
      </c>
      <c r="E69" s="48">
        <v>26.983154296875</v>
      </c>
      <c r="F69" s="48">
        <v>20.06689453125</v>
      </c>
      <c r="G69" s="48">
        <v>132.967529296875</v>
      </c>
      <c r="H69" s="48">
        <v>132.967529296875</v>
      </c>
      <c r="I69" s="48">
        <v>132.967529296875</v>
      </c>
      <c r="J69" s="48">
        <v>132.967529296875</v>
      </c>
      <c r="K69" s="48">
        <v>132.967529296875</v>
      </c>
      <c r="L69" s="48">
        <v>132.967529296875</v>
      </c>
      <c r="M69" s="50">
        <v>60</v>
      </c>
      <c r="N69" s="48">
        <v>4.01611328125</v>
      </c>
      <c r="O69" s="82">
        <v>60</v>
      </c>
      <c r="P69" s="49">
        <v>2.81982421875</v>
      </c>
      <c r="Q69" s="47">
        <v>1</v>
      </c>
      <c r="R69" s="46" t="str">
        <f t="shared" si="96"/>
        <v>Countercurrent</v>
      </c>
      <c r="S69" s="46" t="s">
        <v>113</v>
      </c>
      <c r="T69" s="45">
        <f t="shared" si="97"/>
        <v>4.1779611236788528</v>
      </c>
      <c r="U69" s="45">
        <f t="shared" si="98"/>
        <v>4.1798430103111741</v>
      </c>
      <c r="V69" s="39">
        <f t="shared" si="99"/>
        <v>33.3798828125</v>
      </c>
      <c r="W69" s="43">
        <f t="shared" si="100"/>
        <v>994.57928671036461</v>
      </c>
      <c r="X69" s="39">
        <f t="shared" si="101"/>
        <v>23.5250244140625</v>
      </c>
      <c r="Y69" s="43">
        <f t="shared" si="102"/>
        <v>997.42264205161655</v>
      </c>
      <c r="Z69" s="43">
        <f t="shared" si="103"/>
        <v>4.87060546875</v>
      </c>
      <c r="AA69" s="43">
        <f t="shared" si="104"/>
        <v>-6.916259765625</v>
      </c>
      <c r="AB69" s="42">
        <f t="shared" si="105"/>
        <v>6.6572384710227445E-2</v>
      </c>
      <c r="AC69" s="42">
        <f t="shared" si="106"/>
        <v>4.6875942039779343E-2</v>
      </c>
      <c r="AD69" s="81">
        <f t="shared" si="107"/>
        <v>1354.6947907316794</v>
      </c>
      <c r="AE69" s="81">
        <f t="shared" si="108"/>
        <v>1355.130985135788</v>
      </c>
      <c r="AF69" s="81">
        <f t="shared" si="109"/>
        <v>-0.43619440410861898</v>
      </c>
      <c r="AG69" s="81">
        <f t="shared" si="110"/>
        <v>100.03219872159345</v>
      </c>
      <c r="AH69" s="81">
        <f t="shared" si="111"/>
        <v>30.927835051546399</v>
      </c>
      <c r="AI69" s="39"/>
      <c r="AJ69" s="81">
        <f t="shared" si="137"/>
        <v>30.937793419049523</v>
      </c>
      <c r="AK69" s="39"/>
      <c r="AL69" s="81">
        <f t="shared" si="112"/>
        <v>74.845360824742272</v>
      </c>
      <c r="AM69" s="39"/>
      <c r="AN69" s="81">
        <f t="shared" si="113"/>
        <v>9.3284015561477887</v>
      </c>
      <c r="AO69" s="81">
        <f t="shared" si="114"/>
        <v>1815.5747861408647</v>
      </c>
      <c r="AP69" s="40"/>
      <c r="AQ69" s="38">
        <f t="shared" si="115"/>
        <v>0.04</v>
      </c>
      <c r="AR69" s="38">
        <f t="shared" si="116"/>
        <v>4380.1798233657628</v>
      </c>
      <c r="AS69" s="38">
        <f t="shared" si="117"/>
        <v>1923.6666028389845</v>
      </c>
      <c r="AT69" s="38">
        <f t="shared" si="118"/>
        <v>36005.877691752728</v>
      </c>
      <c r="AU69" s="38">
        <f t="shared" si="119"/>
        <v>21058.154873984357</v>
      </c>
      <c r="AV69" s="38">
        <f t="shared" si="120"/>
        <v>7.4516138671874995E-4</v>
      </c>
      <c r="AW69" s="38">
        <f t="shared" si="121"/>
        <v>8.2426001953125004E-4</v>
      </c>
      <c r="AX69" s="38">
        <f t="shared" si="122"/>
        <v>8.8859357421875004E-4</v>
      </c>
      <c r="AY69" s="38">
        <f t="shared" si="123"/>
        <v>1.0009136328125001E-3</v>
      </c>
      <c r="AZ69" s="38">
        <f t="shared" si="124"/>
        <v>3.0000000000000001E-3</v>
      </c>
      <c r="BA69" s="38">
        <f t="shared" si="125"/>
        <v>7.8471070312499994E-4</v>
      </c>
      <c r="BB69" s="38">
        <f t="shared" si="126"/>
        <v>9.4475360351562506E-4</v>
      </c>
      <c r="BC69" s="38">
        <f t="shared" si="127"/>
        <v>3.0000000000000001E-3</v>
      </c>
      <c r="BD69" s="38">
        <f t="shared" si="138"/>
        <v>177.67859513934863</v>
      </c>
      <c r="BE69" s="38">
        <f t="shared" si="139"/>
        <v>136.4376094697113</v>
      </c>
      <c r="BF69" s="38">
        <f t="shared" si="128"/>
        <v>5.3508945312499998</v>
      </c>
      <c r="BG69" s="38">
        <f t="shared" si="129"/>
        <v>6.5728969726562498</v>
      </c>
      <c r="BH69" s="38">
        <f t="shared" si="130"/>
        <v>0.26110526275888829</v>
      </c>
      <c r="BI69" s="38">
        <f t="shared" si="131"/>
        <v>0.37065012851465517</v>
      </c>
      <c r="BJ69" s="38">
        <f t="shared" si="140"/>
        <v>3630.5651685815387</v>
      </c>
      <c r="BK69" s="38">
        <f t="shared" si="141"/>
        <v>3631.734164152439</v>
      </c>
      <c r="BL69" s="38">
        <f t="shared" si="132"/>
        <v>61.855670103092784</v>
      </c>
      <c r="BM69" s="38">
        <f t="shared" si="133"/>
        <v>87.835051546391753</v>
      </c>
      <c r="BN69" s="38">
        <f t="shared" si="142"/>
        <v>278.13683522992272</v>
      </c>
      <c r="BO69" s="38">
        <f t="shared" si="143"/>
        <v>195.93407868672341</v>
      </c>
      <c r="BP69" s="38">
        <f t="shared" si="144"/>
        <v>195.93407868672341</v>
      </c>
      <c r="BQ69" s="38">
        <f t="shared" si="145"/>
        <v>278.13683522992272</v>
      </c>
      <c r="BR69" s="38">
        <f t="shared" si="146"/>
        <v>0.70445210367319333</v>
      </c>
      <c r="BS69" s="38">
        <f t="shared" si="134"/>
        <v>27.9410400390625</v>
      </c>
      <c r="BT69" s="1">
        <f t="shared" si="135"/>
        <v>0.43917525773195876</v>
      </c>
      <c r="BU69" s="1">
        <f t="shared" si="136"/>
        <v>0.37065012851465517</v>
      </c>
      <c r="BV69" s="1">
        <f t="shared" si="147"/>
        <v>0.2814613568133349</v>
      </c>
    </row>
    <row r="70" spans="1:74" ht="12.75" customHeight="1" x14ac:dyDescent="0.2">
      <c r="A70" s="5">
        <v>1E-3</v>
      </c>
      <c r="B70" s="50" t="s">
        <v>141</v>
      </c>
      <c r="C70" s="48">
        <v>35.65283203125</v>
      </c>
      <c r="D70" s="48">
        <v>30.97705078125</v>
      </c>
      <c r="E70" s="48">
        <v>26.983154296875</v>
      </c>
      <c r="F70" s="48">
        <v>20.06689453125</v>
      </c>
      <c r="G70" s="48">
        <v>132.967529296875</v>
      </c>
      <c r="H70" s="48">
        <v>132.967529296875</v>
      </c>
      <c r="I70" s="48">
        <v>132.967529296875</v>
      </c>
      <c r="J70" s="48">
        <v>132.967529296875</v>
      </c>
      <c r="K70" s="48">
        <v>132.967529296875</v>
      </c>
      <c r="L70" s="48">
        <v>132.967529296875</v>
      </c>
      <c r="M70" s="50">
        <v>60</v>
      </c>
      <c r="N70" s="48">
        <v>3.96728515625</v>
      </c>
      <c r="O70" s="82">
        <v>60</v>
      </c>
      <c r="P70" s="49">
        <v>2.77099609375</v>
      </c>
      <c r="Q70" s="47">
        <v>1</v>
      </c>
      <c r="R70" s="46" t="str">
        <f t="shared" si="96"/>
        <v>Countercurrent</v>
      </c>
      <c r="S70" s="46" t="s">
        <v>113</v>
      </c>
      <c r="T70" s="45">
        <f t="shared" si="97"/>
        <v>4.1779631333166618</v>
      </c>
      <c r="U70" s="45">
        <f t="shared" si="98"/>
        <v>4.1798430103111741</v>
      </c>
      <c r="V70" s="39">
        <f t="shared" si="99"/>
        <v>33.31494140625</v>
      </c>
      <c r="W70" s="43">
        <f t="shared" si="100"/>
        <v>994.6008256674063</v>
      </c>
      <c r="X70" s="39">
        <f t="shared" si="101"/>
        <v>23.5250244140625</v>
      </c>
      <c r="Y70" s="43">
        <f t="shared" si="102"/>
        <v>997.42264205161655</v>
      </c>
      <c r="Z70" s="43">
        <f t="shared" si="103"/>
        <v>4.67578125</v>
      </c>
      <c r="AA70" s="43">
        <f t="shared" si="104"/>
        <v>-6.916259765625</v>
      </c>
      <c r="AB70" s="42">
        <f t="shared" si="105"/>
        <v>6.5764418201071581E-2</v>
      </c>
      <c r="AC70" s="42">
        <f t="shared" si="106"/>
        <v>4.6064237415713902E-2</v>
      </c>
      <c r="AD70" s="81">
        <f t="shared" si="107"/>
        <v>1284.7238036309818</v>
      </c>
      <c r="AE70" s="81">
        <f t="shared" si="108"/>
        <v>1331.6655135317051</v>
      </c>
      <c r="AF70" s="81">
        <f t="shared" si="109"/>
        <v>-46.941709900723254</v>
      </c>
      <c r="AG70" s="81">
        <f t="shared" si="110"/>
        <v>103.65383670545009</v>
      </c>
      <c r="AH70" s="81">
        <f t="shared" si="111"/>
        <v>30.000000000000004</v>
      </c>
      <c r="AI70" s="39"/>
      <c r="AJ70" s="81">
        <f t="shared" si="137"/>
        <v>31.09615101163503</v>
      </c>
      <c r="AK70" s="39"/>
      <c r="AL70" s="81">
        <f t="shared" si="112"/>
        <v>74.375</v>
      </c>
      <c r="AM70" s="39"/>
      <c r="AN70" s="81">
        <f t="shared" si="113"/>
        <v>9.2596860095547537</v>
      </c>
      <c r="AO70" s="81">
        <f t="shared" si="114"/>
        <v>1765.4129376418653</v>
      </c>
      <c r="AP70" s="40"/>
      <c r="AQ70" s="38">
        <f t="shared" si="115"/>
        <v>0.04</v>
      </c>
      <c r="AR70" s="38">
        <f t="shared" si="116"/>
        <v>4282.4126787699388</v>
      </c>
      <c r="AS70" s="38">
        <f t="shared" si="117"/>
        <v>1900.3206262041606</v>
      </c>
      <c r="AT70" s="38">
        <f t="shared" si="118"/>
        <v>35521.146240244139</v>
      </c>
      <c r="AU70" s="38">
        <f t="shared" si="119"/>
        <v>20693.51149954307</v>
      </c>
      <c r="AV70" s="38">
        <f t="shared" si="120"/>
        <v>7.4779800781250003E-4</v>
      </c>
      <c r="AW70" s="38">
        <f t="shared" si="121"/>
        <v>8.2373269531250005E-4</v>
      </c>
      <c r="AX70" s="38">
        <f t="shared" si="122"/>
        <v>8.8859357421875004E-4</v>
      </c>
      <c r="AY70" s="38">
        <f t="shared" si="123"/>
        <v>1.0009136328125001E-3</v>
      </c>
      <c r="AZ70" s="38">
        <f t="shared" si="124"/>
        <v>3.0000000000000001E-3</v>
      </c>
      <c r="BA70" s="38">
        <f t="shared" si="125"/>
        <v>7.8576535156250004E-4</v>
      </c>
      <c r="BB70" s="38">
        <f t="shared" si="126"/>
        <v>9.4475360351562506E-4</v>
      </c>
      <c r="BC70" s="38">
        <f t="shared" si="127"/>
        <v>3.0000000000000001E-3</v>
      </c>
      <c r="BD70" s="38">
        <f t="shared" si="138"/>
        <v>175.8505232078291</v>
      </c>
      <c r="BE70" s="38">
        <f t="shared" si="139"/>
        <v>134.38689915157255</v>
      </c>
      <c r="BF70" s="38">
        <f t="shared" si="128"/>
        <v>5.3589472656249999</v>
      </c>
      <c r="BG70" s="38">
        <f t="shared" si="129"/>
        <v>6.5728969726562498</v>
      </c>
      <c r="BH70" s="38">
        <f t="shared" si="130"/>
        <v>0.2570104076534816</v>
      </c>
      <c r="BI70" s="38">
        <f t="shared" si="131"/>
        <v>0.36676040180522596</v>
      </c>
      <c r="BJ70" s="38">
        <f t="shared" si="140"/>
        <v>3468.5944056453941</v>
      </c>
      <c r="BK70" s="38">
        <f t="shared" si="141"/>
        <v>3595.3311812020538</v>
      </c>
      <c r="BL70" s="38">
        <f t="shared" si="132"/>
        <v>60</v>
      </c>
      <c r="BM70" s="38">
        <f t="shared" si="133"/>
        <v>88.75</v>
      </c>
      <c r="BN70" s="38">
        <f t="shared" si="142"/>
        <v>274.76131472809635</v>
      </c>
      <c r="BO70" s="38">
        <f t="shared" si="143"/>
        <v>192.54128078738623</v>
      </c>
      <c r="BP70" s="38">
        <f t="shared" si="144"/>
        <v>192.54128078738623</v>
      </c>
      <c r="BQ70" s="38">
        <f t="shared" si="145"/>
        <v>274.76131472809635</v>
      </c>
      <c r="BR70" s="38">
        <f t="shared" si="146"/>
        <v>0.70075833265656406</v>
      </c>
      <c r="BS70" s="38">
        <f t="shared" si="134"/>
        <v>27.85986328125</v>
      </c>
      <c r="BT70" s="1">
        <f t="shared" si="135"/>
        <v>0.44374999999999998</v>
      </c>
      <c r="BU70" s="1">
        <f t="shared" si="136"/>
        <v>0.36676040180522596</v>
      </c>
      <c r="BV70" s="1">
        <f t="shared" si="147"/>
        <v>0.27935371035244805</v>
      </c>
    </row>
    <row r="71" spans="1:74" ht="12.75" customHeight="1" x14ac:dyDescent="0.2">
      <c r="A71" s="5">
        <v>1E-3</v>
      </c>
      <c r="B71" s="50" t="s">
        <v>142</v>
      </c>
      <c r="C71" s="48">
        <v>35.26318359375</v>
      </c>
      <c r="D71" s="48">
        <v>30.71728515625</v>
      </c>
      <c r="E71" s="48">
        <v>26.82080078125</v>
      </c>
      <c r="F71" s="48">
        <v>20.06689453125</v>
      </c>
      <c r="G71" s="48">
        <v>132.967529296875</v>
      </c>
      <c r="H71" s="48">
        <v>132.967529296875</v>
      </c>
      <c r="I71" s="48">
        <v>132.967529296875</v>
      </c>
      <c r="J71" s="48">
        <v>132.967529296875</v>
      </c>
      <c r="K71" s="48">
        <v>132.967529296875</v>
      </c>
      <c r="L71" s="48">
        <v>132.967529296875</v>
      </c>
      <c r="M71" s="50">
        <v>60</v>
      </c>
      <c r="N71" s="48">
        <v>4.0283203125</v>
      </c>
      <c r="O71" s="82">
        <v>60</v>
      </c>
      <c r="P71" s="49">
        <v>2.685546875</v>
      </c>
      <c r="Q71" s="47">
        <v>1</v>
      </c>
      <c r="R71" s="46" t="str">
        <f t="shared" si="96"/>
        <v>Countercurrent</v>
      </c>
      <c r="S71" s="46" t="s">
        <v>113</v>
      </c>
      <c r="T71" s="45">
        <f t="shared" si="97"/>
        <v>4.1779748742790472</v>
      </c>
      <c r="U71" s="45">
        <f t="shared" si="98"/>
        <v>4.1798749067281662</v>
      </c>
      <c r="V71" s="39">
        <f t="shared" si="99"/>
        <v>32.990234375</v>
      </c>
      <c r="W71" s="43">
        <f t="shared" si="100"/>
        <v>994.70799716276088</v>
      </c>
      <c r="X71" s="39">
        <f t="shared" si="101"/>
        <v>23.44384765625</v>
      </c>
      <c r="Y71" s="43">
        <f t="shared" si="102"/>
        <v>997.44226335656674</v>
      </c>
      <c r="Z71" s="43">
        <f t="shared" si="103"/>
        <v>4.5458984375</v>
      </c>
      <c r="AA71" s="43">
        <f t="shared" si="104"/>
        <v>-6.75390625</v>
      </c>
      <c r="AB71" s="42">
        <f t="shared" si="105"/>
        <v>6.6783373832949036E-2</v>
      </c>
      <c r="AC71" s="42">
        <f t="shared" si="106"/>
        <v>4.4644632555835916E-2</v>
      </c>
      <c r="AD71" s="81">
        <f t="shared" si="107"/>
        <v>1268.3932084911341</v>
      </c>
      <c r="AE71" s="81">
        <f t="shared" si="108"/>
        <v>1260.3395518721536</v>
      </c>
      <c r="AF71" s="81">
        <f t="shared" si="109"/>
        <v>8.0536566189805399</v>
      </c>
      <c r="AG71" s="81">
        <f t="shared" si="110"/>
        <v>99.365050477638462</v>
      </c>
      <c r="AH71" s="81">
        <f t="shared" si="111"/>
        <v>29.914529914529915</v>
      </c>
      <c r="AI71" s="39"/>
      <c r="AJ71" s="81">
        <f t="shared" si="137"/>
        <v>29.724587749720907</v>
      </c>
      <c r="AK71" s="39"/>
      <c r="AL71" s="81">
        <f t="shared" si="112"/>
        <v>74.358974358974365</v>
      </c>
      <c r="AM71" s="39"/>
      <c r="AN71" s="81">
        <f t="shared" si="113"/>
        <v>9.0284920983862396</v>
      </c>
      <c r="AO71" s="81">
        <f t="shared" si="114"/>
        <v>1750.5048760140157</v>
      </c>
      <c r="AP71" s="40"/>
      <c r="AQ71" s="38">
        <f t="shared" si="115"/>
        <v>0.04</v>
      </c>
      <c r="AR71" s="38">
        <f t="shared" si="116"/>
        <v>4240.0572969560772</v>
      </c>
      <c r="AS71" s="38">
        <f t="shared" si="117"/>
        <v>1884.4699097582563</v>
      </c>
      <c r="AT71" s="38">
        <f t="shared" si="118"/>
        <v>35831.050961261317</v>
      </c>
      <c r="AU71" s="38">
        <f t="shared" si="119"/>
        <v>20027.833256414204</v>
      </c>
      <c r="AV71" s="38">
        <f t="shared" si="120"/>
        <v>7.5412589843749998E-4</v>
      </c>
      <c r="AW71" s="38">
        <f t="shared" si="121"/>
        <v>8.2795128906250001E-4</v>
      </c>
      <c r="AX71" s="38">
        <f t="shared" si="122"/>
        <v>8.9123019531250002E-4</v>
      </c>
      <c r="AY71" s="38">
        <f t="shared" si="123"/>
        <v>1.0009136328125001E-3</v>
      </c>
      <c r="AZ71" s="38">
        <f t="shared" si="124"/>
        <v>3.0000000000000001E-3</v>
      </c>
      <c r="BA71" s="38">
        <f t="shared" si="125"/>
        <v>7.9103859375E-4</v>
      </c>
      <c r="BB71" s="38">
        <f t="shared" si="126"/>
        <v>9.460719140625001E-4</v>
      </c>
      <c r="BC71" s="38">
        <f t="shared" si="127"/>
        <v>3.0000000000000001E-3</v>
      </c>
      <c r="BD71" s="38">
        <f t="shared" si="138"/>
        <v>177.51919815110352</v>
      </c>
      <c r="BE71" s="38">
        <f t="shared" si="139"/>
        <v>130.69737483609961</v>
      </c>
      <c r="BF71" s="38">
        <f t="shared" si="128"/>
        <v>5.3992109374999995</v>
      </c>
      <c r="BG71" s="38">
        <f t="shared" si="129"/>
        <v>6.5829628906249997</v>
      </c>
      <c r="BH71" s="38">
        <f t="shared" si="130"/>
        <v>0.2509511191777678</v>
      </c>
      <c r="BI71" s="38">
        <f t="shared" si="131"/>
        <v>0.37522414670569071</v>
      </c>
      <c r="BJ71" s="38">
        <f t="shared" si="140"/>
        <v>3512.1955988582185</v>
      </c>
      <c r="BK71" s="38">
        <f t="shared" si="141"/>
        <v>3489.8949296788655</v>
      </c>
      <c r="BL71" s="38">
        <f t="shared" si="132"/>
        <v>59.82905982905983</v>
      </c>
      <c r="BM71" s="38">
        <f t="shared" si="133"/>
        <v>88.888888888888886</v>
      </c>
      <c r="BN71" s="38">
        <f t="shared" si="142"/>
        <v>279.01925789364583</v>
      </c>
      <c r="BO71" s="38">
        <f t="shared" si="143"/>
        <v>186.60897934023791</v>
      </c>
      <c r="BP71" s="38">
        <f t="shared" si="144"/>
        <v>186.60897934023791</v>
      </c>
      <c r="BQ71" s="38">
        <f t="shared" si="145"/>
        <v>279.01925789364583</v>
      </c>
      <c r="BR71" s="38">
        <f t="shared" si="146"/>
        <v>0.66880322436872053</v>
      </c>
      <c r="BS71" s="38">
        <f t="shared" si="134"/>
        <v>27.6650390625</v>
      </c>
      <c r="BT71" s="1">
        <f t="shared" si="135"/>
        <v>0.44444444444444442</v>
      </c>
      <c r="BU71" s="1">
        <f t="shared" si="136"/>
        <v>0.37522414670569071</v>
      </c>
      <c r="BV71" s="1">
        <f t="shared" si="147"/>
        <v>0.28547739506023823</v>
      </c>
    </row>
    <row r="72" spans="1:74" ht="12.75" customHeight="1" x14ac:dyDescent="0.2">
      <c r="A72" s="5">
        <v>1E-3</v>
      </c>
      <c r="B72" s="36" t="s">
        <v>143</v>
      </c>
      <c r="C72" s="34">
        <v>37.21142578125</v>
      </c>
      <c r="D72" s="34">
        <v>32.568115234375</v>
      </c>
      <c r="E72" s="34">
        <v>29.02880859375</v>
      </c>
      <c r="F72" s="34">
        <v>20.164306640625</v>
      </c>
      <c r="G72" s="34">
        <v>132.967529296875</v>
      </c>
      <c r="H72" s="34">
        <v>132.967529296875</v>
      </c>
      <c r="I72" s="34">
        <v>132.967529296875</v>
      </c>
      <c r="J72" s="34">
        <v>132.967529296875</v>
      </c>
      <c r="K72" s="34">
        <v>132.967529296875</v>
      </c>
      <c r="L72" s="34">
        <v>132.967529296875</v>
      </c>
      <c r="M72" s="36">
        <v>60</v>
      </c>
      <c r="N72" s="34">
        <v>3.96728515625</v>
      </c>
      <c r="O72" s="80">
        <v>30</v>
      </c>
      <c r="P72" s="35">
        <v>1.96533203125</v>
      </c>
      <c r="Q72" s="33">
        <v>1</v>
      </c>
      <c r="R72" s="32" t="str">
        <f t="shared" si="96"/>
        <v>Countercurrent</v>
      </c>
      <c r="S72" s="32" t="s">
        <v>113</v>
      </c>
      <c r="T72" s="31">
        <f t="shared" si="97"/>
        <v>4.1779451944316301</v>
      </c>
      <c r="U72" s="31">
        <f t="shared" si="98"/>
        <v>4.1794524807270825</v>
      </c>
      <c r="V72" s="25">
        <f t="shared" si="99"/>
        <v>34.8897705078125</v>
      </c>
      <c r="W72" s="29">
        <f t="shared" si="100"/>
        <v>994.06878891037741</v>
      </c>
      <c r="X72" s="25">
        <f t="shared" si="101"/>
        <v>24.5965576171875</v>
      </c>
      <c r="Y72" s="29">
        <f t="shared" si="102"/>
        <v>997.15746523534324</v>
      </c>
      <c r="Z72" s="29">
        <f t="shared" si="103"/>
        <v>4.643310546875</v>
      </c>
      <c r="AA72" s="29">
        <f t="shared" si="104"/>
        <v>-8.864501953125</v>
      </c>
      <c r="AB72" s="28">
        <f t="shared" si="105"/>
        <v>6.5729239175592577E-2</v>
      </c>
      <c r="AC72" s="28">
        <f t="shared" si="106"/>
        <v>3.266242511045131E-2</v>
      </c>
      <c r="AD72" s="79">
        <f t="shared" si="107"/>
        <v>1275.1141772507251</v>
      </c>
      <c r="AE72" s="79">
        <f t="shared" si="108"/>
        <v>1210.1025017429197</v>
      </c>
      <c r="AF72" s="79">
        <f t="shared" si="109"/>
        <v>65.011675507805421</v>
      </c>
      <c r="AG72" s="79">
        <f t="shared" si="110"/>
        <v>94.901501632741855</v>
      </c>
      <c r="AH72" s="79">
        <f t="shared" si="111"/>
        <v>27.238095238095237</v>
      </c>
      <c r="AI72" s="25"/>
      <c r="AJ72" s="79">
        <f t="shared" si="137"/>
        <v>25.849361397108733</v>
      </c>
      <c r="AK72" s="25"/>
      <c r="AL72" s="79">
        <f t="shared" si="112"/>
        <v>79.238095238095241</v>
      </c>
      <c r="AM72" s="25"/>
      <c r="AN72" s="79">
        <f t="shared" si="113"/>
        <v>9.6399364712538045</v>
      </c>
      <c r="AO72" s="79">
        <f t="shared" si="114"/>
        <v>1610.1740028546812</v>
      </c>
      <c r="AP72" s="26"/>
      <c r="AQ72" s="24">
        <f t="shared" si="115"/>
        <v>0.04</v>
      </c>
      <c r="AR72" s="24">
        <f t="shared" si="116"/>
        <v>4681.3632381582565</v>
      </c>
      <c r="AS72" s="24">
        <f t="shared" si="117"/>
        <v>2434.3088838422937</v>
      </c>
      <c r="AT72" s="24">
        <f t="shared" si="118"/>
        <v>36696.550681406297</v>
      </c>
      <c r="AU72" s="24">
        <f t="shared" si="119"/>
        <v>14948.331582607794</v>
      </c>
      <c r="AV72" s="24">
        <f t="shared" si="120"/>
        <v>7.2248644531250003E-4</v>
      </c>
      <c r="AW72" s="24">
        <f t="shared" si="121"/>
        <v>7.9789380859375005E-4</v>
      </c>
      <c r="AX72" s="24">
        <f t="shared" si="122"/>
        <v>8.553721484375E-4</v>
      </c>
      <c r="AY72" s="24">
        <f t="shared" si="123"/>
        <v>9.9933166015624998E-4</v>
      </c>
      <c r="AZ72" s="24">
        <f t="shared" si="124"/>
        <v>3.0000000000000001E-3</v>
      </c>
      <c r="BA72" s="24">
        <f t="shared" si="125"/>
        <v>7.6019012695312509E-4</v>
      </c>
      <c r="BB72" s="24">
        <f t="shared" si="126"/>
        <v>9.2735190429687499E-4</v>
      </c>
      <c r="BC72" s="24">
        <f t="shared" si="127"/>
        <v>3.0000000000000001E-3</v>
      </c>
      <c r="BD72" s="24">
        <f t="shared" si="138"/>
        <v>178.27094929414685</v>
      </c>
      <c r="BE72" s="24">
        <f t="shared" si="139"/>
        <v>100.6802301036891</v>
      </c>
      <c r="BF72" s="24">
        <f t="shared" si="128"/>
        <v>5.1636684570312497</v>
      </c>
      <c r="BG72" s="24">
        <f t="shared" si="129"/>
        <v>6.4400268554687496</v>
      </c>
      <c r="BH72" s="24">
        <f t="shared" si="130"/>
        <v>0.23453704972143746</v>
      </c>
      <c r="BI72" s="24">
        <f t="shared" si="131"/>
        <v>0.47180765505792605</v>
      </c>
      <c r="BJ72" s="24">
        <f t="shared" si="140"/>
        <v>3306.8531650937302</v>
      </c>
      <c r="BK72" s="24">
        <f t="shared" si="141"/>
        <v>3138.2533104638019</v>
      </c>
      <c r="BL72" s="24">
        <f t="shared" si="132"/>
        <v>54.476190476190474</v>
      </c>
      <c r="BM72" s="24">
        <f t="shared" si="133"/>
        <v>104</v>
      </c>
      <c r="BN72" s="24">
        <f t="shared" si="142"/>
        <v>274.61315894731428</v>
      </c>
      <c r="BO72" s="24">
        <f t="shared" si="143"/>
        <v>136.51105365443829</v>
      </c>
      <c r="BP72" s="24">
        <f t="shared" si="144"/>
        <v>136.51105365443829</v>
      </c>
      <c r="BQ72" s="24">
        <f t="shared" si="145"/>
        <v>274.61315894731428</v>
      </c>
      <c r="BR72" s="24">
        <f t="shared" si="146"/>
        <v>0.49710310379055261</v>
      </c>
      <c r="BS72" s="24">
        <f t="shared" si="134"/>
        <v>28.6878662109375</v>
      </c>
      <c r="BT72" s="1">
        <f t="shared" si="135"/>
        <v>0.52</v>
      </c>
      <c r="BU72" s="1">
        <f t="shared" si="136"/>
        <v>0.47180765505792605</v>
      </c>
      <c r="BV72" s="1">
        <f t="shared" si="147"/>
        <v>0.34746429165208531</v>
      </c>
    </row>
    <row r="73" spans="1:74" ht="12.75" customHeight="1" x14ac:dyDescent="0.2">
      <c r="A73" s="5">
        <v>1E-3</v>
      </c>
      <c r="B73" s="36" t="s">
        <v>144</v>
      </c>
      <c r="C73" s="34">
        <v>37.34130859375</v>
      </c>
      <c r="D73" s="34">
        <v>32.66552734375</v>
      </c>
      <c r="E73" s="34">
        <v>29.061279296875</v>
      </c>
      <c r="F73" s="34">
        <v>20.164306640625</v>
      </c>
      <c r="G73" s="34">
        <v>132.967529296875</v>
      </c>
      <c r="H73" s="34">
        <v>132.967529296875</v>
      </c>
      <c r="I73" s="34">
        <v>132.967529296875</v>
      </c>
      <c r="J73" s="34">
        <v>132.967529296875</v>
      </c>
      <c r="K73" s="34">
        <v>132.967529296875</v>
      </c>
      <c r="L73" s="34">
        <v>132.967529296875</v>
      </c>
      <c r="M73" s="36">
        <v>60</v>
      </c>
      <c r="N73" s="34">
        <v>4.06494140625</v>
      </c>
      <c r="O73" s="80">
        <v>30</v>
      </c>
      <c r="P73" s="35">
        <v>2.06298828125</v>
      </c>
      <c r="Q73" s="33">
        <v>1</v>
      </c>
      <c r="R73" s="32" t="str">
        <f t="shared" si="96"/>
        <v>Countercurrent</v>
      </c>
      <c r="S73" s="32" t="s">
        <v>113</v>
      </c>
      <c r="T73" s="31">
        <f t="shared" si="97"/>
        <v>4.1779463186306822</v>
      </c>
      <c r="U73" s="31">
        <f t="shared" si="98"/>
        <v>4.1794469872524571</v>
      </c>
      <c r="V73" s="25">
        <f t="shared" si="99"/>
        <v>35.00341796875</v>
      </c>
      <c r="W73" s="29">
        <f t="shared" si="100"/>
        <v>994.02961829598064</v>
      </c>
      <c r="X73" s="25">
        <f t="shared" si="101"/>
        <v>24.61279296875</v>
      </c>
      <c r="Y73" s="29">
        <f t="shared" si="102"/>
        <v>997.15335982632325</v>
      </c>
      <c r="Z73" s="29">
        <f t="shared" si="103"/>
        <v>4.67578125</v>
      </c>
      <c r="AA73" s="29">
        <f t="shared" si="104"/>
        <v>-8.89697265625</v>
      </c>
      <c r="AB73" s="28">
        <f t="shared" si="105"/>
        <v>6.7344535907503569E-2</v>
      </c>
      <c r="AC73" s="28">
        <f t="shared" si="106"/>
        <v>3.4285261598846158E-2</v>
      </c>
      <c r="AD73" s="79">
        <f t="shared" si="107"/>
        <v>1315.5864901638738</v>
      </c>
      <c r="AE73" s="79">
        <f t="shared" si="108"/>
        <v>1274.8777578587874</v>
      </c>
      <c r="AF73" s="79">
        <f t="shared" si="109"/>
        <v>40.708732305086414</v>
      </c>
      <c r="AG73" s="79">
        <f t="shared" si="110"/>
        <v>96.905658988637413</v>
      </c>
      <c r="AH73" s="79">
        <f t="shared" si="111"/>
        <v>27.221172022684318</v>
      </c>
      <c r="AI73" s="25"/>
      <c r="AJ73" s="79">
        <f t="shared" si="137"/>
        <v>26.378856133012835</v>
      </c>
      <c r="AK73" s="25"/>
      <c r="AL73" s="79">
        <f t="shared" si="112"/>
        <v>79.017013232514174</v>
      </c>
      <c r="AM73" s="25"/>
      <c r="AN73" s="79">
        <f t="shared" si="113"/>
        <v>9.7338071957659889</v>
      </c>
      <c r="AO73" s="79">
        <f t="shared" si="114"/>
        <v>1662.9056754873741</v>
      </c>
      <c r="AP73" s="26"/>
      <c r="AQ73" s="24">
        <f t="shared" si="115"/>
        <v>0.04</v>
      </c>
      <c r="AR73" s="24">
        <f t="shared" si="116"/>
        <v>4832.9531478936742</v>
      </c>
      <c r="AS73" s="24">
        <f t="shared" si="117"/>
        <v>2503.2687382284817</v>
      </c>
      <c r="AT73" s="24">
        <f t="shared" si="118"/>
        <v>37689.874510694935</v>
      </c>
      <c r="AU73" s="24">
        <f t="shared" si="119"/>
        <v>15695.503722579524</v>
      </c>
      <c r="AV73" s="24">
        <f t="shared" si="120"/>
        <v>7.2037714843750005E-4</v>
      </c>
      <c r="AW73" s="24">
        <f t="shared" si="121"/>
        <v>7.9631183593750006E-4</v>
      </c>
      <c r="AX73" s="24">
        <f t="shared" si="122"/>
        <v>8.5484482421875E-4</v>
      </c>
      <c r="AY73" s="24">
        <f t="shared" si="123"/>
        <v>9.9933166015624998E-4</v>
      </c>
      <c r="AZ73" s="24">
        <f t="shared" si="124"/>
        <v>3.0000000000000001E-3</v>
      </c>
      <c r="BA73" s="24">
        <f t="shared" si="125"/>
        <v>7.5834449218750005E-4</v>
      </c>
      <c r="BB73" s="24">
        <f t="shared" si="126"/>
        <v>9.2708824218750005E-4</v>
      </c>
      <c r="BC73" s="24">
        <f t="shared" si="127"/>
        <v>3.0000000000000001E-3</v>
      </c>
      <c r="BD73" s="24">
        <f t="shared" si="138"/>
        <v>181.95521782480833</v>
      </c>
      <c r="BE73" s="24">
        <f t="shared" si="139"/>
        <v>105.01810962297635</v>
      </c>
      <c r="BF73" s="24">
        <f t="shared" si="128"/>
        <v>5.1495761718750002</v>
      </c>
      <c r="BG73" s="24">
        <f t="shared" si="129"/>
        <v>6.4380136718749998</v>
      </c>
      <c r="BH73" s="24">
        <f t="shared" si="130"/>
        <v>0.23640811869370662</v>
      </c>
      <c r="BI73" s="24">
        <f t="shared" si="131"/>
        <v>0.46419591944509747</v>
      </c>
      <c r="BJ73" s="24">
        <f t="shared" si="140"/>
        <v>3378.9103885685336</v>
      </c>
      <c r="BK73" s="24">
        <f t="shared" si="141"/>
        <v>3274.3553786778662</v>
      </c>
      <c r="BL73" s="24">
        <f t="shared" si="132"/>
        <v>54.442344045368621</v>
      </c>
      <c r="BM73" s="24">
        <f t="shared" si="133"/>
        <v>103.59168241965973</v>
      </c>
      <c r="BN73" s="24">
        <f t="shared" si="142"/>
        <v>281.36185587464632</v>
      </c>
      <c r="BO73" s="24">
        <f t="shared" si="143"/>
        <v>143.29343329645994</v>
      </c>
      <c r="BP73" s="24">
        <f t="shared" si="144"/>
        <v>143.29343329645994</v>
      </c>
      <c r="BQ73" s="24">
        <f t="shared" si="145"/>
        <v>281.36185587464632</v>
      </c>
      <c r="BR73" s="24">
        <f t="shared" si="146"/>
        <v>0.50928521512276603</v>
      </c>
      <c r="BS73" s="24">
        <f t="shared" si="134"/>
        <v>28.7528076171875</v>
      </c>
      <c r="BT73" s="1">
        <f t="shared" si="135"/>
        <v>0.51795841209829863</v>
      </c>
      <c r="BU73" s="1">
        <f t="shared" si="136"/>
        <v>0.46419591944509747</v>
      </c>
      <c r="BV73" s="1">
        <f t="shared" si="147"/>
        <v>0.34267555265579913</v>
      </c>
    </row>
    <row r="74" spans="1:74" ht="12.75" customHeight="1" x14ac:dyDescent="0.2">
      <c r="A74" s="5">
        <v>1E-3</v>
      </c>
      <c r="B74" s="36" t="s">
        <v>145</v>
      </c>
      <c r="C74" s="34">
        <v>37.243896484375</v>
      </c>
      <c r="D74" s="34">
        <v>32.697998046875</v>
      </c>
      <c r="E74" s="34">
        <v>29.09375</v>
      </c>
      <c r="F74" s="34">
        <v>20.164306640625</v>
      </c>
      <c r="G74" s="34">
        <v>132.967529296875</v>
      </c>
      <c r="H74" s="34">
        <v>132.967529296875</v>
      </c>
      <c r="I74" s="34">
        <v>132.967529296875</v>
      </c>
      <c r="J74" s="34">
        <v>132.967529296875</v>
      </c>
      <c r="K74" s="34">
        <v>132.967529296875</v>
      </c>
      <c r="L74" s="34">
        <v>132.967529296875</v>
      </c>
      <c r="M74" s="36">
        <v>60</v>
      </c>
      <c r="N74" s="34">
        <v>4.06494140625</v>
      </c>
      <c r="O74" s="80">
        <v>30</v>
      </c>
      <c r="P74" s="35">
        <v>2.0263671875</v>
      </c>
      <c r="Q74" s="33">
        <v>1</v>
      </c>
      <c r="R74" s="32" t="str">
        <f t="shared" si="96"/>
        <v>Countercurrent</v>
      </c>
      <c r="S74" s="32" t="s">
        <v>113</v>
      </c>
      <c r="T74" s="31">
        <f t="shared" si="97"/>
        <v>4.1779459650955468</v>
      </c>
      <c r="U74" s="31">
        <f t="shared" si="98"/>
        <v>4.1794415060812335</v>
      </c>
      <c r="V74" s="25">
        <f t="shared" si="99"/>
        <v>34.970947265625</v>
      </c>
      <c r="W74" s="29">
        <f t="shared" si="100"/>
        <v>994.04082045234748</v>
      </c>
      <c r="X74" s="25">
        <f t="shared" si="101"/>
        <v>24.6290283203125</v>
      </c>
      <c r="Y74" s="29">
        <f t="shared" si="102"/>
        <v>997.14925182314812</v>
      </c>
      <c r="Z74" s="29">
        <f t="shared" si="103"/>
        <v>4.5458984375</v>
      </c>
      <c r="AA74" s="29">
        <f t="shared" si="104"/>
        <v>-8.929443359375</v>
      </c>
      <c r="AB74" s="28">
        <f t="shared" si="105"/>
        <v>6.7345294842657819E-2</v>
      </c>
      <c r="AC74" s="28">
        <f t="shared" si="106"/>
        <v>3.3676508748910032E-2</v>
      </c>
      <c r="AD74" s="79">
        <f t="shared" si="107"/>
        <v>1279.0567268505104</v>
      </c>
      <c r="AE74" s="79">
        <f t="shared" si="108"/>
        <v>1256.8102095043016</v>
      </c>
      <c r="AF74" s="79">
        <f t="shared" si="109"/>
        <v>22.246517346208748</v>
      </c>
      <c r="AG74" s="79">
        <f t="shared" si="110"/>
        <v>98.260709092943245</v>
      </c>
      <c r="AH74" s="79">
        <f t="shared" si="111"/>
        <v>26.615969581749045</v>
      </c>
      <c r="AI74" s="25"/>
      <c r="AJ74" s="79">
        <f t="shared" si="137"/>
        <v>26.15304044298869</v>
      </c>
      <c r="AK74" s="25"/>
      <c r="AL74" s="79">
        <f t="shared" si="112"/>
        <v>78.897338403041829</v>
      </c>
      <c r="AM74" s="25"/>
      <c r="AN74" s="79">
        <f t="shared" si="113"/>
        <v>9.6759254802937722</v>
      </c>
      <c r="AO74" s="79">
        <f t="shared" si="114"/>
        <v>1637.8741873747206</v>
      </c>
      <c r="AP74" s="26"/>
      <c r="AQ74" s="24">
        <f t="shared" si="115"/>
        <v>0.04</v>
      </c>
      <c r="AR74" s="24">
        <f t="shared" si="116"/>
        <v>4805.5988451669182</v>
      </c>
      <c r="AS74" s="24">
        <f t="shared" si="117"/>
        <v>2512.4328563135032</v>
      </c>
      <c r="AT74" s="24">
        <f t="shared" si="118"/>
        <v>37664.109050540806</v>
      </c>
      <c r="AU74" s="24">
        <f t="shared" si="119"/>
        <v>15421.207561599767</v>
      </c>
      <c r="AV74" s="24">
        <f t="shared" si="120"/>
        <v>7.2195912109375004E-4</v>
      </c>
      <c r="AW74" s="24">
        <f t="shared" si="121"/>
        <v>7.9578451171874996E-4</v>
      </c>
      <c r="AX74" s="24">
        <f t="shared" si="122"/>
        <v>8.5431750000000001E-4</v>
      </c>
      <c r="AY74" s="24">
        <f t="shared" si="123"/>
        <v>9.9933166015624998E-4</v>
      </c>
      <c r="AZ74" s="24">
        <f t="shared" si="124"/>
        <v>3.0000000000000001E-3</v>
      </c>
      <c r="BA74" s="24">
        <f t="shared" si="125"/>
        <v>7.5887181640625005E-4</v>
      </c>
      <c r="BB74" s="24">
        <f t="shared" si="126"/>
        <v>9.2682458007812499E-4</v>
      </c>
      <c r="BC74" s="24">
        <f t="shared" si="127"/>
        <v>3.0000000000000001E-3</v>
      </c>
      <c r="BD74" s="24">
        <f t="shared" si="138"/>
        <v>181.90308503948245</v>
      </c>
      <c r="BE74" s="24">
        <f t="shared" si="139"/>
        <v>103.41425554812048</v>
      </c>
      <c r="BF74" s="24">
        <f t="shared" si="128"/>
        <v>5.1536025390624998</v>
      </c>
      <c r="BG74" s="24">
        <f t="shared" si="129"/>
        <v>6.43600048828125</v>
      </c>
      <c r="BH74" s="24">
        <f t="shared" si="130"/>
        <v>0.23284689577582834</v>
      </c>
      <c r="BI74" s="24">
        <f t="shared" si="131"/>
        <v>0.46547377401440071</v>
      </c>
      <c r="BJ74" s="24">
        <f t="shared" si="140"/>
        <v>3304.7400206199109</v>
      </c>
      <c r="BK74" s="24">
        <f t="shared" si="141"/>
        <v>3247.2609779394029</v>
      </c>
      <c r="BL74" s="24">
        <f t="shared" si="132"/>
        <v>53.231939163498097</v>
      </c>
      <c r="BM74" s="24">
        <f t="shared" si="133"/>
        <v>104.56273764258555</v>
      </c>
      <c r="BN74" s="24">
        <f t="shared" si="142"/>
        <v>281.36500285605217</v>
      </c>
      <c r="BO74" s="24">
        <f t="shared" si="143"/>
        <v>140.74899844510239</v>
      </c>
      <c r="BP74" s="24">
        <f t="shared" si="144"/>
        <v>140.74899844510239</v>
      </c>
      <c r="BQ74" s="24">
        <f t="shared" si="145"/>
        <v>281.36500285605217</v>
      </c>
      <c r="BR74" s="24">
        <f t="shared" si="146"/>
        <v>0.50023633720043825</v>
      </c>
      <c r="BS74" s="24">
        <f t="shared" si="134"/>
        <v>28.7041015625</v>
      </c>
      <c r="BT74" s="1">
        <f t="shared" si="135"/>
        <v>0.52281368821292773</v>
      </c>
      <c r="BU74" s="1">
        <f t="shared" si="136"/>
        <v>0.46547377401440071</v>
      </c>
      <c r="BV74" s="1">
        <f t="shared" si="147"/>
        <v>0.34386164378724754</v>
      </c>
    </row>
    <row r="75" spans="1:74" ht="12.75" customHeight="1" x14ac:dyDescent="0.2">
      <c r="A75" s="5">
        <v>1E-3</v>
      </c>
      <c r="B75" s="36" t="s">
        <v>146</v>
      </c>
      <c r="C75" s="34">
        <v>37.08154296875</v>
      </c>
      <c r="D75" s="34">
        <v>32.503173828125</v>
      </c>
      <c r="E75" s="34">
        <v>28.996337890625</v>
      </c>
      <c r="F75" s="34">
        <v>20.1318359375</v>
      </c>
      <c r="G75" s="34">
        <v>132.967529296875</v>
      </c>
      <c r="H75" s="34">
        <v>132.967529296875</v>
      </c>
      <c r="I75" s="34">
        <v>132.967529296875</v>
      </c>
      <c r="J75" s="34">
        <v>132.967529296875</v>
      </c>
      <c r="K75" s="34">
        <v>132.967529296875</v>
      </c>
      <c r="L75" s="34">
        <v>132.967529296875</v>
      </c>
      <c r="M75" s="36">
        <v>60</v>
      </c>
      <c r="N75" s="34">
        <v>3.9306640625</v>
      </c>
      <c r="O75" s="80">
        <v>30</v>
      </c>
      <c r="P75" s="35">
        <v>2.08740234375</v>
      </c>
      <c r="Q75" s="33">
        <v>1</v>
      </c>
      <c r="R75" s="32" t="str">
        <f t="shared" si="96"/>
        <v>Countercurrent</v>
      </c>
      <c r="S75" s="32" t="s">
        <v>113</v>
      </c>
      <c r="T75" s="31">
        <f t="shared" si="97"/>
        <v>4.1779444837654971</v>
      </c>
      <c r="U75" s="31">
        <f t="shared" si="98"/>
        <v>4.1794635046455344</v>
      </c>
      <c r="V75" s="25">
        <f t="shared" si="99"/>
        <v>34.7923583984375</v>
      </c>
      <c r="W75" s="29">
        <f t="shared" si="100"/>
        <v>994.10228132389204</v>
      </c>
      <c r="X75" s="25">
        <f t="shared" si="101"/>
        <v>24.5640869140625</v>
      </c>
      <c r="Y75" s="29">
        <f t="shared" si="102"/>
        <v>997.1656682673904</v>
      </c>
      <c r="Z75" s="29">
        <f t="shared" si="103"/>
        <v>4.578369140625</v>
      </c>
      <c r="AA75" s="29">
        <f t="shared" si="104"/>
        <v>-8.864501953125</v>
      </c>
      <c r="AB75" s="28">
        <f t="shared" si="105"/>
        <v>6.5124701860818132E-2</v>
      </c>
      <c r="AC75" s="28">
        <f t="shared" si="106"/>
        <v>3.4691432550806429E-2</v>
      </c>
      <c r="AD75" s="79">
        <f t="shared" si="107"/>
        <v>1245.7165048759512</v>
      </c>
      <c r="AE75" s="79">
        <f t="shared" si="108"/>
        <v>1285.2781110318003</v>
      </c>
      <c r="AF75" s="79">
        <f t="shared" si="109"/>
        <v>-39.561606155849177</v>
      </c>
      <c r="AG75" s="79">
        <f t="shared" si="110"/>
        <v>103.17581135041546</v>
      </c>
      <c r="AH75" s="79">
        <f t="shared" si="111"/>
        <v>27.011494252873565</v>
      </c>
      <c r="AI75" s="25"/>
      <c r="AJ75" s="79">
        <f t="shared" si="137"/>
        <v>27.86932835327314</v>
      </c>
      <c r="AK75" s="25"/>
      <c r="AL75" s="79">
        <f t="shared" si="112"/>
        <v>79.310344827586206</v>
      </c>
      <c r="AM75" s="25"/>
      <c r="AN75" s="79">
        <f t="shared" si="113"/>
        <v>9.5729631633102663</v>
      </c>
      <c r="AO75" s="79">
        <f t="shared" si="114"/>
        <v>1652.033042870991</v>
      </c>
      <c r="AP75" s="26"/>
      <c r="AQ75" s="24">
        <f t="shared" si="115"/>
        <v>0.04</v>
      </c>
      <c r="AR75" s="24">
        <f t="shared" si="116"/>
        <v>4611.8015286896916</v>
      </c>
      <c r="AS75" s="24">
        <f t="shared" si="117"/>
        <v>2411.9191902917355</v>
      </c>
      <c r="AT75" s="24">
        <f t="shared" si="118"/>
        <v>36283.531426613044</v>
      </c>
      <c r="AU75" s="24">
        <f t="shared" si="119"/>
        <v>15867.906953746255</v>
      </c>
      <c r="AV75" s="24">
        <f t="shared" si="120"/>
        <v>7.2459574218750001E-4</v>
      </c>
      <c r="AW75" s="24">
        <f t="shared" si="121"/>
        <v>7.9894845703125004E-4</v>
      </c>
      <c r="AX75" s="24">
        <f t="shared" si="122"/>
        <v>8.5589947265624999E-4</v>
      </c>
      <c r="AY75" s="24">
        <f t="shared" si="123"/>
        <v>9.9985898437500009E-4</v>
      </c>
      <c r="AZ75" s="24">
        <f t="shared" si="124"/>
        <v>3.0000000000000001E-3</v>
      </c>
      <c r="BA75" s="24">
        <f t="shared" si="125"/>
        <v>7.6177209960937497E-4</v>
      </c>
      <c r="BB75" s="24">
        <f t="shared" si="126"/>
        <v>9.2787922851562499E-4</v>
      </c>
      <c r="BC75" s="24">
        <f t="shared" si="127"/>
        <v>3.0000000000000001E-3</v>
      </c>
      <c r="BD75" s="24">
        <f t="shared" si="138"/>
        <v>176.80163075036862</v>
      </c>
      <c r="BE75" s="24">
        <f t="shared" si="139"/>
        <v>106.05064669892838</v>
      </c>
      <c r="BF75" s="24">
        <f t="shared" si="128"/>
        <v>5.1757475585937502</v>
      </c>
      <c r="BG75" s="24">
        <f t="shared" si="129"/>
        <v>6.4440532226562501</v>
      </c>
      <c r="BH75" s="24">
        <f t="shared" si="130"/>
        <v>0.24286800642579751</v>
      </c>
      <c r="BI75" s="24">
        <f t="shared" si="131"/>
        <v>0.45575973042598883</v>
      </c>
      <c r="BJ75" s="24">
        <f t="shared" si="140"/>
        <v>3253.215549941568</v>
      </c>
      <c r="BK75" s="24">
        <f t="shared" si="141"/>
        <v>3356.5315386300927</v>
      </c>
      <c r="BL75" s="24">
        <f t="shared" si="132"/>
        <v>54.022988505747129</v>
      </c>
      <c r="BM75" s="24">
        <f t="shared" si="133"/>
        <v>104.59770114942529</v>
      </c>
      <c r="BN75" s="24">
        <f t="shared" si="142"/>
        <v>272.08738889627773</v>
      </c>
      <c r="BO75" s="24">
        <f t="shared" si="143"/>
        <v>144.99157626996762</v>
      </c>
      <c r="BP75" s="24">
        <f t="shared" si="144"/>
        <v>144.99157626996762</v>
      </c>
      <c r="BQ75" s="24">
        <f t="shared" si="145"/>
        <v>272.08738889627773</v>
      </c>
      <c r="BR75" s="24">
        <f t="shared" si="146"/>
        <v>0.53288605862302485</v>
      </c>
      <c r="BS75" s="24">
        <f t="shared" si="134"/>
        <v>28.606689453125</v>
      </c>
      <c r="BT75" s="1">
        <f t="shared" si="135"/>
        <v>0.52298850574712641</v>
      </c>
      <c r="BU75" s="1">
        <f t="shared" si="136"/>
        <v>0.45575973042598883</v>
      </c>
      <c r="BV75" s="1">
        <f t="shared" si="147"/>
        <v>0.33682935290312466</v>
      </c>
    </row>
    <row r="76" spans="1:74" ht="12.75" customHeight="1" x14ac:dyDescent="0.2">
      <c r="A76" s="5">
        <v>1E-3</v>
      </c>
      <c r="B76" s="36" t="s">
        <v>147</v>
      </c>
      <c r="C76" s="34">
        <v>37.243896484375</v>
      </c>
      <c r="D76" s="34">
        <v>32.633056640625</v>
      </c>
      <c r="E76" s="34">
        <v>29.061279296875</v>
      </c>
      <c r="F76" s="34">
        <v>20.1318359375</v>
      </c>
      <c r="G76" s="34">
        <v>132.967529296875</v>
      </c>
      <c r="H76" s="34">
        <v>132.967529296875</v>
      </c>
      <c r="I76" s="34">
        <v>132.967529296875</v>
      </c>
      <c r="J76" s="34">
        <v>132.967529296875</v>
      </c>
      <c r="K76" s="34">
        <v>132.967529296875</v>
      </c>
      <c r="L76" s="34">
        <v>132.967529296875</v>
      </c>
      <c r="M76" s="36">
        <v>60</v>
      </c>
      <c r="N76" s="34">
        <v>3.99169921875</v>
      </c>
      <c r="O76" s="80">
        <v>30</v>
      </c>
      <c r="P76" s="35">
        <v>2.1240234375</v>
      </c>
      <c r="Q76" s="33">
        <v>1</v>
      </c>
      <c r="R76" s="32" t="str">
        <f t="shared" si="96"/>
        <v>Countercurrent</v>
      </c>
      <c r="S76" s="32" t="s">
        <v>113</v>
      </c>
      <c r="T76" s="31">
        <f t="shared" si="97"/>
        <v>4.1779456374087669</v>
      </c>
      <c r="U76" s="31">
        <f t="shared" si="98"/>
        <v>4.1794524807270825</v>
      </c>
      <c r="V76" s="25">
        <f t="shared" si="99"/>
        <v>34.9384765625</v>
      </c>
      <c r="W76" s="29">
        <f t="shared" si="100"/>
        <v>994.05201416946045</v>
      </c>
      <c r="X76" s="25">
        <f t="shared" si="101"/>
        <v>24.5965576171875</v>
      </c>
      <c r="Y76" s="29">
        <f t="shared" si="102"/>
        <v>997.15746523534324</v>
      </c>
      <c r="Z76" s="29">
        <f t="shared" si="103"/>
        <v>4.61083984375</v>
      </c>
      <c r="AA76" s="29">
        <f t="shared" si="104"/>
        <v>-8.929443359375</v>
      </c>
      <c r="AB76" s="28">
        <f t="shared" si="105"/>
        <v>6.6132610805951661E-2</v>
      </c>
      <c r="AC76" s="28">
        <f t="shared" si="106"/>
        <v>3.5299763783966008E-2</v>
      </c>
      <c r="AD76" s="79">
        <f t="shared" si="107"/>
        <v>1273.9679149698138</v>
      </c>
      <c r="AE76" s="79">
        <f t="shared" si="108"/>
        <v>1317.3936866288698</v>
      </c>
      <c r="AF76" s="79">
        <f t="shared" si="109"/>
        <v>-43.425771659055954</v>
      </c>
      <c r="AG76" s="79">
        <f t="shared" si="110"/>
        <v>103.40870214616709</v>
      </c>
      <c r="AH76" s="79">
        <f t="shared" si="111"/>
        <v>26.944971537001901</v>
      </c>
      <c r="AI76" s="25"/>
      <c r="AJ76" s="79">
        <f t="shared" si="137"/>
        <v>27.863445360067793</v>
      </c>
      <c r="AK76" s="25"/>
      <c r="AL76" s="79">
        <f t="shared" si="112"/>
        <v>79.127134724857683</v>
      </c>
      <c r="AM76" s="25"/>
      <c r="AN76" s="79">
        <f t="shared" si="113"/>
        <v>9.6803573052339029</v>
      </c>
      <c r="AO76" s="79">
        <f t="shared" si="114"/>
        <v>1672.6099275637996</v>
      </c>
      <c r="AP76" s="26"/>
      <c r="AQ76" s="24">
        <f t="shared" si="115"/>
        <v>0.04</v>
      </c>
      <c r="AR76" s="24">
        <f t="shared" si="116"/>
        <v>4728.0358534443085</v>
      </c>
      <c r="AS76" s="24">
        <f t="shared" si="117"/>
        <v>2467.1913846246389</v>
      </c>
      <c r="AT76" s="24">
        <f t="shared" si="118"/>
        <v>36960.210061785256</v>
      </c>
      <c r="AU76" s="24">
        <f t="shared" si="119"/>
        <v>16155.339722818357</v>
      </c>
      <c r="AV76" s="24">
        <f t="shared" si="120"/>
        <v>7.2195912109375004E-4</v>
      </c>
      <c r="AW76" s="24">
        <f t="shared" si="121"/>
        <v>7.9683916015624995E-4</v>
      </c>
      <c r="AX76" s="24">
        <f t="shared" si="122"/>
        <v>8.5484482421875E-4</v>
      </c>
      <c r="AY76" s="24">
        <f t="shared" si="123"/>
        <v>9.9985898437500009E-4</v>
      </c>
      <c r="AZ76" s="24">
        <f t="shared" si="124"/>
        <v>3.0000000000000001E-3</v>
      </c>
      <c r="BA76" s="24">
        <f t="shared" si="125"/>
        <v>7.5939914062499994E-4</v>
      </c>
      <c r="BB76" s="24">
        <f t="shared" si="126"/>
        <v>9.273519042968751E-4</v>
      </c>
      <c r="BC76" s="24">
        <f t="shared" si="127"/>
        <v>3.0000000000000001E-3</v>
      </c>
      <c r="BD76" s="24">
        <f t="shared" si="138"/>
        <v>179.22496611987421</v>
      </c>
      <c r="BE76" s="24">
        <f t="shared" si="139"/>
        <v>107.69173235799465</v>
      </c>
      <c r="BF76" s="24">
        <f t="shared" si="128"/>
        <v>5.1576289062500003</v>
      </c>
      <c r="BG76" s="24">
        <f t="shared" si="129"/>
        <v>6.4400268554687496</v>
      </c>
      <c r="BH76" s="24">
        <f t="shared" si="130"/>
        <v>0.24214539177764788</v>
      </c>
      <c r="BI76" s="24">
        <f t="shared" si="131"/>
        <v>0.45348556812134849</v>
      </c>
      <c r="BJ76" s="24">
        <f t="shared" si="140"/>
        <v>3290.0849493463802</v>
      </c>
      <c r="BK76" s="24">
        <f t="shared" si="141"/>
        <v>3402.2341456254699</v>
      </c>
      <c r="BL76" s="24">
        <f t="shared" si="132"/>
        <v>53.889943074003796</v>
      </c>
      <c r="BM76" s="24">
        <f t="shared" si="133"/>
        <v>104.36432637571157</v>
      </c>
      <c r="BN76" s="24">
        <f t="shared" si="142"/>
        <v>276.29845280717763</v>
      </c>
      <c r="BO76" s="24">
        <f t="shared" si="143"/>
        <v>147.53368531597678</v>
      </c>
      <c r="BP76" s="24">
        <f t="shared" si="144"/>
        <v>147.53368531597678</v>
      </c>
      <c r="BQ76" s="24">
        <f t="shared" si="145"/>
        <v>276.29845280717763</v>
      </c>
      <c r="BR76" s="24">
        <f t="shared" si="146"/>
        <v>0.53396493471839013</v>
      </c>
      <c r="BS76" s="24">
        <f t="shared" si="134"/>
        <v>28.6878662109375</v>
      </c>
      <c r="BT76" s="1">
        <f t="shared" si="135"/>
        <v>0.5218216318785579</v>
      </c>
      <c r="BU76" s="1">
        <f t="shared" si="136"/>
        <v>0.45348556812134849</v>
      </c>
      <c r="BV76" s="1">
        <f t="shared" si="147"/>
        <v>0.33553377897428371</v>
      </c>
    </row>
    <row r="77" spans="1:74" ht="12.75" customHeight="1" x14ac:dyDescent="0.2">
      <c r="A77" s="5">
        <v>1E-3</v>
      </c>
      <c r="B77" s="36" t="s">
        <v>148</v>
      </c>
      <c r="C77" s="34">
        <v>37.2763671875</v>
      </c>
      <c r="D77" s="34">
        <v>32.66552734375</v>
      </c>
      <c r="E77" s="34">
        <v>29.09375</v>
      </c>
      <c r="F77" s="34">
        <v>20.164306640625</v>
      </c>
      <c r="G77" s="34">
        <v>132.967529296875</v>
      </c>
      <c r="H77" s="34">
        <v>132.967529296875</v>
      </c>
      <c r="I77" s="34">
        <v>132.967529296875</v>
      </c>
      <c r="J77" s="34">
        <v>132.967529296875</v>
      </c>
      <c r="K77" s="34">
        <v>132.967529296875</v>
      </c>
      <c r="L77" s="34">
        <v>132.967529296875</v>
      </c>
      <c r="M77" s="36">
        <v>60</v>
      </c>
      <c r="N77" s="34">
        <v>4.0283203125</v>
      </c>
      <c r="O77" s="80">
        <v>30</v>
      </c>
      <c r="P77" s="35">
        <v>2.06298828125</v>
      </c>
      <c r="Q77" s="33">
        <v>1</v>
      </c>
      <c r="R77" s="32" t="str">
        <f t="shared" si="96"/>
        <v>Countercurrent</v>
      </c>
      <c r="S77" s="32" t="s">
        <v>113</v>
      </c>
      <c r="T77" s="31">
        <f t="shared" si="97"/>
        <v>4.1779459650955468</v>
      </c>
      <c r="U77" s="31">
        <f t="shared" si="98"/>
        <v>4.1794415060812335</v>
      </c>
      <c r="V77" s="25">
        <f t="shared" si="99"/>
        <v>34.970947265625</v>
      </c>
      <c r="W77" s="29">
        <f t="shared" si="100"/>
        <v>994.04082045234748</v>
      </c>
      <c r="X77" s="25">
        <f t="shared" si="101"/>
        <v>24.6290283203125</v>
      </c>
      <c r="Y77" s="29">
        <f t="shared" si="102"/>
        <v>997.14925182314812</v>
      </c>
      <c r="Z77" s="29">
        <f t="shared" si="103"/>
        <v>4.61083984375</v>
      </c>
      <c r="AA77" s="29">
        <f t="shared" si="104"/>
        <v>-8.929443359375</v>
      </c>
      <c r="AB77" s="28">
        <f t="shared" si="105"/>
        <v>6.6738580474705947E-2</v>
      </c>
      <c r="AC77" s="28">
        <f t="shared" si="106"/>
        <v>3.4285120352806002E-2</v>
      </c>
      <c r="AD77" s="79">
        <f t="shared" si="107"/>
        <v>1285.6413174649276</v>
      </c>
      <c r="AE77" s="79">
        <f t="shared" si="108"/>
        <v>1279.523647025464</v>
      </c>
      <c r="AF77" s="79">
        <f t="shared" si="109"/>
        <v>6.117670439463609</v>
      </c>
      <c r="AG77" s="79">
        <f t="shared" si="110"/>
        <v>99.524154182324608</v>
      </c>
      <c r="AH77" s="79">
        <f t="shared" si="111"/>
        <v>26.944971537001898</v>
      </c>
      <c r="AI77" s="25"/>
      <c r="AJ77" s="79">
        <f t="shared" si="137"/>
        <v>26.816755016869255</v>
      </c>
      <c r="AK77" s="25"/>
      <c r="AL77" s="79">
        <f t="shared" si="112"/>
        <v>79.127134724857683</v>
      </c>
      <c r="AM77" s="25"/>
      <c r="AN77" s="79">
        <f t="shared" si="113"/>
        <v>9.6803573052339029</v>
      </c>
      <c r="AO77" s="79">
        <f t="shared" si="114"/>
        <v>1656.1568271419494</v>
      </c>
      <c r="AP77" s="26"/>
      <c r="AQ77" s="24">
        <f t="shared" si="115"/>
        <v>0.04</v>
      </c>
      <c r="AR77" s="24">
        <f t="shared" si="116"/>
        <v>4771.3589739719491</v>
      </c>
      <c r="AS77" s="24">
        <f t="shared" si="117"/>
        <v>2489.7983260764445</v>
      </c>
      <c r="AT77" s="24">
        <f t="shared" si="118"/>
        <v>37324.792752788184</v>
      </c>
      <c r="AU77" s="24">
        <f t="shared" si="119"/>
        <v>15699.904083797355</v>
      </c>
      <c r="AV77" s="24">
        <f t="shared" si="120"/>
        <v>7.2143179687500004E-4</v>
      </c>
      <c r="AW77" s="24">
        <f t="shared" si="121"/>
        <v>7.9631183593750006E-4</v>
      </c>
      <c r="AX77" s="24">
        <f t="shared" si="122"/>
        <v>8.5431750000000001E-4</v>
      </c>
      <c r="AY77" s="24">
        <f t="shared" si="123"/>
        <v>9.9933166015624998E-4</v>
      </c>
      <c r="AZ77" s="24">
        <f t="shared" si="124"/>
        <v>3.0000000000000001E-3</v>
      </c>
      <c r="BA77" s="24">
        <f t="shared" si="125"/>
        <v>7.5887181640625005E-4</v>
      </c>
      <c r="BB77" s="24">
        <f t="shared" si="126"/>
        <v>9.2682458007812499E-4</v>
      </c>
      <c r="BC77" s="24">
        <f t="shared" si="127"/>
        <v>3.0000000000000001E-3</v>
      </c>
      <c r="BD77" s="24">
        <f t="shared" si="138"/>
        <v>180.59088644357433</v>
      </c>
      <c r="BE77" s="24">
        <f t="shared" si="139"/>
        <v>105.03268567665732</v>
      </c>
      <c r="BF77" s="24">
        <f t="shared" si="128"/>
        <v>5.1536025390624998</v>
      </c>
      <c r="BG77" s="24">
        <f t="shared" si="129"/>
        <v>6.43600048828125</v>
      </c>
      <c r="BH77" s="24">
        <f t="shared" si="130"/>
        <v>0.2375864491082833</v>
      </c>
      <c r="BI77" s="24">
        <f t="shared" si="131"/>
        <v>0.46231450638948418</v>
      </c>
      <c r="BJ77" s="24">
        <f t="shared" si="140"/>
        <v>3320.2320868100001</v>
      </c>
      <c r="BK77" s="24">
        <f t="shared" si="141"/>
        <v>3304.4329012877988</v>
      </c>
      <c r="BL77" s="24">
        <f t="shared" si="132"/>
        <v>53.889943074003796</v>
      </c>
      <c r="BM77" s="24">
        <f t="shared" si="133"/>
        <v>104.36432637571157</v>
      </c>
      <c r="BN77" s="24">
        <f t="shared" si="142"/>
        <v>278.83018301050214</v>
      </c>
      <c r="BO77" s="24">
        <f t="shared" si="143"/>
        <v>143.29265504350789</v>
      </c>
      <c r="BP77" s="24">
        <f t="shared" si="144"/>
        <v>143.29265504350789</v>
      </c>
      <c r="BQ77" s="24">
        <f t="shared" si="145"/>
        <v>278.83018301050214</v>
      </c>
      <c r="BR77" s="24">
        <f t="shared" si="146"/>
        <v>0.51390654159600357</v>
      </c>
      <c r="BS77" s="24">
        <f t="shared" si="134"/>
        <v>28.7203369140625</v>
      </c>
      <c r="BT77" s="1">
        <f t="shared" si="135"/>
        <v>0.5218216318785579</v>
      </c>
      <c r="BU77" s="1">
        <f t="shared" si="136"/>
        <v>0.46231450638948418</v>
      </c>
      <c r="BV77" s="1">
        <f t="shared" si="147"/>
        <v>0.34140429743791606</v>
      </c>
    </row>
    <row r="78" spans="1:74" ht="12.75" customHeight="1" x14ac:dyDescent="0.2">
      <c r="A78" s="5">
        <v>1E-3</v>
      </c>
      <c r="B78" s="36" t="s">
        <v>149</v>
      </c>
      <c r="C78" s="34">
        <v>36.854248046875</v>
      </c>
      <c r="D78" s="34">
        <v>32.6005859375</v>
      </c>
      <c r="E78" s="34">
        <v>28.996337890625</v>
      </c>
      <c r="F78" s="34">
        <v>20.164306640625</v>
      </c>
      <c r="G78" s="34">
        <v>132.967529296875</v>
      </c>
      <c r="H78" s="34">
        <v>132.967529296875</v>
      </c>
      <c r="I78" s="34">
        <v>132.967529296875</v>
      </c>
      <c r="J78" s="34">
        <v>132.967529296875</v>
      </c>
      <c r="K78" s="34">
        <v>132.967529296875</v>
      </c>
      <c r="L78" s="34">
        <v>132.967529296875</v>
      </c>
      <c r="M78" s="36">
        <v>60</v>
      </c>
      <c r="N78" s="34">
        <v>3.96728515625</v>
      </c>
      <c r="O78" s="80">
        <v>30</v>
      </c>
      <c r="P78" s="35">
        <v>2.001953125</v>
      </c>
      <c r="Q78" s="33">
        <v>1</v>
      </c>
      <c r="R78" s="32" t="str">
        <f t="shared" si="96"/>
        <v>Countercurrent</v>
      </c>
      <c r="S78" s="32" t="s">
        <v>113</v>
      </c>
      <c r="T78" s="31">
        <f t="shared" si="97"/>
        <v>4.1779441402694433</v>
      </c>
      <c r="U78" s="31">
        <f t="shared" si="98"/>
        <v>4.1794579865198527</v>
      </c>
      <c r="V78" s="25">
        <f t="shared" si="99"/>
        <v>34.7274169921875</v>
      </c>
      <c r="W78" s="29">
        <f t="shared" si="100"/>
        <v>994.12456727127903</v>
      </c>
      <c r="X78" s="25">
        <f t="shared" si="101"/>
        <v>24.580322265625</v>
      </c>
      <c r="Y78" s="29">
        <f t="shared" si="102"/>
        <v>997.16156804932632</v>
      </c>
      <c r="Z78" s="29">
        <f t="shared" si="103"/>
        <v>4.253662109375</v>
      </c>
      <c r="AA78" s="29">
        <f t="shared" si="104"/>
        <v>-8.83203125</v>
      </c>
      <c r="AB78" s="28">
        <f t="shared" si="105"/>
        <v>6.5732927319979997E-2</v>
      </c>
      <c r="AC78" s="28">
        <f t="shared" si="106"/>
        <v>3.3271178621437483E-2</v>
      </c>
      <c r="AD78" s="79">
        <f t="shared" si="107"/>
        <v>1168.1768383059571</v>
      </c>
      <c r="AE78" s="79">
        <f t="shared" si="108"/>
        <v>1228.1424615174926</v>
      </c>
      <c r="AF78" s="79">
        <f t="shared" si="109"/>
        <v>-59.965623211535558</v>
      </c>
      <c r="AG78" s="79">
        <f t="shared" si="110"/>
        <v>105.13326589307277</v>
      </c>
      <c r="AH78" s="79">
        <f t="shared" si="111"/>
        <v>25.4863813229572</v>
      </c>
      <c r="AI78" s="25"/>
      <c r="AJ78" s="79">
        <f t="shared" si="137"/>
        <v>26.794665042787031</v>
      </c>
      <c r="AK78" s="25"/>
      <c r="AL78" s="79">
        <f t="shared" si="112"/>
        <v>78.404669260700388</v>
      </c>
      <c r="AM78" s="25"/>
      <c r="AN78" s="79">
        <f t="shared" si="113"/>
        <v>9.473919872545089</v>
      </c>
      <c r="AO78" s="79">
        <f t="shared" si="114"/>
        <v>1579.875825593346</v>
      </c>
      <c r="AP78" s="26"/>
      <c r="AQ78" s="24">
        <f t="shared" si="115"/>
        <v>0.04</v>
      </c>
      <c r="AR78" s="24">
        <f t="shared" si="116"/>
        <v>4583.5335487729917</v>
      </c>
      <c r="AS78" s="24">
        <f t="shared" si="117"/>
        <v>2425.5274810627502</v>
      </c>
      <c r="AT78" s="24">
        <f t="shared" si="118"/>
        <v>36571.765331725524</v>
      </c>
      <c r="AU78" s="24">
        <f t="shared" si="119"/>
        <v>15222.606524697892</v>
      </c>
      <c r="AV78" s="24">
        <f t="shared" si="120"/>
        <v>7.2828701171874998E-4</v>
      </c>
      <c r="AW78" s="24">
        <f t="shared" si="121"/>
        <v>7.9736648437500005E-4</v>
      </c>
      <c r="AX78" s="24">
        <f t="shared" si="122"/>
        <v>8.5589947265624999E-4</v>
      </c>
      <c r="AY78" s="24">
        <f t="shared" si="123"/>
        <v>9.9933166015624998E-4</v>
      </c>
      <c r="AZ78" s="24">
        <f t="shared" si="124"/>
        <v>3.0000000000000001E-3</v>
      </c>
      <c r="BA78" s="24">
        <f t="shared" si="125"/>
        <v>7.6282674804687496E-4</v>
      </c>
      <c r="BB78" s="24">
        <f t="shared" si="126"/>
        <v>9.2761556640624993E-4</v>
      </c>
      <c r="BC78" s="24">
        <f t="shared" si="127"/>
        <v>3.0000000000000001E-3</v>
      </c>
      <c r="BD78" s="24">
        <f t="shared" si="138"/>
        <v>178.01656826162724</v>
      </c>
      <c r="BE78" s="24">
        <f t="shared" si="139"/>
        <v>102.29055566989179</v>
      </c>
      <c r="BF78" s="24">
        <f t="shared" si="128"/>
        <v>5.1838002929687494</v>
      </c>
      <c r="BG78" s="24">
        <f t="shared" si="129"/>
        <v>6.4420400390624994</v>
      </c>
      <c r="BH78" s="24">
        <f t="shared" si="130"/>
        <v>0.23011098034059327</v>
      </c>
      <c r="BI78" s="24">
        <f t="shared" si="131"/>
        <v>0.45445909086211467</v>
      </c>
      <c r="BJ78" s="24">
        <f t="shared" si="140"/>
        <v>3082.6121975426213</v>
      </c>
      <c r="BK78" s="24">
        <f t="shared" si="141"/>
        <v>3240.8508780947777</v>
      </c>
      <c r="BL78" s="24">
        <f t="shared" si="132"/>
        <v>50.972762645914393</v>
      </c>
      <c r="BM78" s="24">
        <f t="shared" si="133"/>
        <v>105.83657587548637</v>
      </c>
      <c r="BN78" s="24">
        <f t="shared" si="142"/>
        <v>274.62849851926762</v>
      </c>
      <c r="BO78" s="24">
        <f t="shared" si="143"/>
        <v>139.05549321029548</v>
      </c>
      <c r="BP78" s="24">
        <f t="shared" si="144"/>
        <v>139.05549321029548</v>
      </c>
      <c r="BQ78" s="24">
        <f t="shared" si="145"/>
        <v>274.62849851926762</v>
      </c>
      <c r="BR78" s="24">
        <f t="shared" si="146"/>
        <v>0.50634036147031369</v>
      </c>
      <c r="BS78" s="24">
        <f t="shared" si="134"/>
        <v>28.50927734375</v>
      </c>
      <c r="BT78" s="1">
        <f t="shared" si="135"/>
        <v>0.52918287937743191</v>
      </c>
      <c r="BU78" s="1">
        <f t="shared" si="136"/>
        <v>0.45445909086211467</v>
      </c>
      <c r="BV78" s="1">
        <f t="shared" si="147"/>
        <v>0.33751744392006189</v>
      </c>
    </row>
    <row r="79" spans="1:74" ht="12.75" customHeight="1" x14ac:dyDescent="0.2">
      <c r="A79" s="5">
        <v>1E-3</v>
      </c>
      <c r="B79" s="36" t="s">
        <v>150</v>
      </c>
      <c r="C79" s="34">
        <v>37.08154296875</v>
      </c>
      <c r="D79" s="34">
        <v>32.470703125</v>
      </c>
      <c r="E79" s="34">
        <v>28.931396484375</v>
      </c>
      <c r="F79" s="34">
        <v>20.1318359375</v>
      </c>
      <c r="G79" s="34">
        <v>132.967529296875</v>
      </c>
      <c r="H79" s="34">
        <v>132.967529296875</v>
      </c>
      <c r="I79" s="34">
        <v>132.967529296875</v>
      </c>
      <c r="J79" s="34">
        <v>132.967529296875</v>
      </c>
      <c r="K79" s="34">
        <v>132.967529296875</v>
      </c>
      <c r="L79" s="34">
        <v>132.967529296875</v>
      </c>
      <c r="M79" s="36">
        <v>60</v>
      </c>
      <c r="N79" s="34">
        <v>4.08935546875</v>
      </c>
      <c r="O79" s="80">
        <v>30</v>
      </c>
      <c r="P79" s="35">
        <v>1.9775390625</v>
      </c>
      <c r="Q79" s="33">
        <v>1</v>
      </c>
      <c r="R79" s="32" t="str">
        <f t="shared" si="96"/>
        <v>Countercurrent</v>
      </c>
      <c r="S79" s="32" t="s">
        <v>113</v>
      </c>
      <c r="T79" s="31">
        <f t="shared" si="97"/>
        <v>4.177944388102599</v>
      </c>
      <c r="U79" s="31">
        <f t="shared" si="98"/>
        <v>4.179474577954811</v>
      </c>
      <c r="V79" s="25">
        <f t="shared" si="99"/>
        <v>34.776123046875</v>
      </c>
      <c r="W79" s="29">
        <f t="shared" si="100"/>
        <v>994.10785598760367</v>
      </c>
      <c r="X79" s="25">
        <f t="shared" si="101"/>
        <v>24.5316162109375</v>
      </c>
      <c r="Y79" s="29">
        <f t="shared" si="102"/>
        <v>997.17386091223079</v>
      </c>
      <c r="Z79" s="29">
        <f t="shared" si="103"/>
        <v>4.61083984375</v>
      </c>
      <c r="AA79" s="29">
        <f t="shared" si="104"/>
        <v>-8.799560546875</v>
      </c>
      <c r="AB79" s="28">
        <f t="shared" si="105"/>
        <v>6.7754339956837412E-2</v>
      </c>
      <c r="AC79" s="28">
        <f t="shared" si="106"/>
        <v>3.2865837700964635E-2</v>
      </c>
      <c r="AD79" s="79">
        <f t="shared" si="107"/>
        <v>1305.2082526641377</v>
      </c>
      <c r="AE79" s="79">
        <f t="shared" si="108"/>
        <v>1208.7246476276794</v>
      </c>
      <c r="AF79" s="79">
        <f t="shared" si="109"/>
        <v>96.483605036458357</v>
      </c>
      <c r="AG79" s="79">
        <f t="shared" si="110"/>
        <v>92.607799955331274</v>
      </c>
      <c r="AH79" s="79">
        <f t="shared" si="111"/>
        <v>27.20306513409961</v>
      </c>
      <c r="AI79" s="25"/>
      <c r="AJ79" s="79">
        <f t="shared" si="137"/>
        <v>25.192160141105436</v>
      </c>
      <c r="AK79" s="25"/>
      <c r="AL79" s="79">
        <f t="shared" si="112"/>
        <v>79.11877394636015</v>
      </c>
      <c r="AM79" s="25"/>
      <c r="AN79" s="79">
        <f t="shared" si="113"/>
        <v>9.5951505819338845</v>
      </c>
      <c r="AO79" s="79">
        <f t="shared" si="114"/>
        <v>1635.0902220317616</v>
      </c>
      <c r="AP79" s="26"/>
      <c r="AQ79" s="24">
        <f t="shared" si="115"/>
        <v>0.04</v>
      </c>
      <c r="AR79" s="24">
        <f t="shared" si="116"/>
        <v>4798.0190696526761</v>
      </c>
      <c r="AS79" s="24">
        <f t="shared" si="117"/>
        <v>2490.9256089576152</v>
      </c>
      <c r="AT79" s="24">
        <f t="shared" si="118"/>
        <v>37735.545274105069</v>
      </c>
      <c r="AU79" s="24">
        <f t="shared" si="119"/>
        <v>15024.33896316559</v>
      </c>
      <c r="AV79" s="24">
        <f t="shared" si="120"/>
        <v>7.2459574218750001E-4</v>
      </c>
      <c r="AW79" s="24">
        <f t="shared" si="121"/>
        <v>7.9947578125000003E-4</v>
      </c>
      <c r="AX79" s="24">
        <f t="shared" si="122"/>
        <v>8.5695412109375009E-4</v>
      </c>
      <c r="AY79" s="24">
        <f t="shared" si="123"/>
        <v>9.9985898437500009E-4</v>
      </c>
      <c r="AZ79" s="24">
        <f t="shared" si="124"/>
        <v>3.0000000000000001E-3</v>
      </c>
      <c r="BA79" s="24">
        <f t="shared" si="125"/>
        <v>7.6203576171875002E-4</v>
      </c>
      <c r="BB79" s="24">
        <f t="shared" si="126"/>
        <v>9.2840655273437509E-4</v>
      </c>
      <c r="BC79" s="24">
        <f t="shared" si="127"/>
        <v>3.0000000000000001E-3</v>
      </c>
      <c r="BD79" s="24">
        <f t="shared" si="138"/>
        <v>182.46325916972239</v>
      </c>
      <c r="BE79" s="24">
        <f t="shared" si="139"/>
        <v>101.1660517186335</v>
      </c>
      <c r="BF79" s="24">
        <f t="shared" si="128"/>
        <v>5.1777607421875</v>
      </c>
      <c r="BG79" s="24">
        <f t="shared" si="129"/>
        <v>6.4480795898437497</v>
      </c>
      <c r="BH79" s="24">
        <f t="shared" si="130"/>
        <v>0.23104785396449948</v>
      </c>
      <c r="BI79" s="24">
        <f t="shared" si="131"/>
        <v>0.4761407136558598</v>
      </c>
      <c r="BJ79" s="24">
        <f t="shared" si="140"/>
        <v>3400.6976793090498</v>
      </c>
      <c r="BK79" s="24">
        <f t="shared" si="141"/>
        <v>3149.3113039401178</v>
      </c>
      <c r="BL79" s="24">
        <f t="shared" si="132"/>
        <v>54.406130268199234</v>
      </c>
      <c r="BM79" s="24">
        <f t="shared" si="133"/>
        <v>103.83141762452107</v>
      </c>
      <c r="BN79" s="24">
        <f t="shared" si="142"/>
        <v>283.07386439226457</v>
      </c>
      <c r="BO79" s="24">
        <f t="shared" si="143"/>
        <v>137.36193315437049</v>
      </c>
      <c r="BP79" s="24">
        <f t="shared" si="144"/>
        <v>137.36193315437049</v>
      </c>
      <c r="BQ79" s="24">
        <f t="shared" si="145"/>
        <v>283.07386439226457</v>
      </c>
      <c r="BR79" s="24">
        <f t="shared" si="146"/>
        <v>0.48525120271797201</v>
      </c>
      <c r="BS79" s="24">
        <f t="shared" si="134"/>
        <v>28.606689453125</v>
      </c>
      <c r="BT79" s="1">
        <f t="shared" si="135"/>
        <v>0.51915708812260541</v>
      </c>
      <c r="BU79" s="1">
        <f t="shared" si="136"/>
        <v>0.4761407136558598</v>
      </c>
      <c r="BV79" s="1">
        <f t="shared" si="147"/>
        <v>0.35046548774479358</v>
      </c>
    </row>
    <row r="80" spans="1:74" ht="12.75" customHeight="1" x14ac:dyDescent="0.2">
      <c r="A80" s="5">
        <v>1E-3</v>
      </c>
      <c r="B80" s="36" t="s">
        <v>151</v>
      </c>
      <c r="C80" s="34">
        <v>37.243896484375</v>
      </c>
      <c r="D80" s="34">
        <v>32.633056640625</v>
      </c>
      <c r="E80" s="34">
        <v>28.996337890625</v>
      </c>
      <c r="F80" s="34">
        <v>20.164306640625</v>
      </c>
      <c r="G80" s="34">
        <v>132.967529296875</v>
      </c>
      <c r="H80" s="34">
        <v>132.967529296875</v>
      </c>
      <c r="I80" s="34">
        <v>132.967529296875</v>
      </c>
      <c r="J80" s="34">
        <v>132.967529296875</v>
      </c>
      <c r="K80" s="34">
        <v>132.967529296875</v>
      </c>
      <c r="L80" s="34">
        <v>132.967529296875</v>
      </c>
      <c r="M80" s="36">
        <v>60</v>
      </c>
      <c r="N80" s="34">
        <v>4.1259765625</v>
      </c>
      <c r="O80" s="80">
        <v>30</v>
      </c>
      <c r="P80" s="35">
        <v>2.08740234375</v>
      </c>
      <c r="Q80" s="33">
        <v>1</v>
      </c>
      <c r="R80" s="32" t="str">
        <f t="shared" si="96"/>
        <v>Countercurrent</v>
      </c>
      <c r="S80" s="32" t="s">
        <v>113</v>
      </c>
      <c r="T80" s="31">
        <f t="shared" si="97"/>
        <v>4.1779456374087669</v>
      </c>
      <c r="U80" s="31">
        <f t="shared" si="98"/>
        <v>4.1794579865198527</v>
      </c>
      <c r="V80" s="25">
        <f t="shared" si="99"/>
        <v>34.9384765625</v>
      </c>
      <c r="W80" s="29">
        <f t="shared" si="100"/>
        <v>994.05201416946045</v>
      </c>
      <c r="X80" s="25">
        <f t="shared" si="101"/>
        <v>24.580322265625</v>
      </c>
      <c r="Y80" s="29">
        <f t="shared" si="102"/>
        <v>997.16156804932632</v>
      </c>
      <c r="Z80" s="29">
        <f t="shared" si="103"/>
        <v>4.61083984375</v>
      </c>
      <c r="AA80" s="29">
        <f t="shared" si="104"/>
        <v>-8.83203125</v>
      </c>
      <c r="AB80" s="28">
        <f t="shared" si="105"/>
        <v>6.8357255206151865E-2</v>
      </c>
      <c r="AC80" s="28">
        <f t="shared" si="106"/>
        <v>3.469128990405982E-2</v>
      </c>
      <c r="AD80" s="79">
        <f t="shared" si="107"/>
        <v>1316.8231047700215</v>
      </c>
      <c r="AE80" s="79">
        <f t="shared" si="108"/>
        <v>1280.5631763383615</v>
      </c>
      <c r="AF80" s="79">
        <f t="shared" si="109"/>
        <v>36.259928431660001</v>
      </c>
      <c r="AG80" s="79">
        <f t="shared" si="110"/>
        <v>97.246408549461734</v>
      </c>
      <c r="AH80" s="79">
        <f t="shared" si="111"/>
        <v>26.996197718631176</v>
      </c>
      <c r="AI80" s="25"/>
      <c r="AJ80" s="79">
        <f t="shared" si="137"/>
        <v>26.252832726280541</v>
      </c>
      <c r="AK80" s="25"/>
      <c r="AL80" s="79">
        <f t="shared" si="112"/>
        <v>78.707224334600767</v>
      </c>
      <c r="AM80" s="25"/>
      <c r="AN80" s="79">
        <f t="shared" si="113"/>
        <v>9.7025198283042418</v>
      </c>
      <c r="AO80" s="79">
        <f t="shared" si="114"/>
        <v>1672.8129217043397</v>
      </c>
      <c r="AP80" s="26"/>
      <c r="AQ80" s="24">
        <f t="shared" si="115"/>
        <v>0.04</v>
      </c>
      <c r="AR80" s="24">
        <f t="shared" si="116"/>
        <v>4877.8095289368403</v>
      </c>
      <c r="AS80" s="24">
        <f t="shared" si="117"/>
        <v>2522.3653837848296</v>
      </c>
      <c r="AT80" s="24">
        <f t="shared" si="118"/>
        <v>38203.519880377418</v>
      </c>
      <c r="AU80" s="24">
        <f t="shared" si="119"/>
        <v>15872.351925142317</v>
      </c>
      <c r="AV80" s="24">
        <f t="shared" si="120"/>
        <v>7.2195912109375004E-4</v>
      </c>
      <c r="AW80" s="24">
        <f t="shared" si="121"/>
        <v>7.9683916015624995E-4</v>
      </c>
      <c r="AX80" s="24">
        <f t="shared" si="122"/>
        <v>8.5589947265624999E-4</v>
      </c>
      <c r="AY80" s="24">
        <f t="shared" si="123"/>
        <v>9.9933166015624998E-4</v>
      </c>
      <c r="AZ80" s="24">
        <f t="shared" si="124"/>
        <v>3.0000000000000001E-3</v>
      </c>
      <c r="BA80" s="24">
        <f t="shared" si="125"/>
        <v>7.5939914062499994E-4</v>
      </c>
      <c r="BB80" s="24">
        <f t="shared" si="126"/>
        <v>9.2761556640624993E-4</v>
      </c>
      <c r="BC80" s="24">
        <f t="shared" si="127"/>
        <v>3.0000000000000001E-3</v>
      </c>
      <c r="BD80" s="24">
        <f t="shared" si="138"/>
        <v>184.03213523400606</v>
      </c>
      <c r="BE80" s="24">
        <f t="shared" si="139"/>
        <v>106.0653548509511</v>
      </c>
      <c r="BF80" s="24">
        <f t="shared" si="128"/>
        <v>5.1576289062500003</v>
      </c>
      <c r="BG80" s="24">
        <f t="shared" si="129"/>
        <v>6.4420400390624994</v>
      </c>
      <c r="BH80" s="24">
        <f t="shared" si="130"/>
        <v>0.23429335170668286</v>
      </c>
      <c r="BI80" s="24">
        <f t="shared" si="131"/>
        <v>0.46149495074947339</v>
      </c>
      <c r="BJ80" s="24">
        <f t="shared" si="140"/>
        <v>3392.9925629437475</v>
      </c>
      <c r="BK80" s="24">
        <f t="shared" si="141"/>
        <v>3299.5634098131291</v>
      </c>
      <c r="BL80" s="24">
        <f t="shared" si="132"/>
        <v>53.99239543726236</v>
      </c>
      <c r="BM80" s="24">
        <f t="shared" si="133"/>
        <v>103.42205323193916</v>
      </c>
      <c r="BN80" s="24">
        <f t="shared" si="142"/>
        <v>285.59289617377993</v>
      </c>
      <c r="BO80" s="24">
        <f t="shared" si="143"/>
        <v>144.99078865219835</v>
      </c>
      <c r="BP80" s="24">
        <f t="shared" si="144"/>
        <v>144.99078865219835</v>
      </c>
      <c r="BQ80" s="24">
        <f t="shared" si="145"/>
        <v>285.59289617377993</v>
      </c>
      <c r="BR80" s="24">
        <f t="shared" si="146"/>
        <v>0.50768345639792511</v>
      </c>
      <c r="BS80" s="24">
        <f t="shared" si="134"/>
        <v>28.7041015625</v>
      </c>
      <c r="BT80" s="1">
        <f t="shared" si="135"/>
        <v>0.5171102661596958</v>
      </c>
      <c r="BU80" s="1">
        <f t="shared" si="136"/>
        <v>0.46149495074947339</v>
      </c>
      <c r="BV80" s="1">
        <f t="shared" si="147"/>
        <v>0.34129390883173732</v>
      </c>
    </row>
    <row r="81" spans="1:74" ht="12.75" customHeight="1" x14ac:dyDescent="0.2">
      <c r="A81" s="5">
        <v>1E-3</v>
      </c>
      <c r="B81" s="36" t="s">
        <v>152</v>
      </c>
      <c r="C81" s="34">
        <v>37.40625</v>
      </c>
      <c r="D81" s="34">
        <v>32.73046875</v>
      </c>
      <c r="E81" s="34">
        <v>29.126220703125</v>
      </c>
      <c r="F81" s="34">
        <v>20.1318359375</v>
      </c>
      <c r="G81" s="34">
        <v>132.967529296875</v>
      </c>
      <c r="H81" s="34">
        <v>132.967529296875</v>
      </c>
      <c r="I81" s="34">
        <v>132.967529296875</v>
      </c>
      <c r="J81" s="34">
        <v>132.967529296875</v>
      </c>
      <c r="K81" s="34">
        <v>132.967529296875</v>
      </c>
      <c r="L81" s="34">
        <v>132.967529296875</v>
      </c>
      <c r="M81" s="36">
        <v>60</v>
      </c>
      <c r="N81" s="34">
        <v>4.04052734375</v>
      </c>
      <c r="O81" s="80">
        <v>30</v>
      </c>
      <c r="P81" s="35">
        <v>2.099609375</v>
      </c>
      <c r="Q81" s="33">
        <v>1</v>
      </c>
      <c r="R81" s="32" t="str">
        <f t="shared" si="96"/>
        <v>Countercurrent</v>
      </c>
      <c r="S81" s="32" t="s">
        <v>113</v>
      </c>
      <c r="T81" s="31">
        <f t="shared" si="97"/>
        <v>4.177947103087079</v>
      </c>
      <c r="U81" s="31">
        <f t="shared" si="98"/>
        <v>4.1794415060812335</v>
      </c>
      <c r="V81" s="25">
        <f t="shared" si="99"/>
        <v>35.068359375</v>
      </c>
      <c r="W81" s="29">
        <f t="shared" si="100"/>
        <v>994.00718868584374</v>
      </c>
      <c r="X81" s="25">
        <f t="shared" si="101"/>
        <v>24.6290283203125</v>
      </c>
      <c r="Y81" s="29">
        <f t="shared" si="102"/>
        <v>997.14925182314812</v>
      </c>
      <c r="Z81" s="29">
        <f t="shared" si="103"/>
        <v>4.67578125</v>
      </c>
      <c r="AA81" s="29">
        <f t="shared" si="104"/>
        <v>-8.994384765625</v>
      </c>
      <c r="AB81" s="28">
        <f t="shared" si="105"/>
        <v>6.6938553762820291E-2</v>
      </c>
      <c r="AC81" s="28">
        <f t="shared" si="106"/>
        <v>3.4893731956701958E-2</v>
      </c>
      <c r="AD81" s="79">
        <f t="shared" si="107"/>
        <v>1307.6558082950071</v>
      </c>
      <c r="AE81" s="79">
        <f t="shared" si="108"/>
        <v>1311.7078997069648</v>
      </c>
      <c r="AF81" s="79">
        <f t="shared" si="109"/>
        <v>-4.0520914119576901</v>
      </c>
      <c r="AG81" s="79">
        <f t="shared" si="110"/>
        <v>100.30987446285586</v>
      </c>
      <c r="AH81" s="79">
        <f t="shared" si="111"/>
        <v>27.06766917293233</v>
      </c>
      <c r="AI81" s="25"/>
      <c r="AJ81" s="79">
        <f t="shared" si="137"/>
        <v>27.151544967389555</v>
      </c>
      <c r="AK81" s="25"/>
      <c r="AL81" s="79">
        <f t="shared" si="112"/>
        <v>79.135338345864668</v>
      </c>
      <c r="AM81" s="25"/>
      <c r="AN81" s="79">
        <f t="shared" si="113"/>
        <v>9.7742788398626868</v>
      </c>
      <c r="AO81" s="79">
        <f t="shared" si="114"/>
        <v>1674.9045392697865</v>
      </c>
      <c r="AP81" s="26"/>
      <c r="AQ81" s="24">
        <f t="shared" si="115"/>
        <v>0.04</v>
      </c>
      <c r="AR81" s="24">
        <f t="shared" si="116"/>
        <v>4831.0617362009989</v>
      </c>
      <c r="AS81" s="24">
        <f t="shared" si="117"/>
        <v>2515.4212423452568</v>
      </c>
      <c r="AT81" s="24">
        <f t="shared" si="118"/>
        <v>37514.83636972322</v>
      </c>
      <c r="AU81" s="24">
        <f t="shared" si="119"/>
        <v>15978.600605994938</v>
      </c>
      <c r="AV81" s="24">
        <f t="shared" si="120"/>
        <v>7.1932250000000006E-4</v>
      </c>
      <c r="AW81" s="24">
        <f t="shared" si="121"/>
        <v>7.9525718749999996E-4</v>
      </c>
      <c r="AX81" s="24">
        <f t="shared" si="122"/>
        <v>8.5379017578125001E-4</v>
      </c>
      <c r="AY81" s="24">
        <f t="shared" si="123"/>
        <v>9.9985898437500009E-4</v>
      </c>
      <c r="AZ81" s="24">
        <f t="shared" si="124"/>
        <v>3.0000000000000001E-3</v>
      </c>
      <c r="BA81" s="24">
        <f t="shared" si="125"/>
        <v>7.5728984374999996E-4</v>
      </c>
      <c r="BB81" s="24">
        <f t="shared" si="126"/>
        <v>9.2682458007812499E-4</v>
      </c>
      <c r="BC81" s="24">
        <f t="shared" si="127"/>
        <v>3.0000000000000001E-3</v>
      </c>
      <c r="BD81" s="24">
        <f t="shared" si="138"/>
        <v>181.18433686805056</v>
      </c>
      <c r="BE81" s="24">
        <f t="shared" si="139"/>
        <v>106.64729907137678</v>
      </c>
      <c r="BF81" s="24">
        <f t="shared" si="128"/>
        <v>5.1415234375000001</v>
      </c>
      <c r="BG81" s="24">
        <f t="shared" si="129"/>
        <v>6.43600048828125</v>
      </c>
      <c r="BH81" s="24">
        <f t="shared" si="130"/>
        <v>0.23955806078569486</v>
      </c>
      <c r="BI81" s="24">
        <f t="shared" si="131"/>
        <v>0.45939300587424342</v>
      </c>
      <c r="BJ81" s="24">
        <f t="shared" si="140"/>
        <v>3344.6350102116016</v>
      </c>
      <c r="BK81" s="24">
        <f t="shared" si="141"/>
        <v>3354.999179983984</v>
      </c>
      <c r="BL81" s="24">
        <f t="shared" si="132"/>
        <v>54.13533834586466</v>
      </c>
      <c r="BM81" s="24">
        <f t="shared" si="133"/>
        <v>104.13533834586467</v>
      </c>
      <c r="BN81" s="24">
        <f t="shared" si="142"/>
        <v>279.66573677821373</v>
      </c>
      <c r="BO81" s="24">
        <f t="shared" si="143"/>
        <v>145.83631164191328</v>
      </c>
      <c r="BP81" s="24">
        <f t="shared" si="144"/>
        <v>145.83631164191328</v>
      </c>
      <c r="BQ81" s="24">
        <f t="shared" si="145"/>
        <v>279.66573677821373</v>
      </c>
      <c r="BR81" s="24">
        <f t="shared" si="146"/>
        <v>0.52146649540257195</v>
      </c>
      <c r="BS81" s="24">
        <f t="shared" si="134"/>
        <v>28.76904296875</v>
      </c>
      <c r="BT81" s="1">
        <f t="shared" si="135"/>
        <v>0.52067669172932329</v>
      </c>
      <c r="BU81" s="1">
        <f t="shared" si="136"/>
        <v>0.45939300587424342</v>
      </c>
      <c r="BV81" s="1">
        <f t="shared" si="147"/>
        <v>0.33941126671418292</v>
      </c>
    </row>
    <row r="82" spans="1:74" ht="12.75" customHeight="1" x14ac:dyDescent="0.2">
      <c r="A82" s="5">
        <v>1E-3</v>
      </c>
      <c r="B82" s="1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4"/>
      <c r="N82" s="12"/>
      <c r="P82" s="13"/>
      <c r="Q82" s="11"/>
      <c r="R82" s="78"/>
      <c r="S82" s="78"/>
      <c r="T82" s="10" t="str">
        <f t="shared" si="97"/>
        <v/>
      </c>
      <c r="U82" s="10" t="str">
        <f t="shared" si="98"/>
        <v/>
      </c>
      <c r="V82" s="5" t="str">
        <f t="shared" si="99"/>
        <v/>
      </c>
      <c r="W82" s="8"/>
      <c r="X82" s="5" t="str">
        <f t="shared" si="101"/>
        <v/>
      </c>
      <c r="Y82" s="8" t="str">
        <f t="shared" si="102"/>
        <v/>
      </c>
      <c r="Z82" s="8" t="str">
        <f t="shared" si="103"/>
        <v/>
      </c>
      <c r="AA82" s="8" t="str">
        <f t="shared" si="104"/>
        <v/>
      </c>
      <c r="AB82" s="7" t="str">
        <f t="shared" si="105"/>
        <v/>
      </c>
      <c r="AC82" s="7" t="str">
        <f t="shared" si="106"/>
        <v/>
      </c>
      <c r="AD82" s="77" t="str">
        <f t="shared" ref="AD82:AD87" si="148">IF(SUM($A$1:$A$960)=0,IF(ROW($A82)=6,"Hidden",""),IF(ISNUMBER(AB82),AB82*T82*ABS(Z82)*1000,""))</f>
        <v/>
      </c>
      <c r="AE82" s="77" t="str">
        <f t="shared" ref="AE82:AE87" si="149">IF(SUM($A$1:$A$960)=0,IF(ROW($A82)=6,"Hidden",""),IF(ISNUMBER(AC82),AC82*U82*AA82*1000,""))</f>
        <v/>
      </c>
      <c r="AF82" s="77" t="str">
        <f t="shared" ref="AF82:AF87" si="150">IF(SUM($A$1:$A$960)=0,IF(ROW($A82)=6,"Hidden",""),IF(ISNUMBER(AD82),AD82-AE82,""))</f>
        <v/>
      </c>
      <c r="AG82" s="6" t="str">
        <f t="shared" ref="AG82:AG87" si="151">IF(SUM($A$1:$A$960)=0,IF(ROW($A82)=6,"Hidden",""),IF(ISNUMBER(AD82),IF(AD82=0,0,AE82*100/AD82),""))</f>
        <v/>
      </c>
      <c r="AH82" s="6" t="str">
        <f t="shared" ref="AH82:AH87" si="152">IF(SUM($A$1:$A$1000)=0,IF(ROW($A82)=6,"Hidden",""),IF(ISNUMBER(C82),IF(R82="cocurrent",IF(D82=E82,0,100*(D82-C82)/(D82-E82)),IF(C82=E82,0,100*(C82-D82)/(C82-E82))),""))</f>
        <v/>
      </c>
      <c r="AI82" s="5">
        <f t="shared" ref="AI82:AI87" si="153">IF(ISNUMBER(C82),IF(R82="Cocurrent",C82-F82,C82-E82),0)</f>
        <v>0</v>
      </c>
      <c r="AJ82" s="77"/>
      <c r="AK82" s="5">
        <f t="shared" ref="AK82:AK87" si="154">IF(ISNUMBER(C82),IF(R82="Cocurrent",C82-F82,C82-E82),0)</f>
        <v>0</v>
      </c>
      <c r="AL82" s="77"/>
      <c r="AM82" s="5">
        <f t="shared" ref="AM82:AM87" si="155">IF(C82=F82,0,(D82-E82)/(C82-F82))</f>
        <v>0</v>
      </c>
      <c r="AN82" s="77"/>
      <c r="AO82" s="77"/>
      <c r="AP82" s="3" t="str">
        <f t="shared" ref="AP82:AP87" si="156">IF(ISNUMBER(A82),IF(ROW($A82)=2,1-(A82/12),""),"")</f>
        <v/>
      </c>
    </row>
    <row r="83" spans="1:74" ht="12.75" customHeight="1" x14ac:dyDescent="0.2">
      <c r="A83" s="5">
        <v>1E-3</v>
      </c>
      <c r="B83" s="1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4"/>
      <c r="N83" s="12"/>
      <c r="P83" s="13"/>
      <c r="Q83" s="11"/>
      <c r="R83" s="78"/>
      <c r="S83" s="78"/>
      <c r="T83" s="10" t="str">
        <f t="shared" si="97"/>
        <v/>
      </c>
      <c r="U83" s="10" t="str">
        <f t="shared" si="98"/>
        <v/>
      </c>
      <c r="V83" s="5" t="str">
        <f t="shared" si="99"/>
        <v/>
      </c>
      <c r="W83" s="8"/>
      <c r="X83" s="5" t="str">
        <f t="shared" si="101"/>
        <v/>
      </c>
      <c r="Y83" s="8" t="str">
        <f t="shared" si="102"/>
        <v/>
      </c>
      <c r="Z83" s="8" t="str">
        <f t="shared" si="103"/>
        <v/>
      </c>
      <c r="AA83" s="8" t="str">
        <f t="shared" si="104"/>
        <v/>
      </c>
      <c r="AB83" s="7" t="str">
        <f t="shared" si="105"/>
        <v/>
      </c>
      <c r="AC83" s="7" t="str">
        <f t="shared" si="106"/>
        <v/>
      </c>
      <c r="AD83" s="77" t="str">
        <f t="shared" si="148"/>
        <v/>
      </c>
      <c r="AE83" s="77" t="str">
        <f t="shared" si="149"/>
        <v/>
      </c>
      <c r="AF83" s="77" t="str">
        <f t="shared" si="150"/>
        <v/>
      </c>
      <c r="AG83" s="6" t="str">
        <f t="shared" si="151"/>
        <v/>
      </c>
      <c r="AH83" s="6" t="str">
        <f t="shared" si="152"/>
        <v/>
      </c>
      <c r="AI83" s="5">
        <f t="shared" si="153"/>
        <v>0</v>
      </c>
      <c r="AJ83" s="77"/>
      <c r="AK83" s="5">
        <f t="shared" si="154"/>
        <v>0</v>
      </c>
      <c r="AL83" s="77"/>
      <c r="AM83" s="5">
        <f t="shared" si="155"/>
        <v>0</v>
      </c>
      <c r="AN83" s="77"/>
      <c r="AO83" s="77"/>
      <c r="AP83" s="3" t="str">
        <f t="shared" si="156"/>
        <v/>
      </c>
    </row>
    <row r="84" spans="1:74" ht="12.75" customHeight="1" x14ac:dyDescent="0.2">
      <c r="A84" s="5">
        <v>1E-3</v>
      </c>
      <c r="B84" s="1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4"/>
      <c r="N84" s="12"/>
      <c r="P84" s="13"/>
      <c r="Q84" s="11"/>
      <c r="R84" s="78"/>
      <c r="S84" s="78"/>
      <c r="T84" s="10" t="str">
        <f t="shared" si="97"/>
        <v/>
      </c>
      <c r="U84" s="10" t="str">
        <f t="shared" si="98"/>
        <v/>
      </c>
      <c r="V84" s="5" t="str">
        <f t="shared" si="99"/>
        <v/>
      </c>
      <c r="W84" s="8"/>
      <c r="X84" s="5" t="str">
        <f t="shared" si="101"/>
        <v/>
      </c>
      <c r="Y84" s="8" t="str">
        <f t="shared" si="102"/>
        <v/>
      </c>
      <c r="Z84" s="8" t="str">
        <f t="shared" si="103"/>
        <v/>
      </c>
      <c r="AA84" s="8" t="str">
        <f t="shared" si="104"/>
        <v/>
      </c>
      <c r="AB84" s="7" t="str">
        <f t="shared" si="105"/>
        <v/>
      </c>
      <c r="AC84" s="7" t="str">
        <f t="shared" si="106"/>
        <v/>
      </c>
      <c r="AD84" s="77" t="str">
        <f t="shared" si="148"/>
        <v/>
      </c>
      <c r="AE84" s="77" t="str">
        <f t="shared" si="149"/>
        <v/>
      </c>
      <c r="AF84" s="77" t="str">
        <f t="shared" si="150"/>
        <v/>
      </c>
      <c r="AG84" s="6" t="str">
        <f t="shared" si="151"/>
        <v/>
      </c>
      <c r="AH84" s="6" t="str">
        <f t="shared" si="152"/>
        <v/>
      </c>
      <c r="AI84" s="5">
        <f t="shared" si="153"/>
        <v>0</v>
      </c>
      <c r="AJ84" s="77"/>
      <c r="AK84" s="5">
        <f t="shared" si="154"/>
        <v>0</v>
      </c>
      <c r="AL84" s="77"/>
      <c r="AM84" s="5">
        <f t="shared" si="155"/>
        <v>0</v>
      </c>
      <c r="AN84" s="77"/>
      <c r="AO84" s="77"/>
      <c r="AP84" s="3" t="str">
        <f t="shared" si="156"/>
        <v/>
      </c>
    </row>
    <row r="85" spans="1:74" ht="12.75" customHeight="1" x14ac:dyDescent="0.2">
      <c r="A85" s="5">
        <v>1E-3</v>
      </c>
      <c r="B85" s="1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4"/>
      <c r="N85" s="12"/>
      <c r="P85" s="13"/>
      <c r="Q85" s="11"/>
      <c r="R85" s="78"/>
      <c r="S85" s="78"/>
      <c r="T85" s="10" t="str">
        <f t="shared" si="97"/>
        <v/>
      </c>
      <c r="U85" s="10" t="str">
        <f t="shared" si="98"/>
        <v/>
      </c>
      <c r="V85" s="5" t="str">
        <f t="shared" si="99"/>
        <v/>
      </c>
      <c r="W85" s="8"/>
      <c r="X85" s="5" t="str">
        <f t="shared" si="101"/>
        <v/>
      </c>
      <c r="Y85" s="8" t="str">
        <f t="shared" si="102"/>
        <v/>
      </c>
      <c r="Z85" s="8" t="str">
        <f t="shared" si="103"/>
        <v/>
      </c>
      <c r="AA85" s="8" t="str">
        <f t="shared" si="104"/>
        <v/>
      </c>
      <c r="AB85" s="7" t="str">
        <f t="shared" si="105"/>
        <v/>
      </c>
      <c r="AC85" s="7" t="str">
        <f t="shared" si="106"/>
        <v/>
      </c>
      <c r="AD85" s="77" t="str">
        <f t="shared" si="148"/>
        <v/>
      </c>
      <c r="AE85" s="77" t="str">
        <f t="shared" si="149"/>
        <v/>
      </c>
      <c r="AF85" s="77" t="str">
        <f t="shared" si="150"/>
        <v/>
      </c>
      <c r="AG85" s="6" t="str">
        <f t="shared" si="151"/>
        <v/>
      </c>
      <c r="AH85" s="6" t="str">
        <f t="shared" si="152"/>
        <v/>
      </c>
      <c r="AI85" s="5">
        <f t="shared" si="153"/>
        <v>0</v>
      </c>
      <c r="AJ85" s="77"/>
      <c r="AK85" s="5">
        <f t="shared" si="154"/>
        <v>0</v>
      </c>
      <c r="AL85" s="77"/>
      <c r="AM85" s="5">
        <f t="shared" si="155"/>
        <v>0</v>
      </c>
      <c r="AN85" s="77"/>
      <c r="AO85" s="77"/>
      <c r="AP85" s="3" t="str">
        <f t="shared" si="156"/>
        <v/>
      </c>
    </row>
    <row r="86" spans="1:74" ht="12.75" customHeight="1" x14ac:dyDescent="0.2">
      <c r="A86" s="5">
        <v>1E-3</v>
      </c>
      <c r="B86" s="1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4"/>
      <c r="N86" s="12"/>
      <c r="P86" s="13"/>
      <c r="Q86" s="11"/>
      <c r="R86" s="78"/>
      <c r="S86" s="78"/>
      <c r="T86" s="10" t="str">
        <f t="shared" si="97"/>
        <v/>
      </c>
      <c r="U86" s="10" t="str">
        <f t="shared" si="98"/>
        <v/>
      </c>
      <c r="V86" s="5" t="str">
        <f t="shared" si="99"/>
        <v/>
      </c>
      <c r="W86" s="8"/>
      <c r="X86" s="5" t="str">
        <f t="shared" si="101"/>
        <v/>
      </c>
      <c r="Y86" s="8" t="str">
        <f t="shared" si="102"/>
        <v/>
      </c>
      <c r="Z86" s="8" t="str">
        <f t="shared" si="103"/>
        <v/>
      </c>
      <c r="AA86" s="8" t="str">
        <f t="shared" si="104"/>
        <v/>
      </c>
      <c r="AB86" s="7" t="str">
        <f t="shared" si="105"/>
        <v/>
      </c>
      <c r="AC86" s="7" t="str">
        <f t="shared" si="106"/>
        <v/>
      </c>
      <c r="AD86" s="77" t="str">
        <f t="shared" si="148"/>
        <v/>
      </c>
      <c r="AE86" s="77" t="str">
        <f t="shared" si="149"/>
        <v/>
      </c>
      <c r="AF86" s="77" t="str">
        <f t="shared" si="150"/>
        <v/>
      </c>
      <c r="AG86" s="6" t="str">
        <f t="shared" si="151"/>
        <v/>
      </c>
      <c r="AH86" s="6" t="str">
        <f t="shared" si="152"/>
        <v/>
      </c>
      <c r="AI86" s="5">
        <f t="shared" si="153"/>
        <v>0</v>
      </c>
      <c r="AJ86" s="77"/>
      <c r="AK86" s="5">
        <f t="shared" si="154"/>
        <v>0</v>
      </c>
      <c r="AL86" s="77"/>
      <c r="AM86" s="5">
        <f t="shared" si="155"/>
        <v>0</v>
      </c>
      <c r="AN86" s="77"/>
      <c r="AO86" s="77"/>
      <c r="AP86" s="3" t="str">
        <f t="shared" si="156"/>
        <v/>
      </c>
    </row>
    <row r="87" spans="1:74" ht="12.75" customHeight="1" x14ac:dyDescent="0.2">
      <c r="A87" s="5">
        <v>1E-3</v>
      </c>
      <c r="B87" s="1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4"/>
      <c r="N87" s="12"/>
      <c r="P87" s="13"/>
      <c r="Q87" s="11"/>
      <c r="R87" s="78"/>
      <c r="S87" s="78"/>
      <c r="T87" s="10" t="str">
        <f t="shared" si="97"/>
        <v/>
      </c>
      <c r="U87" s="10" t="str">
        <f t="shared" si="98"/>
        <v/>
      </c>
      <c r="V87" s="5" t="str">
        <f t="shared" si="99"/>
        <v/>
      </c>
      <c r="W87" s="8"/>
      <c r="X87" s="5" t="str">
        <f t="shared" si="101"/>
        <v/>
      </c>
      <c r="Y87" s="8" t="str">
        <f t="shared" si="102"/>
        <v/>
      </c>
      <c r="Z87" s="8" t="str">
        <f t="shared" si="103"/>
        <v/>
      </c>
      <c r="AA87" s="8" t="str">
        <f t="shared" si="104"/>
        <v/>
      </c>
      <c r="AB87" s="7" t="str">
        <f t="shared" si="105"/>
        <v/>
      </c>
      <c r="AC87" s="7" t="str">
        <f t="shared" si="106"/>
        <v/>
      </c>
      <c r="AD87" s="77" t="str">
        <f t="shared" si="148"/>
        <v/>
      </c>
      <c r="AE87" s="77" t="str">
        <f t="shared" si="149"/>
        <v/>
      </c>
      <c r="AF87" s="77" t="str">
        <f t="shared" si="150"/>
        <v/>
      </c>
      <c r="AG87" s="6" t="str">
        <f t="shared" si="151"/>
        <v/>
      </c>
      <c r="AH87" s="6" t="str">
        <f t="shared" si="152"/>
        <v/>
      </c>
      <c r="AI87" s="5">
        <f t="shared" si="153"/>
        <v>0</v>
      </c>
      <c r="AJ87" s="77">
        <f>AVERAGE(AL2:AL81)</f>
        <v>79.920544089233829</v>
      </c>
      <c r="AK87" s="5">
        <f t="shared" si="154"/>
        <v>0</v>
      </c>
      <c r="AL87" s="77"/>
      <c r="AM87" s="5">
        <f t="shared" si="155"/>
        <v>0</v>
      </c>
      <c r="AN87" s="77"/>
      <c r="AO87" s="77"/>
      <c r="AP87" s="3" t="str">
        <f t="shared" si="156"/>
        <v/>
      </c>
    </row>
  </sheetData>
  <printOptions gridLines="1"/>
  <pageMargins left="0.75" right="0.75" top="1" bottom="1" header="0.5" footer="0.5"/>
  <pageSetup orientation="landscape" r:id="rId1"/>
  <headerFooter alignWithMargins="0">
    <oddHeader>HT32-XC-304 Plate Heat Exchanger - Run 2 Results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C68B-D7C5-4038-BFC4-F0CF3C05FB14}">
  <sheetPr>
    <pageSetUpPr autoPageBreaks="0"/>
  </sheetPr>
  <dimension ref="A1:BG87"/>
  <sheetViews>
    <sheetView showRowColHeaders="0" tabSelected="1" showOutlineSymbols="0" topLeftCell="B1" zoomScale="80" zoomScaleNormal="80" workbookViewId="0">
      <pane xSplit="11" ySplit="1" topLeftCell="AK41" activePane="bottomRight" state="frozen"/>
      <selection pane="topRight" activeCell="M1" sqref="M1"/>
      <selection pane="bottomLeft" activeCell="B2" sqref="B2"/>
      <selection pane="bottomRight" activeCell="AW86" sqref="AW86"/>
    </sheetView>
  </sheetViews>
  <sheetFormatPr defaultColWidth="9.140625" defaultRowHeight="12.75" customHeight="1" x14ac:dyDescent="0.2"/>
  <cols>
    <col min="1" max="1" width="0" style="1" hidden="1" customWidth="1"/>
    <col min="2" max="2" width="11.7109375" style="1" customWidth="1"/>
    <col min="3" max="6" width="8.7109375" style="1" customWidth="1"/>
    <col min="7" max="12" width="0" style="1" hidden="1" customWidth="1"/>
    <col min="13" max="16" width="11.7109375" style="1" customWidth="1"/>
    <col min="17" max="17" width="0" style="1" hidden="1" customWidth="1"/>
    <col min="18" max="18" width="11.7109375" style="1" customWidth="1"/>
    <col min="19" max="19" width="33" style="1" customWidth="1"/>
    <col min="20" max="21" width="13.140625" style="1" customWidth="1"/>
    <col min="22" max="25" width="13.5703125" style="1" customWidth="1"/>
    <col min="26" max="37" width="11.7109375" style="1" customWidth="1"/>
    <col min="38" max="38" width="0" style="1" hidden="1" customWidth="1"/>
    <col min="39" max="39" width="13.140625" style="1" customWidth="1"/>
    <col min="40" max="40" width="14.140625" style="1" customWidth="1"/>
    <col min="41" max="43" width="11.7109375" style="1" customWidth="1"/>
    <col min="44" max="16384" width="9.140625" style="1"/>
  </cols>
  <sheetData>
    <row r="1" spans="1:59" ht="66.7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153</v>
      </c>
      <c r="W1" s="16" t="s">
        <v>22</v>
      </c>
      <c r="X1" s="16" t="s">
        <v>154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/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155</v>
      </c>
      <c r="AJ1" s="16" t="s">
        <v>156</v>
      </c>
      <c r="AK1" s="16" t="s">
        <v>35</v>
      </c>
      <c r="AL1" s="16" t="s">
        <v>16</v>
      </c>
      <c r="AM1" s="16" t="s">
        <v>36</v>
      </c>
      <c r="AN1" s="16" t="s">
        <v>157</v>
      </c>
      <c r="AO1" s="16" t="s">
        <v>38</v>
      </c>
      <c r="AP1" s="16" t="s">
        <v>158</v>
      </c>
      <c r="AQ1" s="16" t="s">
        <v>159</v>
      </c>
      <c r="AR1" s="16" t="s">
        <v>160</v>
      </c>
      <c r="AS1" s="16" t="s">
        <v>161</v>
      </c>
      <c r="AT1" s="16" t="s">
        <v>162</v>
      </c>
      <c r="AU1" s="16" t="s">
        <v>163</v>
      </c>
      <c r="AV1" s="16" t="s">
        <v>164</v>
      </c>
      <c r="AW1" s="16" t="s">
        <v>165</v>
      </c>
      <c r="AX1" s="16" t="s">
        <v>166</v>
      </c>
      <c r="AY1" s="16" t="s">
        <v>167</v>
      </c>
      <c r="AZ1" s="16" t="s">
        <v>168</v>
      </c>
      <c r="BA1" s="16" t="s">
        <v>169</v>
      </c>
      <c r="BB1" s="16" t="s">
        <v>170</v>
      </c>
      <c r="BC1" s="16" t="s">
        <v>171</v>
      </c>
      <c r="BD1" s="1" t="s">
        <v>67</v>
      </c>
      <c r="BE1" s="16" t="s">
        <v>172</v>
      </c>
      <c r="BF1" s="1" t="s">
        <v>65</v>
      </c>
      <c r="BG1" s="1" t="s">
        <v>173</v>
      </c>
    </row>
    <row r="2" spans="1:59" ht="12.75" customHeight="1" x14ac:dyDescent="0.2">
      <c r="A2" s="5">
        <v>1E-3</v>
      </c>
      <c r="B2" s="75" t="s">
        <v>70</v>
      </c>
      <c r="C2" s="73">
        <v>48.77099609375</v>
      </c>
      <c r="D2" s="73">
        <v>45.621337890625</v>
      </c>
      <c r="E2" s="73">
        <v>20.294189453125</v>
      </c>
      <c r="F2" s="73">
        <v>25.424560546875</v>
      </c>
      <c r="G2" s="73">
        <v>132.967529296875</v>
      </c>
      <c r="H2" s="73">
        <v>132.967529296875</v>
      </c>
      <c r="I2" s="73">
        <v>132.967529296875</v>
      </c>
      <c r="J2" s="73">
        <v>132.967529296875</v>
      </c>
      <c r="K2" s="73">
        <v>132.967529296875</v>
      </c>
      <c r="L2" s="73">
        <v>132.967529296875</v>
      </c>
      <c r="M2" s="76">
        <v>30</v>
      </c>
      <c r="N2" s="73">
        <v>2.20947265625</v>
      </c>
      <c r="O2" s="75">
        <v>30</v>
      </c>
      <c r="P2" s="74">
        <v>0.91552734375</v>
      </c>
      <c r="Q2" s="73">
        <v>1</v>
      </c>
      <c r="R2" s="72" t="str">
        <f t="shared" ref="R2:R33" si="0">IF(ISNUMBER(Q2),IF(Q2=1,"Countercurrent","Cocurrent"),"")</f>
        <v>Countercurrent</v>
      </c>
      <c r="S2" s="71" t="s">
        <v>174</v>
      </c>
      <c r="T2" s="70">
        <f t="shared" ref="T2:T33" si="1">IF(ISNUMBER(C2),1.15290498E-12*(V2^6)-3.5879038802E-10*(V2^5)+4.710833256816E-08*(V2^4)-3.38194190874219E-06*(V2^3)+0.000148978977392744*(V2^2)-0.00373903643230733*(V2)+4.21734712411944,"")</f>
        <v>4.1796470748691323</v>
      </c>
      <c r="U2" s="70">
        <f t="shared" ref="U2:U33" si="2">IF(ISNUMBER(D2),1.15290498E-12*(X2^6)-3.5879038802E-10*(X2^5)+4.710833256816E-08*(X2^4)-3.38194190874219E-06*(X2^3)+0.000148978977392744*(X2^2)-0.00373903643230733*(X2)+4.21734712411944,"")</f>
        <v>4.1801145945833156</v>
      </c>
      <c r="V2" s="18">
        <f t="shared" ref="V2:V33" si="3">IF(ISNUMBER(C2),AVERAGE(C2,D2),"")</f>
        <v>47.1961669921875</v>
      </c>
      <c r="W2" s="69">
        <f t="shared" ref="W2:W33" si="4">IF(ISNUMBER(F2),-0.0000002301*(V2^4)+0.0000569866*(V2^3)-0.0082923226*(V2^2)+0.0654036947*V2+999.8017570756,"")</f>
        <v>989.26682729397987</v>
      </c>
      <c r="X2" s="18">
        <f t="shared" ref="X2:X33" si="5">IF(ISNUMBER(E2),AVERAGE(E2,F2),"")</f>
        <v>22.859375</v>
      </c>
      <c r="Y2" s="69">
        <f t="shared" ref="Y2:Y33" si="6">IF(ISNUMBER(F2),-0.0000002301*(X2^4)+0.0000569866*(X2^3)-0.0082923226*(X2^2)+0.0654036947*X2+999.8017570756,"")</f>
        <v>997.58156772930431</v>
      </c>
      <c r="Z2" s="68">
        <f t="shared" ref="Z2:Z33" si="7">IF(ISNUMBER(C2),IF(R2="Countercurrent",C2-D2,D2-C2),"")</f>
        <v>3.149658203125</v>
      </c>
      <c r="AA2" s="68">
        <f t="shared" ref="AA2:AA33" si="8">IF(ISNUMBER(E2),F2-E2,"")</f>
        <v>5.13037109375</v>
      </c>
      <c r="AB2" s="67">
        <f t="shared" ref="AB2:AB33" si="9">IF(ISNUMBER(N2),N2*W2/(1000*60),"")</f>
        <v>3.6429300077353989E-2</v>
      </c>
      <c r="AC2" s="67">
        <f t="shared" ref="AC2:AC33" si="10">IF(ISNUMBER(P2),P2*Y2/(1000*60),"")</f>
        <v>1.5221886714619512E-2</v>
      </c>
      <c r="AD2" s="67" t="s">
        <v>175</v>
      </c>
      <c r="AE2" s="20">
        <f t="shared" ref="AE2:AE33" si="11">AB2*T2*1000*(C2-D2)</f>
        <v>479.57205260465713</v>
      </c>
      <c r="AF2" s="20">
        <f t="shared" ref="AF2:AF33" si="12">AC2*U2*1000*(F2-E2)</f>
        <v>326.4415664799202</v>
      </c>
      <c r="AG2" s="20">
        <f t="shared" ref="AG2:AG33" si="13">AE2-AF2</f>
        <v>153.13048612473693</v>
      </c>
      <c r="AH2" s="20">
        <f t="shared" ref="AH2:AH33" si="14">AF2/AE2*100</f>
        <v>68.069347391481031</v>
      </c>
      <c r="AI2" s="20">
        <f t="shared" ref="AI2:AI33" si="15">(C2-D2)/C2*100</f>
        <v>6.458055925432757</v>
      </c>
      <c r="AJ2" s="20">
        <f t="shared" ref="AJ2:AJ33" si="16">(F2-E2)/F2*100</f>
        <v>20.178799489144318</v>
      </c>
      <c r="AK2" s="20">
        <f t="shared" ref="AK2:AK33" si="17">(AI2+AJ2)/2</f>
        <v>13.318427707288537</v>
      </c>
      <c r="AL2" s="20" t="s">
        <v>72</v>
      </c>
      <c r="AM2" s="20">
        <f t="shared" ref="AM2:AM33" si="18">((C2-F2)-(D2-E2))/(LN((C2-F2)/(D2-E2)))</f>
        <v>24.323352267056482</v>
      </c>
      <c r="AN2" s="20">
        <f>1/((1/AP2)+(1/AQ2))</f>
        <v>430.02114441014254</v>
      </c>
      <c r="AO2" s="66">
        <f t="shared" ref="AO2:AO9" si="19">IF(ISNUMBER(A2),IF(ROW(A2)=2,1-(A2/13),""),"")</f>
        <v>0.99992307692307691</v>
      </c>
      <c r="AP2" s="18">
        <f>AE2/($AI$87*AM2)</f>
        <v>1208.9624246472888</v>
      </c>
      <c r="AQ2" s="18">
        <f t="shared" ref="AQ2:AQ33" si="20">AF2/($AJ$87*AM2)</f>
        <v>667.41796665008201</v>
      </c>
      <c r="AR2" s="17">
        <f t="shared" ref="AR2:AR21" si="21">0.000569+((V2-45)*(0.000547-0.000569))/5</f>
        <v>5.5933686523437494E-4</v>
      </c>
      <c r="AS2" s="17">
        <f t="shared" ref="AS2:AS33" si="22">(4*AB2)/(AR2*PI()*0.00515)</f>
        <v>16102.016696224242</v>
      </c>
      <c r="AT2" s="17">
        <f t="shared" ref="AT2:AT21" si="23">3.91+((V2-45)*(3.55-3.91))/5</f>
        <v>3.7518759765624998</v>
      </c>
      <c r="AU2" s="17">
        <f t="shared" ref="AU2:AU21" si="24">0.637+((V2-45)*(0.644-0.637))/5</f>
        <v>0.64007463378906249</v>
      </c>
      <c r="AV2" s="17">
        <f>0.013*(AS2^0.867)*(AT2^(1/3))</f>
        <v>89.686010675934469</v>
      </c>
      <c r="AW2" s="17">
        <f t="shared" ref="AW2:AW33" si="25">IF(AB2*T2&gt;AC2*U2,AB2*T2*1000,AC2*U2*1000)</f>
        <v>152.26161750784246</v>
      </c>
      <c r="AX2" s="17">
        <f t="shared" ref="AX2:AX33" si="26">IF(AB2*T2&lt;AC2*U2,AB2*T2*1000,AC2*U2*1000)</f>
        <v>63.629230812874901</v>
      </c>
      <c r="AY2" s="17">
        <f t="shared" ref="AY2:AY33" si="27">AX2*(C2-E2)</f>
        <v>1811.9573025499369</v>
      </c>
      <c r="AZ2" s="17">
        <f t="shared" ref="AZ2:AZ33" si="28">AE2/AY2</f>
        <v>0.26467072481772252</v>
      </c>
      <c r="BA2" s="17">
        <f t="shared" ref="BA2:BA33" si="29">AX2/AW2</f>
        <v>0.41789409474516837</v>
      </c>
      <c r="BB2" s="17">
        <f>(-1/((1+BA2^2))*0.5)*LN(((2/AZ2)-1-BA2-(1+BA2^2)^0.5)/((2/AZ2)-1-BA2+(1+BA2^2)^0.5))</f>
        <v>0.15189698648279631</v>
      </c>
      <c r="BC2" s="17">
        <f t="shared" ref="BC2:BC33" si="30">AV2*AU2/0.0182</f>
        <v>3154.161562604434</v>
      </c>
      <c r="BD2" s="1">
        <f>(F2-E2)/(C2-E2)</f>
        <v>0.18015963511972635</v>
      </c>
      <c r="BE2" s="1">
        <f>AN2*$AI$87/AX2</f>
        <v>0.11021755463198872</v>
      </c>
      <c r="BF2" s="1">
        <f>AX2/AW2</f>
        <v>0.41789409474516837</v>
      </c>
      <c r="BG2" s="1">
        <f>2*((1+BF2+(1+BF2^2)^0.5)*((1+EXP(-BE2*(1+BF2^2)^0.5))/((1-EXP(-BE2*(1+BF2^2)^0.5)))))^-1</f>
        <v>4.7692609343349825E-2</v>
      </c>
    </row>
    <row r="3" spans="1:59" ht="12.75" customHeight="1" x14ac:dyDescent="0.2">
      <c r="A3" s="5">
        <v>1E-3</v>
      </c>
      <c r="B3" s="75" t="s">
        <v>73</v>
      </c>
      <c r="C3" s="73">
        <v>48.933349609375</v>
      </c>
      <c r="D3" s="73">
        <v>45.71875</v>
      </c>
      <c r="E3" s="73">
        <v>20.294189453125</v>
      </c>
      <c r="F3" s="73">
        <v>25.489501953125</v>
      </c>
      <c r="G3" s="73">
        <v>132.967529296875</v>
      </c>
      <c r="H3" s="73">
        <v>132.967529296875</v>
      </c>
      <c r="I3" s="73">
        <v>132.967529296875</v>
      </c>
      <c r="J3" s="73">
        <v>132.967529296875</v>
      </c>
      <c r="K3" s="73">
        <v>132.967529296875</v>
      </c>
      <c r="L3" s="73">
        <v>132.967529296875</v>
      </c>
      <c r="M3" s="76">
        <v>30</v>
      </c>
      <c r="N3" s="73">
        <v>2.11181640625</v>
      </c>
      <c r="O3" s="75">
        <v>30</v>
      </c>
      <c r="P3" s="74">
        <v>0.927734375</v>
      </c>
      <c r="Q3" s="73">
        <v>1</v>
      </c>
      <c r="R3" s="72" t="str">
        <f t="shared" si="0"/>
        <v>Countercurrent</v>
      </c>
      <c r="S3" s="71" t="s">
        <v>174</v>
      </c>
      <c r="T3" s="70">
        <f t="shared" si="1"/>
        <v>4.1796800002579797</v>
      </c>
      <c r="U3" s="70">
        <f t="shared" si="2"/>
        <v>4.1801008089057845</v>
      </c>
      <c r="V3" s="18">
        <f t="shared" si="3"/>
        <v>47.3260498046875</v>
      </c>
      <c r="W3" s="69">
        <f t="shared" si="4"/>
        <v>989.21049618029951</v>
      </c>
      <c r="X3" s="18">
        <f t="shared" si="5"/>
        <v>22.891845703125</v>
      </c>
      <c r="Y3" s="69">
        <f t="shared" si="6"/>
        <v>997.57391971589004</v>
      </c>
      <c r="Z3" s="68">
        <f t="shared" si="7"/>
        <v>3.214599609375</v>
      </c>
      <c r="AA3" s="68">
        <f t="shared" si="8"/>
        <v>5.1953125</v>
      </c>
      <c r="AB3" s="67">
        <f t="shared" si="9"/>
        <v>3.4817182584470995E-2</v>
      </c>
      <c r="AC3" s="67">
        <f t="shared" si="10"/>
        <v>1.5424726948732023E-2</v>
      </c>
      <c r="AD3" s="17" t="s">
        <v>176</v>
      </c>
      <c r="AE3" s="20">
        <f t="shared" si="11"/>
        <v>467.80358499110071</v>
      </c>
      <c r="AF3" s="20">
        <f t="shared" si="12"/>
        <v>334.9777151643579</v>
      </c>
      <c r="AG3" s="20">
        <f t="shared" si="13"/>
        <v>132.8258698267428</v>
      </c>
      <c r="AH3" s="20">
        <f t="shared" si="14"/>
        <v>71.606487404479893</v>
      </c>
      <c r="AI3" s="20">
        <f t="shared" si="15"/>
        <v>6.5693430656934311</v>
      </c>
      <c r="AJ3" s="20">
        <f t="shared" si="16"/>
        <v>20.382165605095544</v>
      </c>
      <c r="AK3" s="20">
        <f t="shared" si="17"/>
        <v>13.475754335394488</v>
      </c>
      <c r="AL3" s="18"/>
      <c r="AM3" s="20">
        <f t="shared" si="18"/>
        <v>24.420818003830689</v>
      </c>
      <c r="AN3" s="20">
        <f t="shared" ref="AN3:AN33" si="31">1/((1/AP3)+(1/AQ3))</f>
        <v>431.52863252365</v>
      </c>
      <c r="AO3" s="66" t="str">
        <f t="shared" si="19"/>
        <v/>
      </c>
      <c r="AP3" s="18">
        <f t="shared" ref="AP3:AP33" si="32">AE3/($AI$87*AM3)</f>
        <v>1174.58839259051</v>
      </c>
      <c r="AQ3" s="18">
        <f t="shared" si="20"/>
        <v>682.13695596586649</v>
      </c>
      <c r="AR3" s="17">
        <f t="shared" si="21"/>
        <v>5.5876538085937498E-4</v>
      </c>
      <c r="AS3" s="17">
        <f t="shared" si="22"/>
        <v>15405.188744240317</v>
      </c>
      <c r="AT3" s="17">
        <f t="shared" si="23"/>
        <v>3.7425244140624998</v>
      </c>
      <c r="AU3" s="17">
        <f t="shared" si="24"/>
        <v>0.64025646972656247</v>
      </c>
      <c r="AV3" s="17">
        <f t="shared" ref="AV3:AV33" si="33">0.013*(AS3^0.867)*(AT3^(1/3))</f>
        <v>86.239363505902602</v>
      </c>
      <c r="AW3" s="17">
        <f t="shared" si="25"/>
        <v>145.52468171364384</v>
      </c>
      <c r="AX3" s="17">
        <f t="shared" si="26"/>
        <v>64.476913595545582</v>
      </c>
      <c r="AY3" s="17">
        <f t="shared" si="27"/>
        <v>1846.5646548435229</v>
      </c>
      <c r="AZ3" s="17">
        <f t="shared" si="28"/>
        <v>0.25333723558720567</v>
      </c>
      <c r="BA3" s="17">
        <f t="shared" si="29"/>
        <v>0.4430651408152193</v>
      </c>
      <c r="BB3" s="17">
        <f t="shared" ref="BB3:BB66" si="34">(-1/((1+BA3^2))*0.5)*LN(((2/AZ3)-1-BA3-(1+BA3^2)^0.5)/((2/AZ3)-1-BA3+(1+BA3^2)^0.5))</f>
        <v>0.1430962375396988</v>
      </c>
      <c r="BC3" s="17">
        <f t="shared" si="30"/>
        <v>3033.8082653711504</v>
      </c>
      <c r="BD3" s="1">
        <f t="shared" ref="BD3:BD66" si="35">(F3-E3)/(C3-E3)</f>
        <v>0.18140589569160998</v>
      </c>
      <c r="BE3" s="1">
        <f t="shared" ref="BE3:BE66" si="36">AN3*$AI$87/AX3</f>
        <v>0.10914981666223132</v>
      </c>
      <c r="BF3" s="1">
        <f t="shared" ref="BF3:BF66" si="37">AX3/AW3</f>
        <v>0.4430651408152193</v>
      </c>
      <c r="BG3" s="1">
        <f t="shared" ref="BG3:BG66" si="38">2*((1+BF3+(1+BF3^2)^0.5)*((1+EXP(-BE3*(1+BF3^2)^0.5))/((1-EXP(-BE3*(1+BF3^2)^0.5)))))^-1</f>
        <v>4.7004419637260042E-2</v>
      </c>
    </row>
    <row r="4" spans="1:59" ht="12.75" customHeight="1" x14ac:dyDescent="0.2">
      <c r="A4" s="5">
        <v>1E-3</v>
      </c>
      <c r="B4" s="75" t="s">
        <v>74</v>
      </c>
      <c r="C4" s="73">
        <v>48.933349609375</v>
      </c>
      <c r="D4" s="73">
        <v>45.751220703125</v>
      </c>
      <c r="E4" s="73">
        <v>20.32666015625</v>
      </c>
      <c r="F4" s="73">
        <v>25.619384765625</v>
      </c>
      <c r="G4" s="73">
        <v>132.967529296875</v>
      </c>
      <c r="H4" s="73">
        <v>132.967529296875</v>
      </c>
      <c r="I4" s="73">
        <v>132.967529296875</v>
      </c>
      <c r="J4" s="73">
        <v>132.967529296875</v>
      </c>
      <c r="K4" s="73">
        <v>132.967529296875</v>
      </c>
      <c r="L4" s="73">
        <v>132.967529296875</v>
      </c>
      <c r="M4" s="76">
        <v>30</v>
      </c>
      <c r="N4" s="73">
        <v>2.30712890625</v>
      </c>
      <c r="O4" s="75">
        <v>30</v>
      </c>
      <c r="P4" s="74">
        <v>0.98876953125</v>
      </c>
      <c r="Q4" s="73">
        <v>1</v>
      </c>
      <c r="R4" s="72" t="str">
        <f t="shared" si="0"/>
        <v>Countercurrent</v>
      </c>
      <c r="S4" s="71" t="s">
        <v>174</v>
      </c>
      <c r="T4" s="70">
        <f t="shared" si="1"/>
        <v>4.1796841356930416</v>
      </c>
      <c r="U4" s="70">
        <f t="shared" si="2"/>
        <v>4.1800665893414148</v>
      </c>
      <c r="V4" s="18">
        <f t="shared" si="3"/>
        <v>47.34228515625</v>
      </c>
      <c r="W4" s="69">
        <f t="shared" si="4"/>
        <v>989.20344697393944</v>
      </c>
      <c r="X4" s="18">
        <f t="shared" si="5"/>
        <v>22.9730224609375</v>
      </c>
      <c r="Y4" s="69">
        <f t="shared" si="6"/>
        <v>997.55475262776667</v>
      </c>
      <c r="Z4" s="68">
        <f t="shared" si="7"/>
        <v>3.18212890625</v>
      </c>
      <c r="AA4" s="68">
        <f t="shared" si="8"/>
        <v>5.292724609375</v>
      </c>
      <c r="AB4" s="67">
        <f t="shared" si="9"/>
        <v>3.8036997777928579E-2</v>
      </c>
      <c r="AC4" s="67">
        <f t="shared" si="10"/>
        <v>1.6439195752532776E-2</v>
      </c>
      <c r="AD4" s="67" t="s">
        <v>177</v>
      </c>
      <c r="AE4" s="20">
        <f t="shared" si="11"/>
        <v>505.9032421859315</v>
      </c>
      <c r="AF4" s="20">
        <f t="shared" si="12"/>
        <v>363.69980195071861</v>
      </c>
      <c r="AG4" s="20">
        <f t="shared" si="13"/>
        <v>142.2034402352129</v>
      </c>
      <c r="AH4" s="20">
        <f t="shared" si="14"/>
        <v>71.891178316870779</v>
      </c>
      <c r="AI4" s="20">
        <f t="shared" si="15"/>
        <v>6.5029860650298605</v>
      </c>
      <c r="AJ4" s="20">
        <f t="shared" si="16"/>
        <v>20.659062103929024</v>
      </c>
      <c r="AK4" s="20">
        <f t="shared" si="17"/>
        <v>13.581024084479441</v>
      </c>
      <c r="AL4" s="18"/>
      <c r="AM4" s="20">
        <f t="shared" si="18"/>
        <v>24.354022034347253</v>
      </c>
      <c r="AN4" s="20">
        <f t="shared" si="31"/>
        <v>469.12911851161385</v>
      </c>
      <c r="AO4" s="66" t="str">
        <f t="shared" si="19"/>
        <v/>
      </c>
      <c r="AP4" s="18">
        <f t="shared" si="32"/>
        <v>1273.7351512947944</v>
      </c>
      <c r="AQ4" s="18">
        <f t="shared" si="20"/>
        <v>742.65693320398759</v>
      </c>
      <c r="AR4" s="17">
        <f t="shared" si="21"/>
        <v>5.5869394531249991E-4</v>
      </c>
      <c r="AS4" s="17">
        <f t="shared" si="22"/>
        <v>16831.978042839579</v>
      </c>
      <c r="AT4" s="17">
        <f t="shared" si="23"/>
        <v>3.7413554687500001</v>
      </c>
      <c r="AU4" s="17">
        <f t="shared" si="24"/>
        <v>0.64027919921874998</v>
      </c>
      <c r="AV4" s="17">
        <f t="shared" si="33"/>
        <v>93.11340108603595</v>
      </c>
      <c r="AW4" s="17">
        <f t="shared" si="25"/>
        <v>158.98263618179956</v>
      </c>
      <c r="AX4" s="17">
        <f t="shared" si="26"/>
        <v>68.716932920805547</v>
      </c>
      <c r="AY4" s="17">
        <f t="shared" si="27"/>
        <v>1965.7639602367062</v>
      </c>
      <c r="AZ4" s="17">
        <f t="shared" si="28"/>
        <v>0.25735706443870987</v>
      </c>
      <c r="BA4" s="17">
        <f t="shared" si="29"/>
        <v>0.43222917024867091</v>
      </c>
      <c r="BB4" s="17">
        <f t="shared" si="34"/>
        <v>0.14625564723547269</v>
      </c>
      <c r="BC4" s="17">
        <f t="shared" si="30"/>
        <v>3275.7458177967792</v>
      </c>
      <c r="BD4" s="1">
        <f t="shared" si="35"/>
        <v>0.18501702610669693</v>
      </c>
      <c r="BE4" s="1">
        <f t="shared" si="36"/>
        <v>0.11133872837385066</v>
      </c>
      <c r="BF4" s="1">
        <f t="shared" si="37"/>
        <v>0.43222917024867091</v>
      </c>
      <c r="BG4" s="1">
        <f t="shared" si="38"/>
        <v>4.8042267559497392E-2</v>
      </c>
    </row>
    <row r="5" spans="1:59" ht="12.75" customHeight="1" x14ac:dyDescent="0.2">
      <c r="A5" s="5">
        <v>1E-3</v>
      </c>
      <c r="B5" s="75" t="s">
        <v>75</v>
      </c>
      <c r="C5" s="73">
        <v>48.868408203125</v>
      </c>
      <c r="D5" s="73">
        <v>45.78369140625</v>
      </c>
      <c r="E5" s="73">
        <v>20.294189453125</v>
      </c>
      <c r="F5" s="73">
        <v>25.554443359375</v>
      </c>
      <c r="G5" s="73">
        <v>132.967529296875</v>
      </c>
      <c r="H5" s="73">
        <v>132.967529296875</v>
      </c>
      <c r="I5" s="73">
        <v>132.967529296875</v>
      </c>
      <c r="J5" s="73">
        <v>132.967529296875</v>
      </c>
      <c r="K5" s="73">
        <v>132.967529296875</v>
      </c>
      <c r="L5" s="73">
        <v>132.967529296875</v>
      </c>
      <c r="M5" s="76">
        <v>30</v>
      </c>
      <c r="N5" s="73">
        <v>2.1728515625</v>
      </c>
      <c r="O5" s="75">
        <v>30</v>
      </c>
      <c r="P5" s="74">
        <v>0.93994140625</v>
      </c>
      <c r="Q5" s="73">
        <v>1</v>
      </c>
      <c r="R5" s="72" t="str">
        <f t="shared" si="0"/>
        <v>Countercurrent</v>
      </c>
      <c r="S5" s="71" t="s">
        <v>174</v>
      </c>
      <c r="T5" s="70">
        <f t="shared" si="1"/>
        <v>4.1796800002579797</v>
      </c>
      <c r="U5" s="70">
        <f t="shared" si="2"/>
        <v>4.1800870792124449</v>
      </c>
      <c r="V5" s="18">
        <f t="shared" si="3"/>
        <v>47.3260498046875</v>
      </c>
      <c r="W5" s="69">
        <f t="shared" si="4"/>
        <v>989.21049618029951</v>
      </c>
      <c r="X5" s="18">
        <f t="shared" si="5"/>
        <v>22.92431640625</v>
      </c>
      <c r="Y5" s="69">
        <f t="shared" si="6"/>
        <v>997.56626094345449</v>
      </c>
      <c r="Z5" s="68">
        <f t="shared" si="7"/>
        <v>3.084716796875</v>
      </c>
      <c r="AA5" s="68">
        <f t="shared" si="8"/>
        <v>5.26025390625</v>
      </c>
      <c r="AB5" s="67">
        <f t="shared" si="9"/>
        <v>3.5823459537779399E-2</v>
      </c>
      <c r="AC5" s="67">
        <f t="shared" si="10"/>
        <v>1.5627563902312416E-2</v>
      </c>
      <c r="AD5" s="67"/>
      <c r="AE5" s="20">
        <f t="shared" si="11"/>
        <v>461.87648871369834</v>
      </c>
      <c r="AF5" s="20">
        <f t="shared" si="12"/>
        <v>343.6238663231162</v>
      </c>
      <c r="AG5" s="20">
        <f t="shared" si="13"/>
        <v>118.25262239058213</v>
      </c>
      <c r="AH5" s="20">
        <f t="shared" si="14"/>
        <v>74.397349663779281</v>
      </c>
      <c r="AI5" s="20">
        <f t="shared" si="15"/>
        <v>6.3122923588039868</v>
      </c>
      <c r="AJ5" s="20">
        <f t="shared" si="16"/>
        <v>20.584498094027953</v>
      </c>
      <c r="AK5" s="20">
        <f t="shared" si="17"/>
        <v>13.44839522641597</v>
      </c>
      <c r="AL5" s="18"/>
      <c r="AM5" s="20">
        <f t="shared" si="18"/>
        <v>24.385561485959663</v>
      </c>
      <c r="AN5" s="20">
        <f t="shared" si="31"/>
        <v>437.04881436059702</v>
      </c>
      <c r="AO5" s="66" t="str">
        <f t="shared" si="19"/>
        <v/>
      </c>
      <c r="AP5" s="18">
        <f t="shared" si="32"/>
        <v>1161.3829925730606</v>
      </c>
      <c r="AQ5" s="18">
        <f t="shared" si="20"/>
        <v>700.75536291169351</v>
      </c>
      <c r="AR5" s="17">
        <f t="shared" si="21"/>
        <v>5.5876538085937498E-4</v>
      </c>
      <c r="AS5" s="17">
        <f t="shared" si="22"/>
        <v>15850.425413148994</v>
      </c>
      <c r="AT5" s="17">
        <f t="shared" si="23"/>
        <v>3.7425244140624998</v>
      </c>
      <c r="AU5" s="17">
        <f t="shared" si="24"/>
        <v>0.64025646972656247</v>
      </c>
      <c r="AV5" s="17">
        <f t="shared" si="33"/>
        <v>88.396223868336676</v>
      </c>
      <c r="AW5" s="17">
        <f t="shared" si="25"/>
        <v>149.73059737010752</v>
      </c>
      <c r="AX5" s="17">
        <f t="shared" si="26"/>
        <v>65.324577947622942</v>
      </c>
      <c r="AY5" s="17">
        <f t="shared" si="27"/>
        <v>1866.598780026804</v>
      </c>
      <c r="AZ5" s="17">
        <f t="shared" si="28"/>
        <v>0.24744283220150068</v>
      </c>
      <c r="BA5" s="17">
        <f t="shared" si="29"/>
        <v>0.43628075420117474</v>
      </c>
      <c r="BB5" s="17">
        <f t="shared" si="34"/>
        <v>0.13916352314927474</v>
      </c>
      <c r="BC5" s="17">
        <f t="shared" si="30"/>
        <v>3109.6842984120954</v>
      </c>
      <c r="BD5" s="1">
        <f t="shared" si="35"/>
        <v>0.18409090909090908</v>
      </c>
      <c r="BE5" s="1">
        <f t="shared" si="36"/>
        <v>0.10911161092616194</v>
      </c>
      <c r="BF5" s="1">
        <f t="shared" si="37"/>
        <v>0.43628075420117474</v>
      </c>
      <c r="BG5" s="1">
        <f t="shared" si="38"/>
        <v>4.7047438247110912E-2</v>
      </c>
    </row>
    <row r="6" spans="1:59" ht="12.75" customHeight="1" x14ac:dyDescent="0.2">
      <c r="A6" s="5">
        <v>1E-3</v>
      </c>
      <c r="B6" s="75" t="s">
        <v>76</v>
      </c>
      <c r="C6" s="73">
        <v>48.8359375</v>
      </c>
      <c r="D6" s="73">
        <v>45.686279296875</v>
      </c>
      <c r="E6" s="73">
        <v>20.294189453125</v>
      </c>
      <c r="F6" s="73">
        <v>25.489501953125</v>
      </c>
      <c r="G6" s="73">
        <v>132.967529296875</v>
      </c>
      <c r="H6" s="73">
        <v>132.967529296875</v>
      </c>
      <c r="I6" s="73">
        <v>132.967529296875</v>
      </c>
      <c r="J6" s="73">
        <v>132.967529296875</v>
      </c>
      <c r="K6" s="73">
        <v>132.967529296875</v>
      </c>
      <c r="L6" s="73">
        <v>132.967529296875</v>
      </c>
      <c r="M6" s="76">
        <v>30</v>
      </c>
      <c r="N6" s="73">
        <v>2.16064453125</v>
      </c>
      <c r="O6" s="75">
        <v>30</v>
      </c>
      <c r="P6" s="74">
        <v>0.91552734375</v>
      </c>
      <c r="Q6" s="73">
        <v>1</v>
      </c>
      <c r="R6" s="72" t="str">
        <f t="shared" si="0"/>
        <v>Countercurrent</v>
      </c>
      <c r="S6" s="71" t="s">
        <v>174</v>
      </c>
      <c r="T6" s="70">
        <f t="shared" si="1"/>
        <v>4.1796635024128381</v>
      </c>
      <c r="U6" s="70">
        <f t="shared" si="2"/>
        <v>4.1801008089057845</v>
      </c>
      <c r="V6" s="18">
        <f t="shared" si="3"/>
        <v>47.2611083984375</v>
      </c>
      <c r="W6" s="69">
        <f t="shared" si="4"/>
        <v>989.23867563890644</v>
      </c>
      <c r="X6" s="18">
        <f t="shared" si="5"/>
        <v>22.891845703125</v>
      </c>
      <c r="Y6" s="69">
        <f t="shared" si="6"/>
        <v>997.57391971589004</v>
      </c>
      <c r="Z6" s="68">
        <f t="shared" si="7"/>
        <v>3.149658203125</v>
      </c>
      <c r="AA6" s="68">
        <f t="shared" si="8"/>
        <v>5.1953125</v>
      </c>
      <c r="AB6" s="67">
        <f t="shared" si="9"/>
        <v>3.5623218910336596E-2</v>
      </c>
      <c r="AC6" s="67">
        <f t="shared" si="10"/>
        <v>1.5221770015196076E-2</v>
      </c>
      <c r="AD6" s="67"/>
      <c r="AE6" s="20">
        <f t="shared" si="11"/>
        <v>468.96227275636602</v>
      </c>
      <c r="AF6" s="20">
        <f t="shared" si="12"/>
        <v>330.57011364903741</v>
      </c>
      <c r="AG6" s="20">
        <f t="shared" si="13"/>
        <v>138.39215910732861</v>
      </c>
      <c r="AH6" s="20">
        <f t="shared" si="14"/>
        <v>70.489703085513298</v>
      </c>
      <c r="AI6" s="20">
        <f t="shared" si="15"/>
        <v>6.4494680851063828</v>
      </c>
      <c r="AJ6" s="20">
        <f t="shared" si="16"/>
        <v>20.382165605095544</v>
      </c>
      <c r="AK6" s="20">
        <f t="shared" si="17"/>
        <v>13.415816845100963</v>
      </c>
      <c r="AL6" s="18"/>
      <c r="AM6" s="20">
        <f t="shared" si="18"/>
        <v>24.354945926574139</v>
      </c>
      <c r="AN6" s="20">
        <f t="shared" si="31"/>
        <v>429.46315519874759</v>
      </c>
      <c r="AO6" s="66" t="str">
        <f t="shared" si="19"/>
        <v/>
      </c>
      <c r="AP6" s="18">
        <f t="shared" si="32"/>
        <v>1180.6824350740785</v>
      </c>
      <c r="AQ6" s="18">
        <f t="shared" si="20"/>
        <v>674.98214893899365</v>
      </c>
      <c r="AR6" s="17">
        <f t="shared" si="21"/>
        <v>5.5905112304687496E-4</v>
      </c>
      <c r="AS6" s="17">
        <f t="shared" si="22"/>
        <v>15753.770886446137</v>
      </c>
      <c r="AT6" s="17">
        <f t="shared" si="23"/>
        <v>3.7472001953124998</v>
      </c>
      <c r="AU6" s="17">
        <f t="shared" si="24"/>
        <v>0.64016555175781253</v>
      </c>
      <c r="AV6" s="17">
        <f t="shared" si="33"/>
        <v>87.965295822051289</v>
      </c>
      <c r="AW6" s="17">
        <f t="shared" si="25"/>
        <v>148.89306791799669</v>
      </c>
      <c r="AX6" s="17">
        <f t="shared" si="26"/>
        <v>63.628533153498935</v>
      </c>
      <c r="AY6" s="17">
        <f t="shared" si="27"/>
        <v>1816.0695618593995</v>
      </c>
      <c r="AZ6" s="17">
        <f t="shared" si="28"/>
        <v>0.25822924551205773</v>
      </c>
      <c r="BA6" s="17">
        <f t="shared" si="29"/>
        <v>0.42734382495592438</v>
      </c>
      <c r="BB6" s="17">
        <f t="shared" si="34"/>
        <v>0.14701527726401684</v>
      </c>
      <c r="BC6" s="17">
        <f t="shared" si="30"/>
        <v>3094.0852821682784</v>
      </c>
      <c r="BD6" s="1">
        <f t="shared" si="35"/>
        <v>0.18202502844141069</v>
      </c>
      <c r="BE6" s="1">
        <f>AN6*$AI$87/AX6</f>
        <v>0.1100757448485146</v>
      </c>
      <c r="BF6" s="1">
        <f t="shared" si="37"/>
        <v>0.42734382495592438</v>
      </c>
      <c r="BG6" s="1">
        <f t="shared" si="38"/>
        <v>4.7543179235349009E-2</v>
      </c>
    </row>
    <row r="7" spans="1:59" ht="12.75" customHeight="1" x14ac:dyDescent="0.2">
      <c r="A7" s="5">
        <v>1E-3</v>
      </c>
      <c r="B7" s="75" t="s">
        <v>77</v>
      </c>
      <c r="C7" s="73">
        <v>48.90087890625</v>
      </c>
      <c r="D7" s="73">
        <v>45.686279296875</v>
      </c>
      <c r="E7" s="73">
        <v>20.294189453125</v>
      </c>
      <c r="F7" s="73">
        <v>25.619384765625</v>
      </c>
      <c r="G7" s="73">
        <v>132.967529296875</v>
      </c>
      <c r="H7" s="73">
        <v>132.967529296875</v>
      </c>
      <c r="I7" s="73">
        <v>132.967529296875</v>
      </c>
      <c r="J7" s="73">
        <v>132.967529296875</v>
      </c>
      <c r="K7" s="73">
        <v>132.967529296875</v>
      </c>
      <c r="L7" s="73">
        <v>132.967529296875</v>
      </c>
      <c r="M7" s="76">
        <v>30</v>
      </c>
      <c r="N7" s="73">
        <v>2.1728515625</v>
      </c>
      <c r="O7" s="75">
        <v>30</v>
      </c>
      <c r="P7" s="74">
        <v>0.91552734375</v>
      </c>
      <c r="Q7" s="73">
        <v>1</v>
      </c>
      <c r="R7" s="72" t="str">
        <f t="shared" si="0"/>
        <v>Countercurrent</v>
      </c>
      <c r="S7" s="71" t="s">
        <v>174</v>
      </c>
      <c r="T7" s="70">
        <f t="shared" si="1"/>
        <v>4.1796717425535057</v>
      </c>
      <c r="U7" s="70">
        <f t="shared" si="2"/>
        <v>4.1800734053654729</v>
      </c>
      <c r="V7" s="18">
        <f t="shared" si="3"/>
        <v>47.2935791015625</v>
      </c>
      <c r="W7" s="69">
        <f t="shared" si="4"/>
        <v>989.22458938366015</v>
      </c>
      <c r="X7" s="18">
        <f t="shared" si="5"/>
        <v>22.956787109375</v>
      </c>
      <c r="Y7" s="69">
        <f t="shared" si="6"/>
        <v>997.55859141937231</v>
      </c>
      <c r="Z7" s="68">
        <f t="shared" si="7"/>
        <v>3.214599609375</v>
      </c>
      <c r="AA7" s="68">
        <f t="shared" si="8"/>
        <v>5.3251953125</v>
      </c>
      <c r="AB7" s="67">
        <f t="shared" si="9"/>
        <v>3.5823969911761781E-2</v>
      </c>
      <c r="AC7" s="67">
        <f t="shared" si="10"/>
        <v>1.5221536123952824E-2</v>
      </c>
      <c r="AD7" s="67"/>
      <c r="AE7" s="20">
        <f t="shared" si="11"/>
        <v>481.32982624615209</v>
      </c>
      <c r="AF7" s="20">
        <f t="shared" si="12"/>
        <v>338.82693883885952</v>
      </c>
      <c r="AG7" s="20">
        <f t="shared" si="13"/>
        <v>142.50288740729258</v>
      </c>
      <c r="AH7" s="20">
        <f t="shared" si="14"/>
        <v>70.39392124966372</v>
      </c>
      <c r="AI7" s="20">
        <f t="shared" si="15"/>
        <v>6.573705179282868</v>
      </c>
      <c r="AJ7" s="20">
        <f t="shared" si="16"/>
        <v>20.785804816223067</v>
      </c>
      <c r="AK7" s="20">
        <f t="shared" si="17"/>
        <v>13.679754997752967</v>
      </c>
      <c r="AL7" s="18"/>
      <c r="AM7" s="20">
        <f t="shared" si="18"/>
        <v>24.321530976376557</v>
      </c>
      <c r="AN7" s="20">
        <f t="shared" si="31"/>
        <v>441.01282667300177</v>
      </c>
      <c r="AO7" s="66" t="str">
        <f t="shared" si="19"/>
        <v/>
      </c>
      <c r="AP7" s="18">
        <f t="shared" si="32"/>
        <v>1213.4844937039638</v>
      </c>
      <c r="AQ7" s="18">
        <f t="shared" si="20"/>
        <v>692.79204601660967</v>
      </c>
      <c r="AR7" s="17">
        <f t="shared" si="21"/>
        <v>5.5890825195312492E-4</v>
      </c>
      <c r="AS7" s="17">
        <f t="shared" si="22"/>
        <v>15846.599405305848</v>
      </c>
      <c r="AT7" s="17">
        <f t="shared" si="23"/>
        <v>3.7448623046875</v>
      </c>
      <c r="AU7" s="17">
        <f t="shared" si="24"/>
        <v>0.64021101074218756</v>
      </c>
      <c r="AV7" s="17">
        <f t="shared" si="33"/>
        <v>88.396123017806474</v>
      </c>
      <c r="AW7" s="17">
        <f t="shared" si="25"/>
        <v>149.73243474627773</v>
      </c>
      <c r="AX7" s="17">
        <f t="shared" si="26"/>
        <v>63.627138340545052</v>
      </c>
      <c r="AY7" s="17">
        <f t="shared" si="27"/>
        <v>1820.1617872989955</v>
      </c>
      <c r="AZ7" s="17">
        <f t="shared" si="28"/>
        <v>0.26444343003179677</v>
      </c>
      <c r="BA7" s="17">
        <f t="shared" si="29"/>
        <v>0.42493891486077495</v>
      </c>
      <c r="BB7" s="17">
        <f t="shared" si="34"/>
        <v>0.15153657096466952</v>
      </c>
      <c r="BC7" s="17">
        <f t="shared" si="30"/>
        <v>3109.4599595011337</v>
      </c>
      <c r="BD7" s="1">
        <f t="shared" si="35"/>
        <v>0.18615209988649262</v>
      </c>
      <c r="BE7" s="1">
        <f t="shared" si="36"/>
        <v>0.11303852025350646</v>
      </c>
      <c r="BF7" s="1">
        <f t="shared" si="37"/>
        <v>0.42493891486077495</v>
      </c>
      <c r="BG7" s="1">
        <f t="shared" si="38"/>
        <v>4.8842466731427475E-2</v>
      </c>
    </row>
    <row r="8" spans="1:59" ht="12.75" customHeight="1" x14ac:dyDescent="0.2">
      <c r="A8" s="5">
        <v>1E-3</v>
      </c>
      <c r="B8" s="75" t="s">
        <v>78</v>
      </c>
      <c r="C8" s="73">
        <v>48.9658203125</v>
      </c>
      <c r="D8" s="73">
        <v>45.78369140625</v>
      </c>
      <c r="E8" s="73">
        <v>20.294189453125</v>
      </c>
      <c r="F8" s="73">
        <v>25.5869140625</v>
      </c>
      <c r="G8" s="73">
        <v>132.967529296875</v>
      </c>
      <c r="H8" s="73">
        <v>132.967529296875</v>
      </c>
      <c r="I8" s="73">
        <v>132.967529296875</v>
      </c>
      <c r="J8" s="73">
        <v>132.967529296875</v>
      </c>
      <c r="K8" s="73">
        <v>132.967529296875</v>
      </c>
      <c r="L8" s="73">
        <v>132.967529296875</v>
      </c>
      <c r="M8" s="76">
        <v>30</v>
      </c>
      <c r="N8" s="73">
        <v>2.197265625</v>
      </c>
      <c r="O8" s="75">
        <v>30</v>
      </c>
      <c r="P8" s="74">
        <v>0.91552734375</v>
      </c>
      <c r="Q8" s="73">
        <v>1</v>
      </c>
      <c r="R8" s="72" t="str">
        <f t="shared" si="0"/>
        <v>Countercurrent</v>
      </c>
      <c r="S8" s="71" t="s">
        <v>174</v>
      </c>
      <c r="T8" s="70">
        <f t="shared" si="1"/>
        <v>4.1796924197216265</v>
      </c>
      <c r="U8" s="70">
        <f t="shared" si="2"/>
        <v>4.180080235316761</v>
      </c>
      <c r="V8" s="18">
        <f t="shared" si="3"/>
        <v>47.374755859375</v>
      </c>
      <c r="W8" s="69">
        <f t="shared" si="4"/>
        <v>989.18934335358256</v>
      </c>
      <c r="X8" s="18">
        <f t="shared" si="5"/>
        <v>22.9405517578125</v>
      </c>
      <c r="Y8" s="69">
        <f t="shared" si="6"/>
        <v>997.56242752490857</v>
      </c>
      <c r="Z8" s="68">
        <f t="shared" si="7"/>
        <v>3.18212890625</v>
      </c>
      <c r="AA8" s="68">
        <f t="shared" si="8"/>
        <v>5.292724609375</v>
      </c>
      <c r="AB8" s="67">
        <f t="shared" si="9"/>
        <v>3.6225195679452489E-2</v>
      </c>
      <c r="AC8" s="67">
        <f t="shared" si="10"/>
        <v>1.5221594658278026E-2</v>
      </c>
      <c r="AD8" s="67"/>
      <c r="AE8" s="20">
        <f t="shared" si="11"/>
        <v>481.80669706374272</v>
      </c>
      <c r="AF8" s="20">
        <f t="shared" si="12"/>
        <v>336.7627661774028</v>
      </c>
      <c r="AG8" s="20">
        <f t="shared" si="13"/>
        <v>145.04393088633992</v>
      </c>
      <c r="AH8" s="20">
        <f t="shared" si="14"/>
        <v>69.895825074604417</v>
      </c>
      <c r="AI8" s="20">
        <f t="shared" si="15"/>
        <v>6.4986737400530501</v>
      </c>
      <c r="AJ8" s="20">
        <f t="shared" si="16"/>
        <v>20.685279187817258</v>
      </c>
      <c r="AK8" s="20">
        <f t="shared" si="17"/>
        <v>13.591976463935154</v>
      </c>
      <c r="AL8" s="18"/>
      <c r="AM8" s="20">
        <f t="shared" si="18"/>
        <v>24.41900398774769</v>
      </c>
      <c r="AN8" s="20">
        <f t="shared" si="31"/>
        <v>437.70203815267536</v>
      </c>
      <c r="AO8" s="66" t="str">
        <f t="shared" si="19"/>
        <v/>
      </c>
      <c r="AP8" s="18">
        <f t="shared" si="32"/>
        <v>1209.8380877673014</v>
      </c>
      <c r="AQ8" s="18">
        <f t="shared" si="20"/>
        <v>685.8229156827756</v>
      </c>
      <c r="AR8" s="17">
        <f t="shared" si="21"/>
        <v>5.5855107421874997E-4</v>
      </c>
      <c r="AS8" s="17">
        <f t="shared" si="22"/>
        <v>16034.327075851952</v>
      </c>
      <c r="AT8" s="17">
        <f t="shared" si="23"/>
        <v>3.7390175781249999</v>
      </c>
      <c r="AU8" s="17">
        <f t="shared" si="24"/>
        <v>0.64032465820312501</v>
      </c>
      <c r="AV8" s="17">
        <f t="shared" si="33"/>
        <v>89.256840847066911</v>
      </c>
      <c r="AW8" s="17">
        <f t="shared" si="25"/>
        <v>151.4101757843402</v>
      </c>
      <c r="AX8" s="17">
        <f t="shared" si="26"/>
        <v>63.627486981071165</v>
      </c>
      <c r="AY8" s="17">
        <f t="shared" si="27"/>
        <v>1824.3038192309612</v>
      </c>
      <c r="AZ8" s="17">
        <f t="shared" si="28"/>
        <v>0.26410441724934242</v>
      </c>
      <c r="BA8" s="17">
        <f t="shared" si="29"/>
        <v>0.4202325679332044</v>
      </c>
      <c r="BB8" s="17">
        <f t="shared" si="34"/>
        <v>0.15142381247058831</v>
      </c>
      <c r="BC8" s="17">
        <f t="shared" si="30"/>
        <v>3140.294291631255</v>
      </c>
      <c r="BD8" s="1">
        <f t="shared" si="35"/>
        <v>0.18459796149490373</v>
      </c>
      <c r="BE8" s="1">
        <f t="shared" si="36"/>
        <v>0.11218929837619371</v>
      </c>
      <c r="BF8" s="1">
        <f t="shared" si="37"/>
        <v>0.4202325679332044</v>
      </c>
      <c r="BG8" s="1">
        <f t="shared" si="38"/>
        <v>4.8521225973317754E-2</v>
      </c>
    </row>
    <row r="9" spans="1:59" ht="12.75" customHeight="1" x14ac:dyDescent="0.2">
      <c r="A9" s="5">
        <v>1E-3</v>
      </c>
      <c r="B9" s="75" t="s">
        <v>79</v>
      </c>
      <c r="C9" s="73">
        <v>48.998291015625</v>
      </c>
      <c r="D9" s="73">
        <v>45.8486328125</v>
      </c>
      <c r="E9" s="73">
        <v>20.294189453125</v>
      </c>
      <c r="F9" s="73">
        <v>25.52197265625</v>
      </c>
      <c r="G9" s="73">
        <v>132.967529296875</v>
      </c>
      <c r="H9" s="73">
        <v>132.967529296875</v>
      </c>
      <c r="I9" s="73">
        <v>132.967529296875</v>
      </c>
      <c r="J9" s="73">
        <v>132.967529296875</v>
      </c>
      <c r="K9" s="73">
        <v>132.967529296875</v>
      </c>
      <c r="L9" s="73">
        <v>132.967529296875</v>
      </c>
      <c r="M9" s="76">
        <v>30</v>
      </c>
      <c r="N9" s="73">
        <v>2.24609375</v>
      </c>
      <c r="O9" s="75">
        <v>30</v>
      </c>
      <c r="P9" s="74">
        <v>0.9765625</v>
      </c>
      <c r="Q9" s="73">
        <v>1</v>
      </c>
      <c r="R9" s="72" t="str">
        <f t="shared" si="0"/>
        <v>Countercurrent</v>
      </c>
      <c r="S9" s="71" t="s">
        <v>174</v>
      </c>
      <c r="T9" s="70">
        <f t="shared" si="1"/>
        <v>4.1797048786391331</v>
      </c>
      <c r="U9" s="70">
        <f t="shared" si="2"/>
        <v>4.1800939370697145</v>
      </c>
      <c r="V9" s="18">
        <f t="shared" si="3"/>
        <v>47.4234619140625</v>
      </c>
      <c r="W9" s="69">
        <f t="shared" si="4"/>
        <v>989.16817490911308</v>
      </c>
      <c r="X9" s="18">
        <f t="shared" si="5"/>
        <v>22.9080810546875</v>
      </c>
      <c r="Y9" s="69">
        <f t="shared" si="6"/>
        <v>997.57009167408887</v>
      </c>
      <c r="Z9" s="68">
        <f t="shared" si="7"/>
        <v>3.149658203125</v>
      </c>
      <c r="AA9" s="68">
        <f t="shared" si="8"/>
        <v>5.227783203125</v>
      </c>
      <c r="AB9" s="67">
        <f t="shared" si="9"/>
        <v>3.7029407589371094E-2</v>
      </c>
      <c r="AC9" s="67">
        <f t="shared" si="10"/>
        <v>1.6236492377507957E-2</v>
      </c>
      <c r="AD9" s="67"/>
      <c r="AE9" s="20">
        <f t="shared" si="11"/>
        <v>487.47888541197756</v>
      </c>
      <c r="AF9" s="20">
        <f t="shared" si="12"/>
        <v>354.8099771578606</v>
      </c>
      <c r="AG9" s="20">
        <f t="shared" si="13"/>
        <v>132.66890825411696</v>
      </c>
      <c r="AH9" s="20">
        <f t="shared" si="14"/>
        <v>72.784686224512882</v>
      </c>
      <c r="AI9" s="20">
        <f t="shared" si="15"/>
        <v>6.4280980781974817</v>
      </c>
      <c r="AJ9" s="20">
        <f t="shared" si="16"/>
        <v>20.483460559796438</v>
      </c>
      <c r="AK9" s="20">
        <f t="shared" si="17"/>
        <v>13.45577931899696</v>
      </c>
      <c r="AL9" s="18"/>
      <c r="AM9" s="20">
        <f t="shared" si="18"/>
        <v>24.50069390873665</v>
      </c>
      <c r="AN9" s="20">
        <f t="shared" si="31"/>
        <v>452.84958826819792</v>
      </c>
      <c r="AO9" s="66" t="str">
        <f t="shared" si="19"/>
        <v/>
      </c>
      <c r="AP9" s="18">
        <f t="shared" si="32"/>
        <v>1219.9998885529051</v>
      </c>
      <c r="AQ9" s="18">
        <f t="shared" si="20"/>
        <v>720.16715239946291</v>
      </c>
      <c r="AR9" s="17">
        <f t="shared" si="21"/>
        <v>5.5833676757812496E-4</v>
      </c>
      <c r="AS9" s="17">
        <f t="shared" si="22"/>
        <v>16396.585792774415</v>
      </c>
      <c r="AT9" s="17">
        <f t="shared" si="23"/>
        <v>3.7355107421875</v>
      </c>
      <c r="AU9" s="17">
        <f t="shared" si="24"/>
        <v>0.64039284667968754</v>
      </c>
      <c r="AV9" s="17">
        <f t="shared" si="33"/>
        <v>90.974128169253603</v>
      </c>
      <c r="AW9" s="17">
        <f t="shared" si="25"/>
        <v>154.77199555441129</v>
      </c>
      <c r="AX9" s="17">
        <f t="shared" si="26"/>
        <v>67.870063346499649</v>
      </c>
      <c r="AY9" s="17">
        <f t="shared" si="27"/>
        <v>1948.1491913512345</v>
      </c>
      <c r="AZ9" s="17">
        <f t="shared" si="28"/>
        <v>0.25022667030642692</v>
      </c>
      <c r="BA9" s="17">
        <f t="shared" si="29"/>
        <v>0.4385164325327795</v>
      </c>
      <c r="BB9" s="17">
        <f t="shared" si="34"/>
        <v>0.14104341521644662</v>
      </c>
      <c r="BC9" s="17">
        <f t="shared" si="30"/>
        <v>3201.0538962918167</v>
      </c>
      <c r="BD9" s="1">
        <f t="shared" si="35"/>
        <v>0.18212669683257918</v>
      </c>
      <c r="BE9" s="1">
        <f t="shared" si="36"/>
        <v>0.10881615008940819</v>
      </c>
      <c r="BF9" s="1">
        <f t="shared" si="37"/>
        <v>0.4385164325327795</v>
      </c>
      <c r="BG9" s="1">
        <f t="shared" si="38"/>
        <v>4.6900663263240785E-2</v>
      </c>
    </row>
    <row r="10" spans="1:59" ht="12.75" customHeight="1" x14ac:dyDescent="0.2">
      <c r="A10" s="5">
        <v>1E-3</v>
      </c>
      <c r="B10" s="75" t="s">
        <v>80</v>
      </c>
      <c r="C10" s="73">
        <v>49.03076171875</v>
      </c>
      <c r="D10" s="73">
        <v>45.8486328125</v>
      </c>
      <c r="E10" s="73">
        <v>20.294189453125</v>
      </c>
      <c r="F10" s="73">
        <v>25.554443359375</v>
      </c>
      <c r="G10" s="73">
        <v>132.967529296875</v>
      </c>
      <c r="H10" s="73">
        <v>132.967529296875</v>
      </c>
      <c r="I10" s="73">
        <v>132.967529296875</v>
      </c>
      <c r="J10" s="73">
        <v>132.967529296875</v>
      </c>
      <c r="K10" s="73">
        <v>132.967529296875</v>
      </c>
      <c r="L10" s="73">
        <v>132.967529296875</v>
      </c>
      <c r="M10" s="76">
        <v>30</v>
      </c>
      <c r="N10" s="73">
        <v>2.34375</v>
      </c>
      <c r="O10" s="75">
        <v>30</v>
      </c>
      <c r="P10" s="74">
        <v>0.927734375</v>
      </c>
      <c r="Q10" s="73">
        <v>1</v>
      </c>
      <c r="R10" s="72" t="str">
        <f t="shared" si="0"/>
        <v>Countercurrent</v>
      </c>
      <c r="S10" s="71" t="s">
        <v>174</v>
      </c>
      <c r="T10" s="70">
        <f t="shared" si="1"/>
        <v>4.179709040372475</v>
      </c>
      <c r="U10" s="70">
        <f t="shared" si="2"/>
        <v>4.1800870792124449</v>
      </c>
      <c r="V10" s="18">
        <f t="shared" si="3"/>
        <v>47.439697265625</v>
      </c>
      <c r="W10" s="69">
        <f t="shared" si="4"/>
        <v>989.16111529194666</v>
      </c>
      <c r="X10" s="18">
        <f t="shared" si="5"/>
        <v>22.92431640625</v>
      </c>
      <c r="Y10" s="69">
        <f t="shared" si="6"/>
        <v>997.56626094345449</v>
      </c>
      <c r="Z10" s="68">
        <f t="shared" si="7"/>
        <v>3.18212890625</v>
      </c>
      <c r="AA10" s="68">
        <f t="shared" si="8"/>
        <v>5.26025390625</v>
      </c>
      <c r="AB10" s="67">
        <f t="shared" si="9"/>
        <v>3.8639106066091666E-2</v>
      </c>
      <c r="AC10" s="67">
        <f t="shared" si="10"/>
        <v>1.5424608526957709E-2</v>
      </c>
      <c r="AD10" s="67"/>
      <c r="AE10" s="20">
        <f t="shared" si="11"/>
        <v>513.91452140733441</v>
      </c>
      <c r="AF10" s="20">
        <f t="shared" si="12"/>
        <v>339.16121870853027</v>
      </c>
      <c r="AG10" s="20">
        <f t="shared" si="13"/>
        <v>174.75330269880413</v>
      </c>
      <c r="AH10" s="20">
        <f t="shared" si="14"/>
        <v>65.99564802717596</v>
      </c>
      <c r="AI10" s="20">
        <f t="shared" si="15"/>
        <v>6.4900662251655623</v>
      </c>
      <c r="AJ10" s="20">
        <f t="shared" si="16"/>
        <v>20.584498094027953</v>
      </c>
      <c r="AK10" s="20">
        <f t="shared" si="17"/>
        <v>13.537282159596758</v>
      </c>
      <c r="AL10" s="18"/>
      <c r="AM10" s="20">
        <f t="shared" si="18"/>
        <v>24.50069390873665</v>
      </c>
      <c r="AN10" s="20">
        <f t="shared" si="31"/>
        <v>448.40176328842796</v>
      </c>
      <c r="AO10" s="66"/>
      <c r="AP10" s="18">
        <f t="shared" si="32"/>
        <v>1286.1596216886371</v>
      </c>
      <c r="AQ10" s="18">
        <f t="shared" si="20"/>
        <v>688.40445536000743</v>
      </c>
      <c r="AR10" s="17">
        <f t="shared" si="21"/>
        <v>5.5826533203125E-4</v>
      </c>
      <c r="AS10" s="17">
        <f t="shared" si="22"/>
        <v>17111.548029130652</v>
      </c>
      <c r="AT10" s="17">
        <f t="shared" si="23"/>
        <v>3.7343417968749999</v>
      </c>
      <c r="AU10" s="17">
        <f t="shared" si="24"/>
        <v>0.64041557617187506</v>
      </c>
      <c r="AV10" s="17">
        <f t="shared" si="33"/>
        <v>94.39374087988584</v>
      </c>
      <c r="AW10" s="17">
        <f t="shared" si="25"/>
        <v>161.50022093635428</v>
      </c>
      <c r="AX10" s="17">
        <f t="shared" si="26"/>
        <v>64.476206805446026</v>
      </c>
      <c r="AY10" s="17">
        <f t="shared" si="27"/>
        <v>1852.8251762780822</v>
      </c>
      <c r="AZ10" s="17">
        <f t="shared" si="28"/>
        <v>0.27736805824264299</v>
      </c>
      <c r="BA10" s="17">
        <f t="shared" si="29"/>
        <v>0.39923293251007685</v>
      </c>
      <c r="BB10" s="17">
        <f t="shared" si="34"/>
        <v>0.16167767151912357</v>
      </c>
      <c r="BC10" s="17">
        <f t="shared" si="30"/>
        <v>3321.4957116819101</v>
      </c>
      <c r="BD10" s="1">
        <f t="shared" si="35"/>
        <v>0.18305084745762712</v>
      </c>
      <c r="BE10" s="1">
        <f t="shared" si="36"/>
        <v>0.11341890915099033</v>
      </c>
      <c r="BF10" s="1">
        <f t="shared" si="37"/>
        <v>0.39923293251007685</v>
      </c>
      <c r="BG10" s="1">
        <f t="shared" si="38"/>
        <v>4.9262111481588142E-2</v>
      </c>
    </row>
    <row r="11" spans="1:59" ht="12.75" customHeight="1" x14ac:dyDescent="0.2">
      <c r="A11" s="5">
        <v>1E-3</v>
      </c>
      <c r="B11" s="75" t="s">
        <v>81</v>
      </c>
      <c r="C11" s="73">
        <v>49.03076171875</v>
      </c>
      <c r="D11" s="73">
        <v>45.8486328125</v>
      </c>
      <c r="E11" s="73">
        <v>20.294189453125</v>
      </c>
      <c r="F11" s="73">
        <v>25.45703125</v>
      </c>
      <c r="G11" s="73">
        <v>132.967529296875</v>
      </c>
      <c r="H11" s="73">
        <v>132.967529296875</v>
      </c>
      <c r="I11" s="73">
        <v>132.967529296875</v>
      </c>
      <c r="J11" s="73">
        <v>132.967529296875</v>
      </c>
      <c r="K11" s="73">
        <v>132.967529296875</v>
      </c>
      <c r="L11" s="73">
        <v>132.967529296875</v>
      </c>
      <c r="M11" s="76">
        <v>30</v>
      </c>
      <c r="N11" s="73">
        <v>2.11181640625</v>
      </c>
      <c r="O11" s="75">
        <v>30</v>
      </c>
      <c r="P11" s="74">
        <v>0.89111328125</v>
      </c>
      <c r="Q11" s="73">
        <v>1</v>
      </c>
      <c r="R11" s="72" t="str">
        <f t="shared" si="0"/>
        <v>Countercurrent</v>
      </c>
      <c r="S11" s="71" t="s">
        <v>174</v>
      </c>
      <c r="T11" s="70">
        <f t="shared" si="1"/>
        <v>4.179709040372475</v>
      </c>
      <c r="U11" s="70">
        <f t="shared" si="2"/>
        <v>4.1801076947378961</v>
      </c>
      <c r="V11" s="18">
        <f t="shared" si="3"/>
        <v>47.439697265625</v>
      </c>
      <c r="W11" s="69">
        <f t="shared" si="4"/>
        <v>989.16111529194666</v>
      </c>
      <c r="X11" s="18">
        <f t="shared" si="5"/>
        <v>22.8756103515625</v>
      </c>
      <c r="Y11" s="69">
        <f t="shared" si="6"/>
        <v>997.57774506793601</v>
      </c>
      <c r="Z11" s="68">
        <f t="shared" si="7"/>
        <v>3.18212890625</v>
      </c>
      <c r="AA11" s="68">
        <f t="shared" si="8"/>
        <v>5.162841796875</v>
      </c>
      <c r="AB11" s="67">
        <f t="shared" si="9"/>
        <v>3.4815444528301341E-2</v>
      </c>
      <c r="AC11" s="67">
        <f t="shared" si="10"/>
        <v>1.4815912961824407E-2</v>
      </c>
      <c r="AD11" s="67"/>
      <c r="AE11" s="20">
        <f t="shared" si="11"/>
        <v>463.05839689306686</v>
      </c>
      <c r="AF11" s="20">
        <f t="shared" si="12"/>
        <v>319.74569524735995</v>
      </c>
      <c r="AG11" s="20">
        <f t="shared" si="13"/>
        <v>143.31270164570691</v>
      </c>
      <c r="AH11" s="20">
        <f t="shared" si="14"/>
        <v>69.050836221246243</v>
      </c>
      <c r="AI11" s="20">
        <f t="shared" si="15"/>
        <v>6.4900662251655623</v>
      </c>
      <c r="AJ11" s="20">
        <f t="shared" si="16"/>
        <v>20.280612244897959</v>
      </c>
      <c r="AK11" s="20">
        <f t="shared" si="17"/>
        <v>13.385339235031761</v>
      </c>
      <c r="AL11" s="18"/>
      <c r="AM11" s="20">
        <f t="shared" si="18"/>
        <v>24.550771657034637</v>
      </c>
      <c r="AN11" s="20">
        <f t="shared" si="31"/>
        <v>415.16970423384714</v>
      </c>
      <c r="AO11" s="66"/>
      <c r="AP11" s="18">
        <f t="shared" si="32"/>
        <v>1156.5195619733718</v>
      </c>
      <c r="AQ11" s="18">
        <f t="shared" si="20"/>
        <v>647.67245784492479</v>
      </c>
      <c r="AR11" s="17">
        <f t="shared" si="21"/>
        <v>5.5826533203125E-4</v>
      </c>
      <c r="AS11" s="17">
        <f t="shared" si="22"/>
        <v>15418.217755414595</v>
      </c>
      <c r="AT11" s="17">
        <f t="shared" si="23"/>
        <v>3.7343417968749999</v>
      </c>
      <c r="AU11" s="17">
        <f t="shared" si="24"/>
        <v>0.64041557617187506</v>
      </c>
      <c r="AV11" s="17">
        <f t="shared" si="33"/>
        <v>86.239653698415708</v>
      </c>
      <c r="AW11" s="17">
        <f t="shared" si="25"/>
        <v>145.51842823952754</v>
      </c>
      <c r="AX11" s="17">
        <f t="shared" si="26"/>
        <v>61.932111776289133</v>
      </c>
      <c r="AY11" s="17">
        <f t="shared" si="27"/>
        <v>1779.7166056220979</v>
      </c>
      <c r="AZ11" s="17">
        <f t="shared" si="28"/>
        <v>0.26018659118551368</v>
      </c>
      <c r="BA11" s="17">
        <f t="shared" si="29"/>
        <v>0.42559634903661198</v>
      </c>
      <c r="BB11" s="17">
        <f t="shared" si="34"/>
        <v>0.14846126220395209</v>
      </c>
      <c r="BC11" s="17">
        <f t="shared" si="30"/>
        <v>3034.5723907765864</v>
      </c>
      <c r="BD11" s="1">
        <f t="shared" si="35"/>
        <v>0.17966101694915254</v>
      </c>
      <c r="BE11" s="1">
        <f t="shared" si="36"/>
        <v>0.10932699209538016</v>
      </c>
      <c r="BF11" s="1">
        <f t="shared" si="37"/>
        <v>0.42559634903661198</v>
      </c>
      <c r="BG11" s="1">
        <f t="shared" si="38"/>
        <v>4.7236549334148163E-2</v>
      </c>
    </row>
    <row r="12" spans="1:59" ht="12.75" customHeight="1" x14ac:dyDescent="0.2">
      <c r="A12" s="5">
        <v>1E-3</v>
      </c>
      <c r="B12" s="64" t="s">
        <v>82</v>
      </c>
      <c r="C12" s="62">
        <v>48.933349609375</v>
      </c>
      <c r="D12" s="62">
        <v>45.00439453125</v>
      </c>
      <c r="E12" s="62">
        <v>20.164306640625</v>
      </c>
      <c r="F12" s="62">
        <v>23.18408203125</v>
      </c>
      <c r="G12" s="62">
        <v>132.967529296875</v>
      </c>
      <c r="H12" s="62">
        <v>132.967529296875</v>
      </c>
      <c r="I12" s="62">
        <v>132.967529296875</v>
      </c>
      <c r="J12" s="62">
        <v>132.967529296875</v>
      </c>
      <c r="K12" s="62">
        <v>132.967529296875</v>
      </c>
      <c r="L12" s="62">
        <v>132.967529296875</v>
      </c>
      <c r="M12" s="65">
        <v>30</v>
      </c>
      <c r="N12" s="62">
        <v>2.18505859375</v>
      </c>
      <c r="O12" s="64">
        <v>60</v>
      </c>
      <c r="P12" s="63">
        <v>2.294921875</v>
      </c>
      <c r="Q12" s="62">
        <v>1</v>
      </c>
      <c r="R12" s="61" t="str">
        <f t="shared" si="0"/>
        <v>Countercurrent</v>
      </c>
      <c r="S12" s="60" t="s">
        <v>174</v>
      </c>
      <c r="T12" s="59">
        <f t="shared" si="1"/>
        <v>4.1795901334318488</v>
      </c>
      <c r="U12" s="59">
        <f t="shared" si="2"/>
        <v>4.1806573319578035</v>
      </c>
      <c r="V12" s="53">
        <f t="shared" si="3"/>
        <v>46.9688720703125</v>
      </c>
      <c r="W12" s="58">
        <f t="shared" si="4"/>
        <v>989.36513881232327</v>
      </c>
      <c r="X12" s="53">
        <f t="shared" si="5"/>
        <v>21.6741943359375</v>
      </c>
      <c r="Y12" s="58">
        <f t="shared" si="6"/>
        <v>997.85329171058265</v>
      </c>
      <c r="Z12" s="57">
        <f t="shared" si="7"/>
        <v>3.928955078125</v>
      </c>
      <c r="AA12" s="57">
        <f t="shared" si="8"/>
        <v>3.019775390625</v>
      </c>
      <c r="AB12" s="56">
        <f t="shared" si="9"/>
        <v>3.6030346648642138E-2</v>
      </c>
      <c r="AC12" s="56">
        <f t="shared" si="10"/>
        <v>3.816658911978954E-2</v>
      </c>
      <c r="AD12" s="56"/>
      <c r="AE12" s="55">
        <f t="shared" si="11"/>
        <v>591.66952277218888</v>
      </c>
      <c r="AF12" s="55">
        <f t="shared" si="12"/>
        <v>481.83968153798651</v>
      </c>
      <c r="AG12" s="55">
        <f t="shared" si="13"/>
        <v>109.82984123420238</v>
      </c>
      <c r="AH12" s="55">
        <f t="shared" si="14"/>
        <v>81.43729953849757</v>
      </c>
      <c r="AI12" s="55">
        <f t="shared" si="15"/>
        <v>8.0291970802919703</v>
      </c>
      <c r="AJ12" s="55">
        <f t="shared" si="16"/>
        <v>13.025210084033615</v>
      </c>
      <c r="AK12" s="55">
        <f t="shared" si="17"/>
        <v>10.527203582162793</v>
      </c>
      <c r="AL12" s="53"/>
      <c r="AM12" s="55">
        <f t="shared" si="18"/>
        <v>25.291954240128884</v>
      </c>
      <c r="AN12" s="55">
        <f t="shared" si="31"/>
        <v>570.56287749363855</v>
      </c>
      <c r="AO12" s="54"/>
      <c r="AP12" s="53">
        <f t="shared" si="32"/>
        <v>1434.429399814288</v>
      </c>
      <c r="AQ12" s="53">
        <f t="shared" si="20"/>
        <v>947.40581417707517</v>
      </c>
      <c r="AR12" s="52">
        <f t="shared" si="21"/>
        <v>5.6033696289062491E-4</v>
      </c>
      <c r="AS12" s="52">
        <f t="shared" si="22"/>
        <v>15897.251985457646</v>
      </c>
      <c r="AT12" s="52">
        <f t="shared" si="23"/>
        <v>3.7682412109375001</v>
      </c>
      <c r="AU12" s="52">
        <f t="shared" si="24"/>
        <v>0.63975642089843754</v>
      </c>
      <c r="AV12" s="52">
        <f t="shared" si="33"/>
        <v>88.82512113377652</v>
      </c>
      <c r="AW12" s="52">
        <f t="shared" si="25"/>
        <v>159.56143063946905</v>
      </c>
      <c r="AX12" s="52">
        <f t="shared" si="26"/>
        <v>150.59208135679398</v>
      </c>
      <c r="AY12" s="52">
        <f t="shared" si="27"/>
        <v>4332.3900593071021</v>
      </c>
      <c r="AZ12" s="52">
        <f t="shared" si="28"/>
        <v>0.13656884875846501</v>
      </c>
      <c r="BA12" s="52">
        <f t="shared" si="29"/>
        <v>0.9437874851915723</v>
      </c>
      <c r="BB12" s="52">
        <f t="shared" si="34"/>
        <v>5.7485418359518904E-2</v>
      </c>
      <c r="BC12" s="52">
        <f t="shared" si="30"/>
        <v>3122.3319550777487</v>
      </c>
      <c r="BD12" s="1">
        <f t="shared" si="35"/>
        <v>0.10496613995485328</v>
      </c>
      <c r="BE12" s="1">
        <f t="shared" si="36"/>
        <v>6.1790115899107427E-2</v>
      </c>
      <c r="BF12" s="1">
        <f t="shared" si="37"/>
        <v>0.9437874851915723</v>
      </c>
      <c r="BG12" s="1">
        <f t="shared" si="38"/>
        <v>2.558518149064521E-2</v>
      </c>
    </row>
    <row r="13" spans="1:59" ht="12.75" customHeight="1" x14ac:dyDescent="0.2">
      <c r="A13" s="5">
        <v>1E-3</v>
      </c>
      <c r="B13" s="64" t="s">
        <v>83</v>
      </c>
      <c r="C13" s="62">
        <v>48.998291015625</v>
      </c>
      <c r="D13" s="62">
        <v>45.101806640625</v>
      </c>
      <c r="E13" s="62">
        <v>20.164306640625</v>
      </c>
      <c r="F13" s="62">
        <v>23.18408203125</v>
      </c>
      <c r="G13" s="62">
        <v>132.967529296875</v>
      </c>
      <c r="H13" s="62">
        <v>132.967529296875</v>
      </c>
      <c r="I13" s="62">
        <v>132.967529296875</v>
      </c>
      <c r="J13" s="62">
        <v>132.967529296875</v>
      </c>
      <c r="K13" s="62">
        <v>132.967529296875</v>
      </c>
      <c r="L13" s="62">
        <v>132.967529296875</v>
      </c>
      <c r="M13" s="65">
        <v>30</v>
      </c>
      <c r="N13" s="62">
        <v>2.11181640625</v>
      </c>
      <c r="O13" s="64">
        <v>60</v>
      </c>
      <c r="P13" s="63">
        <v>2.35595703125</v>
      </c>
      <c r="Q13" s="62">
        <v>1</v>
      </c>
      <c r="R13" s="61" t="str">
        <f t="shared" si="0"/>
        <v>Countercurrent</v>
      </c>
      <c r="S13" s="60" t="s">
        <v>174</v>
      </c>
      <c r="T13" s="59">
        <f t="shared" si="1"/>
        <v>4.1796103704161727</v>
      </c>
      <c r="U13" s="59">
        <f t="shared" si="2"/>
        <v>4.1806573319578035</v>
      </c>
      <c r="V13" s="53">
        <f t="shared" si="3"/>
        <v>47.050048828125</v>
      </c>
      <c r="W13" s="58">
        <f t="shared" si="4"/>
        <v>989.33006674601006</v>
      </c>
      <c r="X13" s="53">
        <f t="shared" si="5"/>
        <v>21.6741943359375</v>
      </c>
      <c r="Y13" s="58">
        <f t="shared" si="6"/>
        <v>997.85329171058265</v>
      </c>
      <c r="Z13" s="57">
        <f t="shared" si="7"/>
        <v>3.896484375</v>
      </c>
      <c r="AA13" s="57">
        <f t="shared" si="8"/>
        <v>3.019775390625</v>
      </c>
      <c r="AB13" s="56">
        <f t="shared" si="9"/>
        <v>3.4821391102510528E-2</v>
      </c>
      <c r="AC13" s="56">
        <f t="shared" si="10"/>
        <v>3.9181657979358415E-2</v>
      </c>
      <c r="AD13" s="56"/>
      <c r="AE13" s="55">
        <f t="shared" si="11"/>
        <v>567.09374119515439</v>
      </c>
      <c r="AF13" s="55">
        <f t="shared" si="12"/>
        <v>494.65456668527349</v>
      </c>
      <c r="AG13" s="55">
        <f t="shared" si="13"/>
        <v>72.4391745098809</v>
      </c>
      <c r="AH13" s="55">
        <f t="shared" si="14"/>
        <v>87.226243344316444</v>
      </c>
      <c r="AI13" s="55">
        <f t="shared" si="15"/>
        <v>7.9522862823061633</v>
      </c>
      <c r="AJ13" s="55">
        <f t="shared" si="16"/>
        <v>13.025210084033615</v>
      </c>
      <c r="AK13" s="55">
        <f t="shared" si="17"/>
        <v>10.488748183169889</v>
      </c>
      <c r="AL13" s="53"/>
      <c r="AM13" s="55">
        <f t="shared" si="18"/>
        <v>25.373330177140478</v>
      </c>
      <c r="AN13" s="55">
        <f t="shared" si="31"/>
        <v>567.80429644881895</v>
      </c>
      <c r="AO13" s="54"/>
      <c r="AP13" s="53">
        <f t="shared" si="32"/>
        <v>1370.4391266808886</v>
      </c>
      <c r="AQ13" s="53">
        <f t="shared" si="20"/>
        <v>969.48349964577073</v>
      </c>
      <c r="AR13" s="52">
        <f t="shared" si="21"/>
        <v>5.5997978515624997E-4</v>
      </c>
      <c r="AS13" s="52">
        <f t="shared" si="22"/>
        <v>15373.638227889382</v>
      </c>
      <c r="AT13" s="52">
        <f t="shared" si="23"/>
        <v>3.762396484375</v>
      </c>
      <c r="AU13" s="52">
        <f t="shared" si="24"/>
        <v>0.63987006835937499</v>
      </c>
      <c r="AV13" s="52">
        <f t="shared" si="33"/>
        <v>86.238309369165847</v>
      </c>
      <c r="AW13" s="52">
        <f t="shared" si="25"/>
        <v>163.80508570966774</v>
      </c>
      <c r="AX13" s="52">
        <f t="shared" si="26"/>
        <v>145.53984736437044</v>
      </c>
      <c r="AY13" s="52">
        <f t="shared" si="27"/>
        <v>4196.4936848441421</v>
      </c>
      <c r="AZ13" s="52">
        <f t="shared" si="28"/>
        <v>0.13513513513513514</v>
      </c>
      <c r="BA13" s="52">
        <f t="shared" si="29"/>
        <v>0.88849407046084605</v>
      </c>
      <c r="BB13" s="52">
        <f t="shared" si="34"/>
        <v>5.8106928737161091E-2</v>
      </c>
      <c r="BC13" s="52">
        <f t="shared" si="30"/>
        <v>3031.9402698486306</v>
      </c>
      <c r="BD13" s="1">
        <f t="shared" si="35"/>
        <v>0.10472972972972973</v>
      </c>
      <c r="BE13" s="1">
        <f t="shared" si="36"/>
        <v>6.362596659732625E-2</v>
      </c>
      <c r="BF13" s="1">
        <f t="shared" si="37"/>
        <v>0.88849407046084605</v>
      </c>
      <c r="BG13" s="1">
        <f t="shared" si="38"/>
        <v>2.6365692383666497E-2</v>
      </c>
    </row>
    <row r="14" spans="1:59" ht="12.75" customHeight="1" x14ac:dyDescent="0.2">
      <c r="A14" s="5">
        <v>1E-3</v>
      </c>
      <c r="B14" s="64" t="s">
        <v>84</v>
      </c>
      <c r="C14" s="62">
        <v>48.9658203125</v>
      </c>
      <c r="D14" s="62">
        <v>45.13427734375</v>
      </c>
      <c r="E14" s="62">
        <v>20.164306640625</v>
      </c>
      <c r="F14" s="62">
        <v>23.216552734375</v>
      </c>
      <c r="G14" s="62">
        <v>132.967529296875</v>
      </c>
      <c r="H14" s="62">
        <v>132.967529296875</v>
      </c>
      <c r="I14" s="62">
        <v>132.967529296875</v>
      </c>
      <c r="J14" s="62">
        <v>132.967529296875</v>
      </c>
      <c r="K14" s="62">
        <v>132.967529296875</v>
      </c>
      <c r="L14" s="62">
        <v>132.967529296875</v>
      </c>
      <c r="M14" s="65">
        <v>30</v>
      </c>
      <c r="N14" s="62">
        <v>2.1728515625</v>
      </c>
      <c r="O14" s="64">
        <v>60</v>
      </c>
      <c r="P14" s="63">
        <v>2.294921875</v>
      </c>
      <c r="Q14" s="62">
        <v>1</v>
      </c>
      <c r="R14" s="61" t="str">
        <f t="shared" si="0"/>
        <v>Countercurrent</v>
      </c>
      <c r="S14" s="60" t="s">
        <v>174</v>
      </c>
      <c r="T14" s="59">
        <f t="shared" si="1"/>
        <v>4.1796103704161727</v>
      </c>
      <c r="U14" s="59">
        <f t="shared" si="2"/>
        <v>4.1806493607706479</v>
      </c>
      <c r="V14" s="53">
        <f t="shared" si="3"/>
        <v>47.050048828125</v>
      </c>
      <c r="W14" s="58">
        <f t="shared" si="4"/>
        <v>989.33006674601006</v>
      </c>
      <c r="X14" s="53">
        <f t="shared" si="5"/>
        <v>21.6904296875</v>
      </c>
      <c r="Y14" s="58">
        <f t="shared" si="6"/>
        <v>997.84966798603205</v>
      </c>
      <c r="Z14" s="57">
        <f t="shared" si="7"/>
        <v>3.83154296875</v>
      </c>
      <c r="AA14" s="57">
        <f t="shared" si="8"/>
        <v>3.05224609375</v>
      </c>
      <c r="AB14" s="56">
        <f t="shared" si="9"/>
        <v>3.5827789689288292E-2</v>
      </c>
      <c r="AC14" s="56">
        <f t="shared" si="10"/>
        <v>3.8166450517043864E-2</v>
      </c>
      <c r="AD14" s="56"/>
      <c r="AE14" s="55">
        <f t="shared" si="11"/>
        <v>573.75900481999156</v>
      </c>
      <c r="AF14" s="55">
        <f t="shared" si="12"/>
        <v>487.01805616600672</v>
      </c>
      <c r="AG14" s="55">
        <f t="shared" si="13"/>
        <v>86.740948653984844</v>
      </c>
      <c r="AH14" s="55">
        <f t="shared" si="14"/>
        <v>84.881989140859133</v>
      </c>
      <c r="AI14" s="55">
        <f t="shared" si="15"/>
        <v>7.8249336870026527</v>
      </c>
      <c r="AJ14" s="55">
        <f t="shared" si="16"/>
        <v>13.146853146853147</v>
      </c>
      <c r="AK14" s="55">
        <f t="shared" si="17"/>
        <v>10.485893416927899</v>
      </c>
      <c r="AL14" s="53"/>
      <c r="AM14" s="55">
        <f t="shared" si="18"/>
        <v>25.357623376370057</v>
      </c>
      <c r="AN14" s="55">
        <f t="shared" si="31"/>
        <v>565.68374931430321</v>
      </c>
      <c r="AO14" s="54"/>
      <c r="AP14" s="53">
        <f t="shared" si="32"/>
        <v>1387.4052499995687</v>
      </c>
      <c r="AQ14" s="53">
        <f t="shared" si="20"/>
        <v>955.10778649895576</v>
      </c>
      <c r="AR14" s="52">
        <f t="shared" si="21"/>
        <v>5.5997978515624997E-4</v>
      </c>
      <c r="AS14" s="52">
        <f t="shared" si="22"/>
        <v>15817.963032163641</v>
      </c>
      <c r="AT14" s="52">
        <f t="shared" si="23"/>
        <v>3.762396484375</v>
      </c>
      <c r="AU14" s="52">
        <f t="shared" si="24"/>
        <v>0.63987006835937499</v>
      </c>
      <c r="AV14" s="52">
        <f t="shared" si="33"/>
        <v>88.395143367470624</v>
      </c>
      <c r="AW14" s="52">
        <f t="shared" si="25"/>
        <v>159.56054695696398</v>
      </c>
      <c r="AX14" s="52">
        <f t="shared" si="26"/>
        <v>149.74620133443898</v>
      </c>
      <c r="AY14" s="52">
        <f t="shared" si="27"/>
        <v>4312.917265045191</v>
      </c>
      <c r="AZ14" s="52">
        <f t="shared" si="28"/>
        <v>0.13303269447576099</v>
      </c>
      <c r="BA14" s="52">
        <f t="shared" si="29"/>
        <v>0.93849140147926369</v>
      </c>
      <c r="BB14" s="52">
        <f t="shared" si="34"/>
        <v>5.5886752258442265E-2</v>
      </c>
      <c r="BC14" s="52">
        <f t="shared" si="30"/>
        <v>3107.7695840208889</v>
      </c>
      <c r="BD14" s="1">
        <f t="shared" si="35"/>
        <v>0.10597519729425028</v>
      </c>
      <c r="BE14" s="1">
        <f t="shared" si="36"/>
        <v>6.1607774714119018E-2</v>
      </c>
      <c r="BF14" s="1">
        <f t="shared" si="37"/>
        <v>0.93849140147926369</v>
      </c>
      <c r="BG14" s="1">
        <f t="shared" si="38"/>
        <v>2.5511123401830888E-2</v>
      </c>
    </row>
    <row r="15" spans="1:59" ht="12.75" customHeight="1" x14ac:dyDescent="0.2">
      <c r="A15" s="5">
        <v>1E-3</v>
      </c>
      <c r="B15" s="64" t="s">
        <v>85</v>
      </c>
      <c r="C15" s="62">
        <v>48.933349609375</v>
      </c>
      <c r="D15" s="62">
        <v>45.101806640625</v>
      </c>
      <c r="E15" s="62">
        <v>20.164306640625</v>
      </c>
      <c r="F15" s="62">
        <v>23.151611328125</v>
      </c>
      <c r="G15" s="62">
        <v>132.967529296875</v>
      </c>
      <c r="H15" s="62">
        <v>132.967529296875</v>
      </c>
      <c r="I15" s="62">
        <v>132.967529296875</v>
      </c>
      <c r="J15" s="62">
        <v>132.967529296875</v>
      </c>
      <c r="K15" s="62">
        <v>132.967529296875</v>
      </c>
      <c r="L15" s="62">
        <v>132.967529296875</v>
      </c>
      <c r="M15" s="65">
        <v>30</v>
      </c>
      <c r="N15" s="62">
        <v>2.11181640625</v>
      </c>
      <c r="O15" s="64">
        <v>60</v>
      </c>
      <c r="P15" s="63">
        <v>2.3193359375</v>
      </c>
      <c r="Q15" s="62">
        <v>1</v>
      </c>
      <c r="R15" s="61" t="str">
        <f t="shared" si="0"/>
        <v>Countercurrent</v>
      </c>
      <c r="S15" s="60" t="s">
        <v>174</v>
      </c>
      <c r="T15" s="59">
        <f t="shared" si="1"/>
        <v>4.1796022623738889</v>
      </c>
      <c r="U15" s="59">
        <f t="shared" si="2"/>
        <v>4.1806653185077423</v>
      </c>
      <c r="V15" s="53">
        <f t="shared" si="3"/>
        <v>47.017578125</v>
      </c>
      <c r="W15" s="58">
        <f t="shared" si="4"/>
        <v>989.34410080176258</v>
      </c>
      <c r="X15" s="53">
        <f t="shared" si="5"/>
        <v>21.657958984375</v>
      </c>
      <c r="Y15" s="58">
        <f t="shared" si="6"/>
        <v>997.85691267513232</v>
      </c>
      <c r="Z15" s="57">
        <f t="shared" si="7"/>
        <v>3.83154296875</v>
      </c>
      <c r="AA15" s="57">
        <f t="shared" si="8"/>
        <v>2.9873046875</v>
      </c>
      <c r="AB15" s="56">
        <f t="shared" si="9"/>
        <v>3.4821885058330268E-2</v>
      </c>
      <c r="AC15" s="56">
        <f t="shared" si="10"/>
        <v>3.8572756634170563E-2</v>
      </c>
      <c r="AD15" s="56"/>
      <c r="AE15" s="55">
        <f t="shared" si="11"/>
        <v>557.64900743904673</v>
      </c>
      <c r="AF15" s="55">
        <f t="shared" si="12"/>
        <v>481.73211432346898</v>
      </c>
      <c r="AG15" s="55">
        <f t="shared" si="13"/>
        <v>75.91689311557775</v>
      </c>
      <c r="AH15" s="55">
        <f t="shared" si="14"/>
        <v>86.386258721373991</v>
      </c>
      <c r="AI15" s="55">
        <f t="shared" si="15"/>
        <v>7.8301260783012614</v>
      </c>
      <c r="AJ15" s="55">
        <f t="shared" si="16"/>
        <v>12.903225806451612</v>
      </c>
      <c r="AK15" s="55">
        <f t="shared" si="17"/>
        <v>10.366675942376437</v>
      </c>
      <c r="AL15" s="53"/>
      <c r="AM15" s="55">
        <f t="shared" si="18"/>
        <v>25.357276863914826</v>
      </c>
      <c r="AN15" s="55">
        <f t="shared" si="31"/>
        <v>555.53748842027881</v>
      </c>
      <c r="AO15" s="54"/>
      <c r="AP15" s="53">
        <f t="shared" si="32"/>
        <v>1348.4681314747068</v>
      </c>
      <c r="AQ15" s="53">
        <f t="shared" si="20"/>
        <v>944.75425503617964</v>
      </c>
      <c r="AR15" s="52">
        <f t="shared" si="21"/>
        <v>5.6012265625000001E-4</v>
      </c>
      <c r="AS15" s="52">
        <f t="shared" si="22"/>
        <v>15369.934883087639</v>
      </c>
      <c r="AT15" s="52">
        <f t="shared" si="23"/>
        <v>3.7647343750000002</v>
      </c>
      <c r="AU15" s="52">
        <f t="shared" si="24"/>
        <v>0.63982460937499996</v>
      </c>
      <c r="AV15" s="52">
        <f t="shared" si="33"/>
        <v>86.238153044406758</v>
      </c>
      <c r="AW15" s="52">
        <f t="shared" si="25"/>
        <v>161.25978589971632</v>
      </c>
      <c r="AX15" s="52">
        <f t="shared" si="26"/>
        <v>145.5416295699207</v>
      </c>
      <c r="AY15" s="52">
        <f t="shared" si="27"/>
        <v>4187.0933948389438</v>
      </c>
      <c r="AZ15" s="52">
        <f t="shared" si="28"/>
        <v>0.13318284424379234</v>
      </c>
      <c r="BA15" s="52">
        <f t="shared" si="29"/>
        <v>0.9025289768177519</v>
      </c>
      <c r="BB15" s="52">
        <f t="shared" si="34"/>
        <v>5.6806728798652319E-2</v>
      </c>
      <c r="BC15" s="52">
        <f t="shared" si="30"/>
        <v>3031.7193727944514</v>
      </c>
      <c r="BD15" s="1">
        <f t="shared" si="35"/>
        <v>0.10383747178329571</v>
      </c>
      <c r="BE15" s="1">
        <f t="shared" si="36"/>
        <v>6.2250632959083903E-2</v>
      </c>
      <c r="BF15" s="1">
        <f t="shared" si="37"/>
        <v>0.9025289768177519</v>
      </c>
      <c r="BG15" s="1">
        <f t="shared" si="38"/>
        <v>2.5789745220019412E-2</v>
      </c>
    </row>
    <row r="16" spans="1:59" ht="12.75" customHeight="1" x14ac:dyDescent="0.2">
      <c r="A16" s="5">
        <v>1E-3</v>
      </c>
      <c r="B16" s="64" t="s">
        <v>86</v>
      </c>
      <c r="C16" s="62">
        <v>48.8359375</v>
      </c>
      <c r="D16" s="62">
        <v>45.101806640625</v>
      </c>
      <c r="E16" s="62">
        <v>20.164306640625</v>
      </c>
      <c r="F16" s="62">
        <v>23.18408203125</v>
      </c>
      <c r="G16" s="62">
        <v>132.967529296875</v>
      </c>
      <c r="H16" s="62">
        <v>132.967529296875</v>
      </c>
      <c r="I16" s="62">
        <v>132.967529296875</v>
      </c>
      <c r="J16" s="62">
        <v>132.967529296875</v>
      </c>
      <c r="K16" s="62">
        <v>132.967529296875</v>
      </c>
      <c r="L16" s="62">
        <v>132.967529296875</v>
      </c>
      <c r="M16" s="65">
        <v>30</v>
      </c>
      <c r="N16" s="62">
        <v>2.20947265625</v>
      </c>
      <c r="O16" s="64">
        <v>60</v>
      </c>
      <c r="P16" s="63">
        <v>2.3193359375</v>
      </c>
      <c r="Q16" s="62">
        <v>1</v>
      </c>
      <c r="R16" s="61" t="str">
        <f t="shared" si="0"/>
        <v>Countercurrent</v>
      </c>
      <c r="S16" s="60" t="s">
        <v>174</v>
      </c>
      <c r="T16" s="59">
        <f t="shared" si="1"/>
        <v>4.1795901334318488</v>
      </c>
      <c r="U16" s="59">
        <f t="shared" si="2"/>
        <v>4.1806573319578035</v>
      </c>
      <c r="V16" s="53">
        <f t="shared" si="3"/>
        <v>46.9688720703125</v>
      </c>
      <c r="W16" s="58">
        <f t="shared" si="4"/>
        <v>989.36513881232327</v>
      </c>
      <c r="X16" s="53">
        <f t="shared" si="5"/>
        <v>21.6741943359375</v>
      </c>
      <c r="Y16" s="58">
        <f t="shared" si="6"/>
        <v>997.85329171058265</v>
      </c>
      <c r="Z16" s="57">
        <f t="shared" si="7"/>
        <v>3.734130859375</v>
      </c>
      <c r="AA16" s="57">
        <f t="shared" si="8"/>
        <v>3.019775390625</v>
      </c>
      <c r="AB16" s="56">
        <f t="shared" si="9"/>
        <v>3.6432920354213562E-2</v>
      </c>
      <c r="AC16" s="56">
        <f t="shared" si="10"/>
        <v>3.8572616663617082E-2</v>
      </c>
      <c r="AD16" s="56"/>
      <c r="AE16" s="55">
        <f t="shared" si="11"/>
        <v>568.61356094478549</v>
      </c>
      <c r="AF16" s="55">
        <f t="shared" si="12"/>
        <v>486.96563559690122</v>
      </c>
      <c r="AG16" s="55">
        <f t="shared" si="13"/>
        <v>81.647925347884268</v>
      </c>
      <c r="AH16" s="55">
        <f t="shared" si="14"/>
        <v>85.640876166895964</v>
      </c>
      <c r="AI16" s="55">
        <f t="shared" si="15"/>
        <v>7.6462765957446805</v>
      </c>
      <c r="AJ16" s="55">
        <f t="shared" si="16"/>
        <v>13.025210084033615</v>
      </c>
      <c r="AK16" s="55">
        <f t="shared" si="17"/>
        <v>10.335743339889149</v>
      </c>
      <c r="AL16" s="53"/>
      <c r="AM16" s="55">
        <f t="shared" si="18"/>
        <v>25.292996448962779</v>
      </c>
      <c r="AN16" s="55">
        <f t="shared" si="31"/>
        <v>565.00848305869374</v>
      </c>
      <c r="AO16" s="54"/>
      <c r="AP16" s="53">
        <f t="shared" si="32"/>
        <v>1378.4762759067928</v>
      </c>
      <c r="AQ16" s="53">
        <f t="shared" si="20"/>
        <v>957.44514586815512</v>
      </c>
      <c r="AR16" s="52">
        <f t="shared" si="21"/>
        <v>5.6033696289062491E-4</v>
      </c>
      <c r="AS16" s="52">
        <f t="shared" si="22"/>
        <v>16074.874912669464</v>
      </c>
      <c r="AT16" s="52">
        <f t="shared" si="23"/>
        <v>3.7682412109375001</v>
      </c>
      <c r="AU16" s="52">
        <f t="shared" si="24"/>
        <v>0.63975642089843754</v>
      </c>
      <c r="AV16" s="52">
        <f t="shared" si="33"/>
        <v>89.684946824334432</v>
      </c>
      <c r="AW16" s="52">
        <f t="shared" si="25"/>
        <v>161.25889266754851</v>
      </c>
      <c r="AX16" s="52">
        <f t="shared" si="26"/>
        <v>152.27467444457938</v>
      </c>
      <c r="AY16" s="52">
        <f t="shared" si="27"/>
        <v>4365.9632549064836</v>
      </c>
      <c r="AZ16" s="52">
        <f t="shared" si="28"/>
        <v>0.13023782559456398</v>
      </c>
      <c r="BA16" s="52">
        <f t="shared" si="29"/>
        <v>0.94428699047629572</v>
      </c>
      <c r="BB16" s="52">
        <f t="shared" si="34"/>
        <v>5.4400709723790498E-2</v>
      </c>
      <c r="BC16" s="52">
        <f t="shared" si="30"/>
        <v>3152.5560763078511</v>
      </c>
      <c r="BD16" s="1">
        <f t="shared" si="35"/>
        <v>0.10532276330690826</v>
      </c>
      <c r="BE16" s="1">
        <f t="shared" si="36"/>
        <v>6.051247588147933E-2</v>
      </c>
      <c r="BF16" s="1">
        <f t="shared" si="37"/>
        <v>0.94428699047629572</v>
      </c>
      <c r="BG16" s="1">
        <f t="shared" si="38"/>
        <v>2.5056651899666733E-2</v>
      </c>
    </row>
    <row r="17" spans="1:59" ht="12.75" customHeight="1" x14ac:dyDescent="0.2">
      <c r="A17" s="5">
        <v>1E-3</v>
      </c>
      <c r="B17" s="64" t="s">
        <v>87</v>
      </c>
      <c r="C17" s="62">
        <v>48.90087890625</v>
      </c>
      <c r="D17" s="62">
        <v>45.036865234375</v>
      </c>
      <c r="E17" s="62">
        <v>20.164306640625</v>
      </c>
      <c r="F17" s="62">
        <v>23.18408203125</v>
      </c>
      <c r="G17" s="62">
        <v>132.967529296875</v>
      </c>
      <c r="H17" s="62">
        <v>132.967529296875</v>
      </c>
      <c r="I17" s="62">
        <v>132.967529296875</v>
      </c>
      <c r="J17" s="62">
        <v>132.967529296875</v>
      </c>
      <c r="K17" s="62">
        <v>132.967529296875</v>
      </c>
      <c r="L17" s="62">
        <v>132.967529296875</v>
      </c>
      <c r="M17" s="65">
        <v>30</v>
      </c>
      <c r="N17" s="62">
        <v>2.08740234375</v>
      </c>
      <c r="O17" s="64">
        <v>60</v>
      </c>
      <c r="P17" s="63">
        <v>2.25830078125</v>
      </c>
      <c r="Q17" s="62">
        <v>1</v>
      </c>
      <c r="R17" s="61" t="str">
        <f t="shared" si="0"/>
        <v>Countercurrent</v>
      </c>
      <c r="S17" s="60" t="s">
        <v>174</v>
      </c>
      <c r="T17" s="59">
        <f t="shared" si="1"/>
        <v>4.1795901334318488</v>
      </c>
      <c r="U17" s="59">
        <f t="shared" si="2"/>
        <v>4.1806573319578035</v>
      </c>
      <c r="V17" s="53">
        <f t="shared" si="3"/>
        <v>46.9688720703125</v>
      </c>
      <c r="W17" s="58">
        <f t="shared" si="4"/>
        <v>989.36513881232327</v>
      </c>
      <c r="X17" s="53">
        <f t="shared" si="5"/>
        <v>21.6741943359375</v>
      </c>
      <c r="Y17" s="58">
        <f t="shared" si="6"/>
        <v>997.85329171058265</v>
      </c>
      <c r="Z17" s="57">
        <f t="shared" si="7"/>
        <v>3.864013671875</v>
      </c>
      <c r="AA17" s="57">
        <f t="shared" si="8"/>
        <v>3.019775390625</v>
      </c>
      <c r="AB17" s="56">
        <f t="shared" si="9"/>
        <v>3.4420051826356463E-2</v>
      </c>
      <c r="AC17" s="56">
        <f t="shared" si="10"/>
        <v>3.7557547804048221E-2</v>
      </c>
      <c r="AD17" s="56"/>
      <c r="AE17" s="55">
        <f t="shared" si="11"/>
        <v>555.8836104571435</v>
      </c>
      <c r="AF17" s="55">
        <f t="shared" si="12"/>
        <v>474.15075044961441</v>
      </c>
      <c r="AG17" s="55">
        <f t="shared" si="13"/>
        <v>81.732860007529098</v>
      </c>
      <c r="AH17" s="55">
        <f t="shared" si="14"/>
        <v>85.296767440163563</v>
      </c>
      <c r="AI17" s="55">
        <f t="shared" si="15"/>
        <v>7.9017264276228421</v>
      </c>
      <c r="AJ17" s="55">
        <f t="shared" si="16"/>
        <v>13.025210084033615</v>
      </c>
      <c r="AK17" s="55">
        <f t="shared" si="17"/>
        <v>10.463468255828229</v>
      </c>
      <c r="AL17" s="53"/>
      <c r="AM17" s="55">
        <f t="shared" si="18"/>
        <v>25.29232944322521</v>
      </c>
      <c r="AN17" s="55">
        <f t="shared" si="31"/>
        <v>551.06189714284631</v>
      </c>
      <c r="AO17" s="54"/>
      <c r="AP17" s="53">
        <f t="shared" si="32"/>
        <v>1347.6509000840026</v>
      </c>
      <c r="AQ17" s="53">
        <f t="shared" si="20"/>
        <v>932.27380612159072</v>
      </c>
      <c r="AR17" s="52">
        <f t="shared" si="21"/>
        <v>5.6033696289062491E-4</v>
      </c>
      <c r="AS17" s="52">
        <f t="shared" si="22"/>
        <v>15186.760276610379</v>
      </c>
      <c r="AT17" s="52">
        <f t="shared" si="23"/>
        <v>3.7682412109375001</v>
      </c>
      <c r="AU17" s="52">
        <f t="shared" si="24"/>
        <v>0.63975642089843754</v>
      </c>
      <c r="AV17" s="52">
        <f t="shared" si="33"/>
        <v>85.372865444586111</v>
      </c>
      <c r="AW17" s="52">
        <f t="shared" si="25"/>
        <v>157.01523759734988</v>
      </c>
      <c r="AX17" s="52">
        <f t="shared" si="26"/>
        <v>143.86170900565236</v>
      </c>
      <c r="AY17" s="52">
        <f t="shared" si="27"/>
        <v>4134.0923970972435</v>
      </c>
      <c r="AZ17" s="52">
        <f t="shared" si="28"/>
        <v>0.13446327683615819</v>
      </c>
      <c r="BA17" s="52">
        <f t="shared" si="29"/>
        <v>0.91622769361131395</v>
      </c>
      <c r="BB17" s="52">
        <f t="shared" si="34"/>
        <v>5.7110791697346612E-2</v>
      </c>
      <c r="BC17" s="52">
        <f t="shared" si="30"/>
        <v>3000.9801559710058</v>
      </c>
      <c r="BD17" s="1">
        <f t="shared" si="35"/>
        <v>0.10508474576271186</v>
      </c>
      <c r="BE17" s="1">
        <f t="shared" si="36"/>
        <v>6.2470186380257385E-2</v>
      </c>
      <c r="BF17" s="1">
        <f t="shared" si="37"/>
        <v>0.91622769361131395</v>
      </c>
      <c r="BG17" s="1">
        <f t="shared" si="38"/>
        <v>2.5874993648175748E-2</v>
      </c>
    </row>
    <row r="18" spans="1:59" ht="12.75" customHeight="1" x14ac:dyDescent="0.2">
      <c r="A18" s="5">
        <v>1E-3</v>
      </c>
      <c r="B18" s="64" t="s">
        <v>88</v>
      </c>
      <c r="C18" s="62">
        <v>48.868408203125</v>
      </c>
      <c r="D18" s="62">
        <v>45.036865234375</v>
      </c>
      <c r="E18" s="62">
        <v>20.164306640625</v>
      </c>
      <c r="F18" s="62">
        <v>23.18408203125</v>
      </c>
      <c r="G18" s="62">
        <v>132.967529296875</v>
      </c>
      <c r="H18" s="62">
        <v>132.967529296875</v>
      </c>
      <c r="I18" s="62">
        <v>132.967529296875</v>
      </c>
      <c r="J18" s="62">
        <v>132.967529296875</v>
      </c>
      <c r="K18" s="62">
        <v>132.967529296875</v>
      </c>
      <c r="L18" s="62">
        <v>132.967529296875</v>
      </c>
      <c r="M18" s="65">
        <v>30</v>
      </c>
      <c r="N18" s="62">
        <v>2.20947265625</v>
      </c>
      <c r="O18" s="64">
        <v>60</v>
      </c>
      <c r="P18" s="63">
        <v>2.30712890625</v>
      </c>
      <c r="Q18" s="62">
        <v>1</v>
      </c>
      <c r="R18" s="61" t="str">
        <f t="shared" si="0"/>
        <v>Countercurrent</v>
      </c>
      <c r="S18" s="60" t="s">
        <v>174</v>
      </c>
      <c r="T18" s="59">
        <f t="shared" si="1"/>
        <v>4.1795860992894234</v>
      </c>
      <c r="U18" s="59">
        <f t="shared" si="2"/>
        <v>4.1806573319578035</v>
      </c>
      <c r="V18" s="53">
        <f t="shared" si="3"/>
        <v>46.95263671875</v>
      </c>
      <c r="W18" s="58">
        <f t="shared" si="4"/>
        <v>989.37214799494848</v>
      </c>
      <c r="X18" s="53">
        <f t="shared" si="5"/>
        <v>21.6741943359375</v>
      </c>
      <c r="Y18" s="58">
        <f t="shared" si="6"/>
        <v>997.85329171058265</v>
      </c>
      <c r="Z18" s="57">
        <f t="shared" si="7"/>
        <v>3.83154296875</v>
      </c>
      <c r="AA18" s="57">
        <f t="shared" si="8"/>
        <v>3.019775390625</v>
      </c>
      <c r="AB18" s="56">
        <f t="shared" si="9"/>
        <v>3.6433178464169449E-2</v>
      </c>
      <c r="AC18" s="56">
        <f t="shared" si="10"/>
        <v>3.8369602891703311E-2</v>
      </c>
      <c r="AD18" s="56"/>
      <c r="AE18" s="55">
        <f t="shared" si="11"/>
        <v>583.45052848444141</v>
      </c>
      <c r="AF18" s="55">
        <f t="shared" si="12"/>
        <v>484.40265856744389</v>
      </c>
      <c r="AG18" s="55">
        <f t="shared" si="13"/>
        <v>99.047869916997513</v>
      </c>
      <c r="AH18" s="55">
        <f t="shared" si="14"/>
        <v>83.023775781936109</v>
      </c>
      <c r="AI18" s="55">
        <f t="shared" si="15"/>
        <v>7.8405315614617948</v>
      </c>
      <c r="AJ18" s="55">
        <f t="shared" si="16"/>
        <v>13.025210084033615</v>
      </c>
      <c r="AK18" s="55">
        <f t="shared" si="17"/>
        <v>10.432870822747706</v>
      </c>
      <c r="AL18" s="53"/>
      <c r="AM18" s="55">
        <f t="shared" si="18"/>
        <v>25.276269873193225</v>
      </c>
      <c r="AN18" s="55">
        <f t="shared" si="31"/>
        <v>569.54045783364086</v>
      </c>
      <c r="AO18" s="54"/>
      <c r="AP18" s="53">
        <f t="shared" si="32"/>
        <v>1415.3811913030033</v>
      </c>
      <c r="AQ18" s="53">
        <f t="shared" si="20"/>
        <v>953.03621569205882</v>
      </c>
      <c r="AR18" s="52">
        <f t="shared" si="21"/>
        <v>5.6040839843749999E-4</v>
      </c>
      <c r="AS18" s="52">
        <f t="shared" si="22"/>
        <v>16072.939708439601</v>
      </c>
      <c r="AT18" s="52">
        <f t="shared" si="23"/>
        <v>3.7694101562500002</v>
      </c>
      <c r="AU18" s="52">
        <f t="shared" si="24"/>
        <v>0.63973369140625003</v>
      </c>
      <c r="AV18" s="52">
        <f t="shared" si="33"/>
        <v>89.684857633553349</v>
      </c>
      <c r="AW18" s="52">
        <f t="shared" si="25"/>
        <v>160.41016165350879</v>
      </c>
      <c r="AX18" s="52">
        <f t="shared" si="26"/>
        <v>152.27560626177342</v>
      </c>
      <c r="AY18" s="52">
        <f t="shared" si="27"/>
        <v>4370.9344676292048</v>
      </c>
      <c r="AZ18" s="52">
        <f t="shared" si="28"/>
        <v>0.1334841628959276</v>
      </c>
      <c r="BA18" s="52">
        <f t="shared" si="29"/>
        <v>0.9492890269052513</v>
      </c>
      <c r="BB18" s="52">
        <f t="shared" si="34"/>
        <v>5.5853458513129089E-2</v>
      </c>
      <c r="BC18" s="52">
        <f t="shared" si="30"/>
        <v>3152.4409361075323</v>
      </c>
      <c r="BD18" s="1">
        <f t="shared" si="35"/>
        <v>0.10520361990950226</v>
      </c>
      <c r="BE18" s="1">
        <f t="shared" si="36"/>
        <v>6.0997477657084444E-2</v>
      </c>
      <c r="BF18" s="1">
        <f t="shared" si="37"/>
        <v>0.9492890269052513</v>
      </c>
      <c r="BG18" s="1">
        <f t="shared" si="38"/>
        <v>2.5256103482035681E-2</v>
      </c>
    </row>
    <row r="19" spans="1:59" ht="12.75" customHeight="1" x14ac:dyDescent="0.2">
      <c r="A19" s="5">
        <v>1E-3</v>
      </c>
      <c r="B19" s="64" t="s">
        <v>89</v>
      </c>
      <c r="C19" s="62">
        <v>48.933349609375</v>
      </c>
      <c r="D19" s="62">
        <v>45.0693359375</v>
      </c>
      <c r="E19" s="62">
        <v>20.164306640625</v>
      </c>
      <c r="F19" s="62">
        <v>23.151611328125</v>
      </c>
      <c r="G19" s="62">
        <v>132.967529296875</v>
      </c>
      <c r="H19" s="62">
        <v>132.967529296875</v>
      </c>
      <c r="I19" s="62">
        <v>132.967529296875</v>
      </c>
      <c r="J19" s="62">
        <v>132.967529296875</v>
      </c>
      <c r="K19" s="62">
        <v>132.967529296875</v>
      </c>
      <c r="L19" s="62">
        <v>132.967529296875</v>
      </c>
      <c r="M19" s="65">
        <v>30</v>
      </c>
      <c r="N19" s="62">
        <v>2.1484375</v>
      </c>
      <c r="O19" s="64">
        <v>60</v>
      </c>
      <c r="P19" s="63">
        <v>2.3193359375</v>
      </c>
      <c r="Q19" s="62">
        <v>1</v>
      </c>
      <c r="R19" s="61" t="str">
        <f t="shared" si="0"/>
        <v>Countercurrent</v>
      </c>
      <c r="S19" s="60" t="s">
        <v>174</v>
      </c>
      <c r="T19" s="59">
        <f t="shared" si="1"/>
        <v>4.1795982149755542</v>
      </c>
      <c r="U19" s="59">
        <f t="shared" si="2"/>
        <v>4.1806653185077423</v>
      </c>
      <c r="V19" s="53">
        <f t="shared" si="3"/>
        <v>47.0013427734375</v>
      </c>
      <c r="W19" s="58">
        <f t="shared" si="4"/>
        <v>989.35111521537749</v>
      </c>
      <c r="X19" s="53">
        <f t="shared" si="5"/>
        <v>21.657958984375</v>
      </c>
      <c r="Y19" s="58">
        <f t="shared" si="6"/>
        <v>997.85691267513232</v>
      </c>
      <c r="Z19" s="57">
        <f t="shared" si="7"/>
        <v>3.864013671875</v>
      </c>
      <c r="AA19" s="57">
        <f t="shared" si="8"/>
        <v>2.9873046875</v>
      </c>
      <c r="AB19" s="56">
        <f t="shared" si="9"/>
        <v>3.5425983943258958E-2</v>
      </c>
      <c r="AC19" s="56">
        <f t="shared" si="10"/>
        <v>3.8572756634170563E-2</v>
      </c>
      <c r="AD19" s="56"/>
      <c r="AE19" s="55">
        <f t="shared" si="11"/>
        <v>572.13051377861234</v>
      </c>
      <c r="AF19" s="55">
        <f t="shared" si="12"/>
        <v>481.73211432346898</v>
      </c>
      <c r="AG19" s="55">
        <f t="shared" si="13"/>
        <v>90.398399455143363</v>
      </c>
      <c r="AH19" s="55">
        <f t="shared" si="14"/>
        <v>84.199689183135703</v>
      </c>
      <c r="AI19" s="55">
        <f t="shared" si="15"/>
        <v>7.8964830789648301</v>
      </c>
      <c r="AJ19" s="55">
        <f t="shared" si="16"/>
        <v>12.903225806451612</v>
      </c>
      <c r="AK19" s="55">
        <f t="shared" si="17"/>
        <v>10.399854442708222</v>
      </c>
      <c r="AL19" s="53"/>
      <c r="AM19" s="55">
        <f t="shared" si="18"/>
        <v>25.340856239271528</v>
      </c>
      <c r="AN19" s="55">
        <f t="shared" si="31"/>
        <v>561.75532477210004</v>
      </c>
      <c r="AO19" s="54"/>
      <c r="AP19" s="53">
        <f t="shared" si="32"/>
        <v>1384.3827906201825</v>
      </c>
      <c r="AQ19" s="53">
        <f t="shared" si="20"/>
        <v>945.36644646553111</v>
      </c>
      <c r="AR19" s="52">
        <f t="shared" si="21"/>
        <v>5.6019409179687498E-4</v>
      </c>
      <c r="AS19" s="52">
        <f t="shared" si="22"/>
        <v>15634.582442816118</v>
      </c>
      <c r="AT19" s="52">
        <f t="shared" si="23"/>
        <v>3.7659033203124999</v>
      </c>
      <c r="AU19" s="52">
        <f t="shared" si="24"/>
        <v>0.63980187988281256</v>
      </c>
      <c r="AV19" s="52">
        <f t="shared" si="33"/>
        <v>87.533148880476617</v>
      </c>
      <c r="AW19" s="52">
        <f t="shared" si="25"/>
        <v>161.25978589971632</v>
      </c>
      <c r="AX19" s="52">
        <f t="shared" si="26"/>
        <v>148.06637925299779</v>
      </c>
      <c r="AY19" s="52">
        <f t="shared" si="27"/>
        <v>4259.7280269567273</v>
      </c>
      <c r="AZ19" s="52">
        <f t="shared" si="28"/>
        <v>0.13431151241534989</v>
      </c>
      <c r="BA19" s="52">
        <f t="shared" si="29"/>
        <v>0.91818538904099001</v>
      </c>
      <c r="BB19" s="52">
        <f t="shared" si="34"/>
        <v>5.6989744703685112E-2</v>
      </c>
      <c r="BC19" s="52">
        <f t="shared" si="30"/>
        <v>3077.1358904280796</v>
      </c>
      <c r="BD19" s="1">
        <f t="shared" si="35"/>
        <v>0.10383747178329571</v>
      </c>
      <c r="BE19" s="1">
        <f t="shared" si="36"/>
        <v>6.1874025942055384E-2</v>
      </c>
      <c r="BF19" s="1">
        <f t="shared" si="37"/>
        <v>0.91818538904099001</v>
      </c>
      <c r="BG19" s="1">
        <f t="shared" si="38"/>
        <v>2.5627638097324983E-2</v>
      </c>
    </row>
    <row r="20" spans="1:59" ht="12.75" customHeight="1" x14ac:dyDescent="0.2">
      <c r="A20" s="5">
        <v>1E-3</v>
      </c>
      <c r="B20" s="64" t="s">
        <v>90</v>
      </c>
      <c r="C20" s="62">
        <v>48.90087890625</v>
      </c>
      <c r="D20" s="62">
        <v>45.0693359375</v>
      </c>
      <c r="E20" s="62">
        <v>20.1318359375</v>
      </c>
      <c r="F20" s="62">
        <v>23.18408203125</v>
      </c>
      <c r="G20" s="62">
        <v>132.967529296875</v>
      </c>
      <c r="H20" s="62">
        <v>132.967529296875</v>
      </c>
      <c r="I20" s="62">
        <v>132.967529296875</v>
      </c>
      <c r="J20" s="62">
        <v>132.967529296875</v>
      </c>
      <c r="K20" s="62">
        <v>132.967529296875</v>
      </c>
      <c r="L20" s="62">
        <v>132.967529296875</v>
      </c>
      <c r="M20" s="65">
        <v>30</v>
      </c>
      <c r="N20" s="62">
        <v>2.1484375</v>
      </c>
      <c r="O20" s="64">
        <v>60</v>
      </c>
      <c r="P20" s="63">
        <v>2.392578125</v>
      </c>
      <c r="Q20" s="62">
        <v>1</v>
      </c>
      <c r="R20" s="61" t="str">
        <f t="shared" si="0"/>
        <v>Countercurrent</v>
      </c>
      <c r="S20" s="60" t="s">
        <v>174</v>
      </c>
      <c r="T20" s="59">
        <f t="shared" si="1"/>
        <v>4.179594171994383</v>
      </c>
      <c r="U20" s="59">
        <f t="shared" si="2"/>
        <v>4.1806653185077423</v>
      </c>
      <c r="V20" s="53">
        <f t="shared" si="3"/>
        <v>46.985107421875</v>
      </c>
      <c r="W20" s="58">
        <f t="shared" si="4"/>
        <v>989.35812788568194</v>
      </c>
      <c r="X20" s="53">
        <f t="shared" si="5"/>
        <v>21.657958984375</v>
      </c>
      <c r="Y20" s="58">
        <f t="shared" si="6"/>
        <v>997.85691267513232</v>
      </c>
      <c r="Z20" s="57">
        <f t="shared" si="7"/>
        <v>3.83154296875</v>
      </c>
      <c r="AA20" s="57">
        <f t="shared" si="8"/>
        <v>3.05224609375</v>
      </c>
      <c r="AB20" s="56">
        <f t="shared" si="9"/>
        <v>3.5426235047989918E-2</v>
      </c>
      <c r="AC20" s="56">
        <f t="shared" si="10"/>
        <v>3.9790843685775949E-2</v>
      </c>
      <c r="AD20" s="56"/>
      <c r="AE20" s="55">
        <f t="shared" si="11"/>
        <v>567.3261668214285</v>
      </c>
      <c r="AF20" s="55">
        <f t="shared" si="12"/>
        <v>507.74785322057159</v>
      </c>
      <c r="AG20" s="55">
        <f t="shared" si="13"/>
        <v>59.578313600856916</v>
      </c>
      <c r="AH20" s="55">
        <f t="shared" si="14"/>
        <v>89.498401962550446</v>
      </c>
      <c r="AI20" s="55">
        <f t="shared" si="15"/>
        <v>7.8353253652058434</v>
      </c>
      <c r="AJ20" s="55">
        <f t="shared" si="16"/>
        <v>13.165266106442578</v>
      </c>
      <c r="AK20" s="55">
        <f t="shared" si="17"/>
        <v>10.50029573582421</v>
      </c>
      <c r="AL20" s="53"/>
      <c r="AM20" s="55">
        <f t="shared" si="18"/>
        <v>25.325150114250029</v>
      </c>
      <c r="AN20" s="55">
        <f t="shared" si="31"/>
        <v>577.70761213780793</v>
      </c>
      <c r="AO20" s="54"/>
      <c r="AP20" s="53">
        <f t="shared" si="32"/>
        <v>1373.6090796028327</v>
      </c>
      <c r="AQ20" s="53">
        <f t="shared" si="20"/>
        <v>997.03852025255401</v>
      </c>
      <c r="AR20" s="52">
        <f t="shared" si="21"/>
        <v>5.6026552734374994E-4</v>
      </c>
      <c r="AS20" s="52">
        <f t="shared" si="22"/>
        <v>15632.699792488946</v>
      </c>
      <c r="AT20" s="52">
        <f t="shared" si="23"/>
        <v>3.767072265625</v>
      </c>
      <c r="AU20" s="52">
        <f t="shared" si="24"/>
        <v>0.63977915039062505</v>
      </c>
      <c r="AV20" s="52">
        <f t="shared" si="33"/>
        <v>87.533065254862592</v>
      </c>
      <c r="AW20" s="52">
        <f t="shared" si="25"/>
        <v>166.3522001912863</v>
      </c>
      <c r="AX20" s="52">
        <f t="shared" si="26"/>
        <v>148.06728554228184</v>
      </c>
      <c r="AY20" s="52">
        <f t="shared" si="27"/>
        <v>4259.7541000320816</v>
      </c>
      <c r="AZ20" s="52">
        <f t="shared" si="28"/>
        <v>0.13318284424379234</v>
      </c>
      <c r="BA20" s="52">
        <f t="shared" si="29"/>
        <v>0.89008312106495213</v>
      </c>
      <c r="BB20" s="52">
        <f t="shared" si="34"/>
        <v>5.7102146164394178E-2</v>
      </c>
      <c r="BC20" s="52">
        <f t="shared" si="30"/>
        <v>3077.0236329584136</v>
      </c>
      <c r="BD20" s="1">
        <f t="shared" si="35"/>
        <v>0.10609480812641084</v>
      </c>
      <c r="BE20" s="1">
        <f t="shared" si="36"/>
        <v>6.3630686556443203E-2</v>
      </c>
      <c r="BF20" s="1">
        <f t="shared" si="37"/>
        <v>0.89008312106495213</v>
      </c>
      <c r="BG20" s="1">
        <f t="shared" si="38"/>
        <v>2.6366818233466011E-2</v>
      </c>
    </row>
    <row r="21" spans="1:59" ht="12.75" customHeight="1" x14ac:dyDescent="0.2">
      <c r="A21" s="5">
        <v>1E-3</v>
      </c>
      <c r="B21" s="64" t="s">
        <v>91</v>
      </c>
      <c r="C21" s="62">
        <v>48.933349609375</v>
      </c>
      <c r="D21" s="62">
        <v>45.101806640625</v>
      </c>
      <c r="E21" s="62">
        <v>20.164306640625</v>
      </c>
      <c r="F21" s="62">
        <v>23.151611328125</v>
      </c>
      <c r="G21" s="62">
        <v>132.967529296875</v>
      </c>
      <c r="H21" s="62">
        <v>132.967529296875</v>
      </c>
      <c r="I21" s="62">
        <v>132.967529296875</v>
      </c>
      <c r="J21" s="62">
        <v>132.967529296875</v>
      </c>
      <c r="K21" s="62">
        <v>132.967529296875</v>
      </c>
      <c r="L21" s="62">
        <v>132.967529296875</v>
      </c>
      <c r="M21" s="65">
        <v>30</v>
      </c>
      <c r="N21" s="62">
        <v>2.16064453125</v>
      </c>
      <c r="O21" s="64">
        <v>60</v>
      </c>
      <c r="P21" s="63">
        <v>2.25830078125</v>
      </c>
      <c r="Q21" s="62">
        <v>1</v>
      </c>
      <c r="R21" s="61" t="str">
        <f t="shared" si="0"/>
        <v>Countercurrent</v>
      </c>
      <c r="S21" s="60" t="s">
        <v>174</v>
      </c>
      <c r="T21" s="59">
        <f t="shared" si="1"/>
        <v>4.1796022623738889</v>
      </c>
      <c r="U21" s="59">
        <f t="shared" si="2"/>
        <v>4.1806653185077423</v>
      </c>
      <c r="V21" s="53">
        <f t="shared" si="3"/>
        <v>47.017578125</v>
      </c>
      <c r="W21" s="58">
        <f t="shared" si="4"/>
        <v>989.34410080176258</v>
      </c>
      <c r="X21" s="53">
        <f t="shared" si="5"/>
        <v>21.657958984375</v>
      </c>
      <c r="Y21" s="58">
        <f t="shared" si="6"/>
        <v>997.85691267513232</v>
      </c>
      <c r="Z21" s="57">
        <f t="shared" si="7"/>
        <v>3.83154296875</v>
      </c>
      <c r="AA21" s="57">
        <f t="shared" si="8"/>
        <v>2.9873046875</v>
      </c>
      <c r="AB21" s="56">
        <f t="shared" si="9"/>
        <v>3.5627015348696285E-2</v>
      </c>
      <c r="AC21" s="56">
        <f t="shared" si="10"/>
        <v>3.7557684091166076E-2</v>
      </c>
      <c r="AD21" s="56"/>
      <c r="AE21" s="55">
        <f t="shared" si="11"/>
        <v>570.54262610815772</v>
      </c>
      <c r="AF21" s="55">
        <f t="shared" si="12"/>
        <v>469.05495342021976</v>
      </c>
      <c r="AG21" s="55">
        <f t="shared" si="13"/>
        <v>101.48767268793796</v>
      </c>
      <c r="AH21" s="55">
        <f t="shared" si="14"/>
        <v>82.212078809918935</v>
      </c>
      <c r="AI21" s="55">
        <f t="shared" si="15"/>
        <v>7.8301260783012614</v>
      </c>
      <c r="AJ21" s="55">
        <f t="shared" si="16"/>
        <v>12.903225806451612</v>
      </c>
      <c r="AK21" s="55">
        <f t="shared" si="17"/>
        <v>10.366675942376437</v>
      </c>
      <c r="AL21" s="53"/>
      <c r="AM21" s="55">
        <f t="shared" si="18"/>
        <v>25.357276863914826</v>
      </c>
      <c r="AN21" s="55">
        <f t="shared" si="31"/>
        <v>551.90467944393379</v>
      </c>
      <c r="AO21" s="54"/>
      <c r="AP21" s="53">
        <f t="shared" si="32"/>
        <v>1379.6465853816364</v>
      </c>
      <c r="AQ21" s="53">
        <f t="shared" si="20"/>
        <v>919.89230095628011</v>
      </c>
      <c r="AR21" s="52">
        <f t="shared" si="21"/>
        <v>5.6012265625000001E-4</v>
      </c>
      <c r="AS21" s="52">
        <f t="shared" si="22"/>
        <v>15725.309100037641</v>
      </c>
      <c r="AT21" s="52">
        <f t="shared" si="23"/>
        <v>3.7647343750000002</v>
      </c>
      <c r="AU21" s="52">
        <f t="shared" si="24"/>
        <v>0.63982460937499996</v>
      </c>
      <c r="AV21" s="52">
        <f t="shared" si="33"/>
        <v>87.96426884599127</v>
      </c>
      <c r="AW21" s="52">
        <f t="shared" si="25"/>
        <v>157.01610732340799</v>
      </c>
      <c r="AX21" s="52">
        <f t="shared" si="26"/>
        <v>148.90675395304027</v>
      </c>
      <c r="AY21" s="52">
        <f t="shared" si="27"/>
        <v>4283.9048028120997</v>
      </c>
      <c r="AZ21" s="52">
        <f t="shared" si="28"/>
        <v>0.13318284424379231</v>
      </c>
      <c r="BA21" s="52">
        <f t="shared" si="29"/>
        <v>0.94835336636091228</v>
      </c>
      <c r="BB21" s="52">
        <f t="shared" si="34"/>
        <v>5.5729300551332552E-2</v>
      </c>
      <c r="BC21" s="52">
        <f t="shared" si="30"/>
        <v>3092.4013161177936</v>
      </c>
      <c r="BD21" s="1">
        <f t="shared" si="35"/>
        <v>0.10383747178329571</v>
      </c>
      <c r="BE21" s="1">
        <f t="shared" si="36"/>
        <v>6.0445964774687402E-2</v>
      </c>
      <c r="BF21" s="1">
        <f t="shared" si="37"/>
        <v>0.94835336636091228</v>
      </c>
      <c r="BG21" s="1">
        <f t="shared" si="38"/>
        <v>2.5028217119320795E-2</v>
      </c>
    </row>
    <row r="22" spans="1:59" ht="12.75" customHeight="1" x14ac:dyDescent="0.2">
      <c r="A22" s="5">
        <v>1E-3</v>
      </c>
      <c r="B22" s="50" t="s">
        <v>92</v>
      </c>
      <c r="C22" s="48">
        <v>44.419921875</v>
      </c>
      <c r="D22" s="48">
        <v>42.504150390625</v>
      </c>
      <c r="E22" s="48">
        <v>20.1318359375</v>
      </c>
      <c r="F22" s="48">
        <v>23.801025390625</v>
      </c>
      <c r="G22" s="48">
        <v>132.967529296875</v>
      </c>
      <c r="H22" s="48">
        <v>132.967529296875</v>
      </c>
      <c r="I22" s="48">
        <v>132.967529296875</v>
      </c>
      <c r="J22" s="48">
        <v>132.967529296875</v>
      </c>
      <c r="K22" s="48">
        <v>132.967529296875</v>
      </c>
      <c r="L22" s="48">
        <v>132.967529296875</v>
      </c>
      <c r="M22" s="51">
        <v>60</v>
      </c>
      <c r="N22" s="48">
        <v>5.43212890625</v>
      </c>
      <c r="O22" s="50">
        <v>60</v>
      </c>
      <c r="P22" s="49">
        <v>2.4169921875</v>
      </c>
      <c r="Q22" s="48">
        <v>1</v>
      </c>
      <c r="R22" s="47" t="str">
        <f t="shared" si="0"/>
        <v>Countercurrent</v>
      </c>
      <c r="S22" s="46" t="s">
        <v>174</v>
      </c>
      <c r="T22" s="45">
        <f t="shared" si="1"/>
        <v>4.1788240410670436</v>
      </c>
      <c r="U22" s="45">
        <f t="shared" si="2"/>
        <v>4.1805161825897681</v>
      </c>
      <c r="V22" s="39">
        <f t="shared" si="3"/>
        <v>43.4620361328125</v>
      </c>
      <c r="W22" s="44">
        <f t="shared" si="4"/>
        <v>990.83799814787722</v>
      </c>
      <c r="X22" s="39">
        <f t="shared" si="5"/>
        <v>21.9664306640625</v>
      </c>
      <c r="Y22" s="44">
        <f t="shared" si="6"/>
        <v>997.78764330835736</v>
      </c>
      <c r="Z22" s="43">
        <f t="shared" si="7"/>
        <v>1.915771484375</v>
      </c>
      <c r="AA22" s="43">
        <f t="shared" si="8"/>
        <v>3.669189453125</v>
      </c>
      <c r="AB22" s="42">
        <f t="shared" si="9"/>
        <v>8.9705995519166137E-2</v>
      </c>
      <c r="AC22" s="42">
        <f t="shared" si="10"/>
        <v>4.0194082311005602E-2</v>
      </c>
      <c r="AD22" s="42"/>
      <c r="AE22" s="41">
        <f t="shared" si="11"/>
        <v>718.15677082742661</v>
      </c>
      <c r="AF22" s="41">
        <f t="shared" si="12"/>
        <v>616.54128455014177</v>
      </c>
      <c r="AG22" s="41">
        <f t="shared" si="13"/>
        <v>101.61548627728484</v>
      </c>
      <c r="AH22" s="41">
        <f t="shared" si="14"/>
        <v>85.850514761532054</v>
      </c>
      <c r="AI22" s="41">
        <f t="shared" si="15"/>
        <v>4.3128654970760234</v>
      </c>
      <c r="AJ22" s="41">
        <f t="shared" si="16"/>
        <v>15.416098226466577</v>
      </c>
      <c r="AK22" s="41">
        <f t="shared" si="17"/>
        <v>9.8644818617712993</v>
      </c>
      <c r="AL22" s="39"/>
      <c r="AM22" s="41">
        <f t="shared" si="18"/>
        <v>21.483681172685571</v>
      </c>
      <c r="AN22" s="41">
        <f t="shared" si="31"/>
        <v>841.34646951279626</v>
      </c>
      <c r="AO22" s="40" t="s">
        <v>178</v>
      </c>
      <c r="AP22" s="39">
        <f t="shared" si="32"/>
        <v>2049.7123927727425</v>
      </c>
      <c r="AQ22" s="39">
        <f t="shared" si="20"/>
        <v>1427.1490547528381</v>
      </c>
      <c r="AR22" s="38">
        <f t="shared" ref="AR22:AR41" si="39">0.000653+((V22-40)*(0.000596-0.000653))/5</f>
        <v>6.1353278808593751E-4</v>
      </c>
      <c r="AS22" s="38">
        <f t="shared" si="22"/>
        <v>36148.192199831028</v>
      </c>
      <c r="AT22" s="38">
        <f t="shared" ref="AT22:AT41" si="40">4.32+((V22-40)*(3.91-4.32))/5</f>
        <v>4.0361130371093754</v>
      </c>
      <c r="AU22" s="38">
        <f t="shared" ref="AU22:AU41" si="41">0.631+((V22-40)*(0.637-0.631))/5</f>
        <v>0.63515444335937499</v>
      </c>
      <c r="AV22" s="38">
        <f t="shared" si="33"/>
        <v>185.26449337375354</v>
      </c>
      <c r="AW22" s="38">
        <f t="shared" si="25"/>
        <v>374.86557070334391</v>
      </c>
      <c r="AX22" s="38">
        <f t="shared" si="26"/>
        <v>168.03201154550408</v>
      </c>
      <c r="AY22" s="38">
        <f t="shared" si="27"/>
        <v>4081.1759366681954</v>
      </c>
      <c r="AZ22" s="38">
        <f t="shared" si="28"/>
        <v>0.1759680988939962</v>
      </c>
      <c r="BA22" s="38">
        <f t="shared" si="29"/>
        <v>0.44824605052481331</v>
      </c>
      <c r="BB22" s="38">
        <f t="shared" si="34"/>
        <v>9.2388753356190331E-2</v>
      </c>
      <c r="BC22" s="38">
        <f t="shared" si="30"/>
        <v>6465.4706683001668</v>
      </c>
      <c r="BD22" s="1">
        <f t="shared" si="35"/>
        <v>0.15106951871657753</v>
      </c>
      <c r="BE22" s="1">
        <f t="shared" si="36"/>
        <v>8.1658328152232007E-2</v>
      </c>
      <c r="BF22" s="1">
        <f t="shared" si="37"/>
        <v>0.44824605052481331</v>
      </c>
      <c r="BG22" s="1">
        <f t="shared" si="38"/>
        <v>3.515056034555044E-2</v>
      </c>
    </row>
    <row r="23" spans="1:59" ht="12.75" customHeight="1" x14ac:dyDescent="0.2">
      <c r="A23" s="5">
        <v>1E-3</v>
      </c>
      <c r="B23" s="50" t="s">
        <v>93</v>
      </c>
      <c r="C23" s="48">
        <v>44.192626953125</v>
      </c>
      <c r="D23" s="48">
        <v>42.374267578125</v>
      </c>
      <c r="E23" s="48">
        <v>20.099365234375</v>
      </c>
      <c r="F23" s="48">
        <v>23.83349609375</v>
      </c>
      <c r="G23" s="48">
        <v>132.967529296875</v>
      </c>
      <c r="H23" s="48">
        <v>132.967529296875</v>
      </c>
      <c r="I23" s="48">
        <v>132.967529296875</v>
      </c>
      <c r="J23" s="48">
        <v>132.967529296875</v>
      </c>
      <c r="K23" s="48">
        <v>132.967529296875</v>
      </c>
      <c r="L23" s="48">
        <v>132.967529296875</v>
      </c>
      <c r="M23" s="51">
        <v>60</v>
      </c>
      <c r="N23" s="48">
        <v>5.224609375</v>
      </c>
      <c r="O23" s="50">
        <v>60</v>
      </c>
      <c r="P23" s="49">
        <v>2.3193359375</v>
      </c>
      <c r="Q23" s="48">
        <v>1</v>
      </c>
      <c r="R23" s="47" t="str">
        <f t="shared" si="0"/>
        <v>Countercurrent</v>
      </c>
      <c r="S23" s="46" t="s">
        <v>174</v>
      </c>
      <c r="T23" s="45">
        <f t="shared" si="1"/>
        <v>4.1787908477252689</v>
      </c>
      <c r="U23" s="45">
        <f t="shared" si="2"/>
        <v>4.1805161825897681</v>
      </c>
      <c r="V23" s="39">
        <f t="shared" si="3"/>
        <v>43.283447265625</v>
      </c>
      <c r="W23" s="44">
        <f t="shared" si="4"/>
        <v>990.9107564725108</v>
      </c>
      <c r="X23" s="39">
        <f t="shared" si="5"/>
        <v>21.9664306640625</v>
      </c>
      <c r="Y23" s="44">
        <f t="shared" si="6"/>
        <v>997.78764330835736</v>
      </c>
      <c r="Z23" s="43">
        <f t="shared" si="7"/>
        <v>1.818359375</v>
      </c>
      <c r="AA23" s="43">
        <f t="shared" si="8"/>
        <v>3.734130859375</v>
      </c>
      <c r="AB23" s="42">
        <f t="shared" si="9"/>
        <v>8.6285360467577024E-2</v>
      </c>
      <c r="AC23" s="42">
        <f t="shared" si="10"/>
        <v>3.8570078985308412E-2</v>
      </c>
      <c r="AD23" s="42"/>
      <c r="AE23" s="41">
        <f t="shared" si="11"/>
        <v>655.64306614488305</v>
      </c>
      <c r="AF23" s="41">
        <f t="shared" si="12"/>
        <v>602.1018623143201</v>
      </c>
      <c r="AG23" s="41">
        <f t="shared" si="13"/>
        <v>53.541203830562949</v>
      </c>
      <c r="AH23" s="41">
        <f t="shared" si="14"/>
        <v>91.833787834380686</v>
      </c>
      <c r="AI23" s="41">
        <f t="shared" si="15"/>
        <v>4.1146216017634094</v>
      </c>
      <c r="AJ23" s="41">
        <f t="shared" si="16"/>
        <v>15.667574931880109</v>
      </c>
      <c r="AK23" s="41">
        <f t="shared" si="17"/>
        <v>9.8910982668217589</v>
      </c>
      <c r="AL23" s="39"/>
      <c r="AM23" s="41">
        <f t="shared" si="18"/>
        <v>21.302661252105267</v>
      </c>
      <c r="AN23" s="41">
        <f t="shared" si="31"/>
        <v>805.57854562325167</v>
      </c>
      <c r="AO23" s="40" t="s">
        <v>179</v>
      </c>
      <c r="AP23" s="39">
        <f t="shared" si="32"/>
        <v>1887.1915241663535</v>
      </c>
      <c r="AQ23" s="39">
        <f t="shared" si="20"/>
        <v>1405.5683812136097</v>
      </c>
      <c r="AR23" s="38">
        <f t="shared" si="39"/>
        <v>6.1556870117187494E-4</v>
      </c>
      <c r="AS23" s="38">
        <f t="shared" si="22"/>
        <v>34654.806440767949</v>
      </c>
      <c r="AT23" s="38">
        <f t="shared" si="40"/>
        <v>4.0507573242187505</v>
      </c>
      <c r="AU23" s="38">
        <f t="shared" si="41"/>
        <v>0.63494013671875005</v>
      </c>
      <c r="AV23" s="38">
        <f t="shared" si="33"/>
        <v>178.82587659519072</v>
      </c>
      <c r="AW23" s="38">
        <f t="shared" si="25"/>
        <v>360.56847461458659</v>
      </c>
      <c r="AX23" s="38">
        <f t="shared" si="26"/>
        <v>161.24283936184736</v>
      </c>
      <c r="AY23" s="38">
        <f t="shared" si="27"/>
        <v>3884.8659290193527</v>
      </c>
      <c r="AZ23" s="38">
        <f t="shared" si="28"/>
        <v>0.16876851817390398</v>
      </c>
      <c r="BA23" s="38">
        <f t="shared" si="29"/>
        <v>0.44719061901959295</v>
      </c>
      <c r="BB23" s="38">
        <f t="shared" si="34"/>
        <v>8.8074919253640374E-2</v>
      </c>
      <c r="BC23" s="38">
        <f t="shared" si="30"/>
        <v>6238.6662930879511</v>
      </c>
      <c r="BD23" s="1">
        <f t="shared" si="35"/>
        <v>0.15498652291105122</v>
      </c>
      <c r="BE23" s="1">
        <f t="shared" si="36"/>
        <v>8.1478887046509796E-2</v>
      </c>
      <c r="BF23" s="1">
        <f t="shared" si="37"/>
        <v>0.44719061901959295</v>
      </c>
      <c r="BG23" s="1">
        <f t="shared" si="38"/>
        <v>3.5080135919245768E-2</v>
      </c>
    </row>
    <row r="24" spans="1:59" ht="12.75" customHeight="1" x14ac:dyDescent="0.2">
      <c r="A24" s="5">
        <v>1E-3</v>
      </c>
      <c r="B24" s="50" t="s">
        <v>94</v>
      </c>
      <c r="C24" s="48">
        <v>44.22509765625</v>
      </c>
      <c r="D24" s="48">
        <v>42.27685546875</v>
      </c>
      <c r="E24" s="48">
        <v>20.1318359375</v>
      </c>
      <c r="F24" s="48">
        <v>23.7685546875</v>
      </c>
      <c r="G24" s="48">
        <v>132.967529296875</v>
      </c>
      <c r="H24" s="48">
        <v>132.967529296875</v>
      </c>
      <c r="I24" s="48">
        <v>132.967529296875</v>
      </c>
      <c r="J24" s="48">
        <v>132.967529296875</v>
      </c>
      <c r="K24" s="48">
        <v>132.967529296875</v>
      </c>
      <c r="L24" s="48">
        <v>132.967529296875</v>
      </c>
      <c r="M24" s="51">
        <v>60</v>
      </c>
      <c r="N24" s="48">
        <v>5.3466796875</v>
      </c>
      <c r="O24" s="50">
        <v>60</v>
      </c>
      <c r="P24" s="49">
        <v>2.34375</v>
      </c>
      <c r="Q24" s="48">
        <v>1</v>
      </c>
      <c r="R24" s="47" t="str">
        <f t="shared" si="0"/>
        <v>Countercurrent</v>
      </c>
      <c r="S24" s="46" t="s">
        <v>174</v>
      </c>
      <c r="T24" s="45">
        <f t="shared" si="1"/>
        <v>4.178784875002874</v>
      </c>
      <c r="U24" s="45">
        <f t="shared" si="2"/>
        <v>4.1805238955259432</v>
      </c>
      <c r="V24" s="39">
        <f t="shared" si="3"/>
        <v>43.2509765625</v>
      </c>
      <c r="W24" s="44">
        <f t="shared" si="4"/>
        <v>990.92396143287112</v>
      </c>
      <c r="X24" s="39">
        <f t="shared" si="5"/>
        <v>21.9501953125</v>
      </c>
      <c r="Y24" s="44">
        <f t="shared" si="6"/>
        <v>997.79131380776528</v>
      </c>
      <c r="Z24" s="43">
        <f t="shared" si="7"/>
        <v>1.9482421875</v>
      </c>
      <c r="AA24" s="43">
        <f t="shared" si="8"/>
        <v>3.63671875</v>
      </c>
      <c r="AB24" s="42">
        <f t="shared" si="9"/>
        <v>8.8302550274169431E-2</v>
      </c>
      <c r="AC24" s="42">
        <f t="shared" si="10"/>
        <v>3.8976223195615833E-2</v>
      </c>
      <c r="AD24" s="42"/>
      <c r="AE24" s="41">
        <f t="shared" si="11"/>
        <v>718.89622676973704</v>
      </c>
      <c r="AF24" s="41">
        <f t="shared" si="12"/>
        <v>592.57070777026343</v>
      </c>
      <c r="AG24" s="41">
        <f t="shared" si="13"/>
        <v>126.32551899947362</v>
      </c>
      <c r="AH24" s="41">
        <f t="shared" si="14"/>
        <v>82.427850599925918</v>
      </c>
      <c r="AI24" s="41">
        <f t="shared" si="15"/>
        <v>4.4052863436123353</v>
      </c>
      <c r="AJ24" s="41">
        <f t="shared" si="16"/>
        <v>15.300546448087433</v>
      </c>
      <c r="AK24" s="41">
        <f t="shared" si="17"/>
        <v>9.8529163958498849</v>
      </c>
      <c r="AL24" s="39"/>
      <c r="AM24" s="41">
        <f t="shared" si="18"/>
        <v>21.289623019427008</v>
      </c>
      <c r="AN24" s="41">
        <f t="shared" si="31"/>
        <v>829.58222103415244</v>
      </c>
      <c r="AO24" s="40" t="s">
        <v>180</v>
      </c>
      <c r="AP24" s="39">
        <f t="shared" si="32"/>
        <v>2070.525573659133</v>
      </c>
      <c r="AQ24" s="39">
        <f t="shared" si="20"/>
        <v>1384.1656836879365</v>
      </c>
      <c r="AR24" s="38">
        <f t="shared" si="39"/>
        <v>6.1593886718749999E-4</v>
      </c>
      <c r="AS24" s="38">
        <f t="shared" si="22"/>
        <v>35443.657098040065</v>
      </c>
      <c r="AT24" s="38">
        <f t="shared" si="40"/>
        <v>4.0534199218750002</v>
      </c>
      <c r="AU24" s="38">
        <f t="shared" si="41"/>
        <v>0.63490117187500006</v>
      </c>
      <c r="AV24" s="38">
        <f t="shared" si="33"/>
        <v>182.38976082213435</v>
      </c>
      <c r="AW24" s="38">
        <f t="shared" si="25"/>
        <v>368.99736150988008</v>
      </c>
      <c r="AX24" s="38">
        <f t="shared" si="26"/>
        <v>162.94103242662453</v>
      </c>
      <c r="AY24" s="38">
        <f t="shared" si="27"/>
        <v>3925.7809389779954</v>
      </c>
      <c r="AZ24" s="38">
        <f t="shared" si="28"/>
        <v>0.18312183943633095</v>
      </c>
      <c r="BA24" s="38">
        <f t="shared" si="29"/>
        <v>0.44157777107103163</v>
      </c>
      <c r="BB24" s="38">
        <f t="shared" si="34"/>
        <v>9.6925992467115946E-2</v>
      </c>
      <c r="BC24" s="38">
        <f t="shared" si="30"/>
        <v>6362.6084002183552</v>
      </c>
      <c r="BD24" s="1">
        <f t="shared" si="35"/>
        <v>0.15094339622641509</v>
      </c>
      <c r="BE24" s="1">
        <f t="shared" si="36"/>
        <v>8.3032211676038775E-2</v>
      </c>
      <c r="BF24" s="1">
        <f t="shared" si="37"/>
        <v>0.44157777107103163</v>
      </c>
      <c r="BG24" s="1">
        <f t="shared" si="38"/>
        <v>3.5784789334574227E-2</v>
      </c>
    </row>
    <row r="25" spans="1:59" ht="12.75" customHeight="1" x14ac:dyDescent="0.2">
      <c r="A25" s="5">
        <v>1E-3</v>
      </c>
      <c r="B25" s="50" t="s">
        <v>95</v>
      </c>
      <c r="C25" s="48">
        <v>44.48486328125</v>
      </c>
      <c r="D25" s="48">
        <v>42.439208984375</v>
      </c>
      <c r="E25" s="48">
        <v>20.099365234375</v>
      </c>
      <c r="F25" s="48">
        <v>23.736083984375</v>
      </c>
      <c r="G25" s="48">
        <v>132.967529296875</v>
      </c>
      <c r="H25" s="48">
        <v>132.967529296875</v>
      </c>
      <c r="I25" s="48">
        <v>132.967529296875</v>
      </c>
      <c r="J25" s="48">
        <v>132.967529296875</v>
      </c>
      <c r="K25" s="48">
        <v>132.967529296875</v>
      </c>
      <c r="L25" s="48">
        <v>132.967529296875</v>
      </c>
      <c r="M25" s="51">
        <v>60</v>
      </c>
      <c r="N25" s="48">
        <v>5.33447265625</v>
      </c>
      <c r="O25" s="50">
        <v>60</v>
      </c>
      <c r="P25" s="49">
        <v>2.35595703125</v>
      </c>
      <c r="Q25" s="48">
        <v>1</v>
      </c>
      <c r="R25" s="47" t="str">
        <f t="shared" si="0"/>
        <v>Countercurrent</v>
      </c>
      <c r="S25" s="46" t="s">
        <v>174</v>
      </c>
      <c r="T25" s="45">
        <f t="shared" si="1"/>
        <v>4.1788240410670436</v>
      </c>
      <c r="U25" s="45">
        <f t="shared" si="2"/>
        <v>4.1805393665369781</v>
      </c>
      <c r="V25" s="39">
        <f t="shared" si="3"/>
        <v>43.4620361328125</v>
      </c>
      <c r="W25" s="44">
        <f t="shared" si="4"/>
        <v>990.83799814787722</v>
      </c>
      <c r="X25" s="39">
        <f t="shared" si="5"/>
        <v>21.917724609375</v>
      </c>
      <c r="Y25" s="44">
        <f t="shared" si="6"/>
        <v>997.79864657396774</v>
      </c>
      <c r="Z25" s="43">
        <f t="shared" si="7"/>
        <v>2.045654296875</v>
      </c>
      <c r="AA25" s="43">
        <f t="shared" si="8"/>
        <v>3.63671875</v>
      </c>
      <c r="AB25" s="42">
        <f t="shared" si="9"/>
        <v>8.8093303464888986E-2</v>
      </c>
      <c r="AC25" s="42">
        <f t="shared" si="10"/>
        <v>3.9179512286127885E-2</v>
      </c>
      <c r="AD25" s="42"/>
      <c r="AE25" s="41">
        <f t="shared" si="11"/>
        <v>753.05938136164093</v>
      </c>
      <c r="AF25" s="41">
        <f t="shared" si="12"/>
        <v>595.66359540695044</v>
      </c>
      <c r="AG25" s="41">
        <f t="shared" si="13"/>
        <v>157.3957859546905</v>
      </c>
      <c r="AH25" s="41">
        <f t="shared" si="14"/>
        <v>79.09915342000042</v>
      </c>
      <c r="AI25" s="41">
        <f t="shared" si="15"/>
        <v>4.5985401459854014</v>
      </c>
      <c r="AJ25" s="41">
        <f t="shared" si="16"/>
        <v>15.321477428180575</v>
      </c>
      <c r="AK25" s="41">
        <f t="shared" si="17"/>
        <v>9.9600087870829874</v>
      </c>
      <c r="AL25" s="39"/>
      <c r="AM25" s="41">
        <f t="shared" si="18"/>
        <v>21.534516179906717</v>
      </c>
      <c r="AN25" s="41">
        <f t="shared" si="31"/>
        <v>837.98748180469818</v>
      </c>
      <c r="AO25" s="40" t="s">
        <v>181</v>
      </c>
      <c r="AP25" s="39">
        <f t="shared" si="32"/>
        <v>2144.2551928883518</v>
      </c>
      <c r="AQ25" s="39">
        <f t="shared" si="20"/>
        <v>1375.5671936072881</v>
      </c>
      <c r="AR25" s="38">
        <f t="shared" si="39"/>
        <v>6.1353278808593751E-4</v>
      </c>
      <c r="AS25" s="38">
        <f t="shared" si="22"/>
        <v>35498.337059159901</v>
      </c>
      <c r="AT25" s="38">
        <f t="shared" si="40"/>
        <v>4.0361130371093754</v>
      </c>
      <c r="AU25" s="38">
        <f t="shared" si="41"/>
        <v>0.63515444335937499</v>
      </c>
      <c r="AV25" s="38">
        <f t="shared" si="33"/>
        <v>182.37338938382507</v>
      </c>
      <c r="AW25" s="38">
        <f t="shared" si="25"/>
        <v>368.12641437609278</v>
      </c>
      <c r="AX25" s="38">
        <f t="shared" si="26"/>
        <v>163.79149347387681</v>
      </c>
      <c r="AY25" s="38">
        <f t="shared" si="27"/>
        <v>3994.1371442019622</v>
      </c>
      <c r="AZ25" s="38">
        <f t="shared" si="28"/>
        <v>0.18854119279674958</v>
      </c>
      <c r="BA25" s="38">
        <f t="shared" si="29"/>
        <v>0.44493273798750238</v>
      </c>
      <c r="BB25" s="38">
        <f t="shared" si="34"/>
        <v>0.10019056697476127</v>
      </c>
      <c r="BC25" s="38">
        <f t="shared" si="30"/>
        <v>6364.5751987717558</v>
      </c>
      <c r="BD25" s="1">
        <f t="shared" si="35"/>
        <v>0.14913448735019974</v>
      </c>
      <c r="BE25" s="1">
        <f t="shared" si="36"/>
        <v>8.3437987784817841E-2</v>
      </c>
      <c r="BF25" s="1">
        <f t="shared" si="37"/>
        <v>0.44493273798750238</v>
      </c>
      <c r="BG25" s="1">
        <f t="shared" si="38"/>
        <v>3.593724500582636E-2</v>
      </c>
    </row>
    <row r="26" spans="1:59" ht="12.75" customHeight="1" x14ac:dyDescent="0.2">
      <c r="A26" s="5">
        <v>1E-3</v>
      </c>
      <c r="B26" s="50" t="s">
        <v>96</v>
      </c>
      <c r="C26" s="48">
        <v>44.419921875</v>
      </c>
      <c r="D26" s="48">
        <v>42.4716796875</v>
      </c>
      <c r="E26" s="48">
        <v>20.1318359375</v>
      </c>
      <c r="F26" s="48">
        <v>23.801025390625</v>
      </c>
      <c r="G26" s="48">
        <v>132.967529296875</v>
      </c>
      <c r="H26" s="48">
        <v>132.967529296875</v>
      </c>
      <c r="I26" s="48">
        <v>132.967529296875</v>
      </c>
      <c r="J26" s="48">
        <v>132.967529296875</v>
      </c>
      <c r="K26" s="48">
        <v>132.967529296875</v>
      </c>
      <c r="L26" s="48">
        <v>132.967529296875</v>
      </c>
      <c r="M26" s="51">
        <v>60</v>
      </c>
      <c r="N26" s="48">
        <v>5.37109375</v>
      </c>
      <c r="O26" s="50">
        <v>60</v>
      </c>
      <c r="P26" s="49">
        <v>2.294921875</v>
      </c>
      <c r="Q26" s="48">
        <v>1</v>
      </c>
      <c r="R26" s="47" t="str">
        <f t="shared" si="0"/>
        <v>Countercurrent</v>
      </c>
      <c r="S26" s="46" t="s">
        <v>174</v>
      </c>
      <c r="T26" s="45">
        <f t="shared" si="1"/>
        <v>4.178820999518444</v>
      </c>
      <c r="U26" s="45">
        <f t="shared" si="2"/>
        <v>4.1805161825897681</v>
      </c>
      <c r="V26" s="39">
        <f t="shared" si="3"/>
        <v>43.44580078125</v>
      </c>
      <c r="W26" s="44">
        <f t="shared" si="4"/>
        <v>990.84462169607764</v>
      </c>
      <c r="X26" s="39">
        <f t="shared" si="5"/>
        <v>21.9664306640625</v>
      </c>
      <c r="Y26" s="44">
        <f t="shared" si="6"/>
        <v>997.78764330835736</v>
      </c>
      <c r="Z26" s="43">
        <f t="shared" si="7"/>
        <v>1.9482421875</v>
      </c>
      <c r="AA26" s="43">
        <f t="shared" si="8"/>
        <v>3.669189453125</v>
      </c>
      <c r="AB26" s="42">
        <f t="shared" si="9"/>
        <v>8.8698655913548613E-2</v>
      </c>
      <c r="AC26" s="42">
        <f t="shared" si="10"/>
        <v>3.8164078153884111E-2</v>
      </c>
      <c r="AD26" s="42"/>
      <c r="AE26" s="41">
        <f t="shared" si="11"/>
        <v>722.12727821425051</v>
      </c>
      <c r="AF26" s="41">
        <f t="shared" si="12"/>
        <v>585.40283583548819</v>
      </c>
      <c r="AG26" s="41">
        <f t="shared" si="13"/>
        <v>136.72444237876232</v>
      </c>
      <c r="AH26" s="41">
        <f t="shared" si="14"/>
        <v>81.066434338712639</v>
      </c>
      <c r="AI26" s="41">
        <f t="shared" si="15"/>
        <v>4.3859649122807012</v>
      </c>
      <c r="AJ26" s="41">
        <f t="shared" si="16"/>
        <v>15.416098226466577</v>
      </c>
      <c r="AK26" s="41">
        <f t="shared" si="17"/>
        <v>9.9010315693736395</v>
      </c>
      <c r="AL26" s="39"/>
      <c r="AM26" s="41">
        <f t="shared" si="18"/>
        <v>21.467874870018228</v>
      </c>
      <c r="AN26" s="41">
        <f t="shared" si="31"/>
        <v>818.15672022365652</v>
      </c>
      <c r="AO26" s="40" t="s">
        <v>182</v>
      </c>
      <c r="AP26" s="39">
        <f t="shared" si="32"/>
        <v>2062.5622347056897</v>
      </c>
      <c r="AQ26" s="39">
        <f t="shared" si="20"/>
        <v>1356.068527152406</v>
      </c>
      <c r="AR26" s="38">
        <f t="shared" si="39"/>
        <v>6.1371787109375004E-4</v>
      </c>
      <c r="AS26" s="38">
        <f t="shared" si="22"/>
        <v>35731.492628853572</v>
      </c>
      <c r="AT26" s="38">
        <f t="shared" si="40"/>
        <v>4.0374443359374999</v>
      </c>
      <c r="AU26" s="38">
        <f t="shared" si="41"/>
        <v>0.63513496093749999</v>
      </c>
      <c r="AV26" s="38">
        <f t="shared" si="33"/>
        <v>183.43162891700706</v>
      </c>
      <c r="AW26" s="38">
        <f t="shared" si="25"/>
        <v>370.65580596059777</v>
      </c>
      <c r="AX26" s="38">
        <f t="shared" si="26"/>
        <v>159.54554631593317</v>
      </c>
      <c r="AY26" s="38">
        <f t="shared" si="27"/>
        <v>3875.055939866771</v>
      </c>
      <c r="AZ26" s="38">
        <f t="shared" si="28"/>
        <v>0.18635273643019412</v>
      </c>
      <c r="BA26" s="38">
        <f t="shared" si="29"/>
        <v>0.43044124427635028</v>
      </c>
      <c r="BB26" s="38">
        <f t="shared" si="34"/>
        <v>9.9200340543726978E-2</v>
      </c>
      <c r="BC26" s="38">
        <f t="shared" si="30"/>
        <v>6401.3099157640254</v>
      </c>
      <c r="BD26" s="1">
        <f t="shared" si="35"/>
        <v>0.15106951871657753</v>
      </c>
      <c r="BE26" s="1">
        <f t="shared" si="36"/>
        <v>8.3631416055810773E-2</v>
      </c>
      <c r="BF26" s="1">
        <f t="shared" si="37"/>
        <v>0.43044124427635028</v>
      </c>
      <c r="BG26" s="1">
        <f t="shared" si="38"/>
        <v>3.6118234796726267E-2</v>
      </c>
    </row>
    <row r="27" spans="1:59" ht="12.75" customHeight="1" x14ac:dyDescent="0.2">
      <c r="A27" s="5">
        <v>1E-3</v>
      </c>
      <c r="B27" s="50" t="s">
        <v>97</v>
      </c>
      <c r="C27" s="48">
        <v>44.257568359375</v>
      </c>
      <c r="D27" s="48">
        <v>42.374267578125</v>
      </c>
      <c r="E27" s="48">
        <v>20.099365234375</v>
      </c>
      <c r="F27" s="48">
        <v>23.7685546875</v>
      </c>
      <c r="G27" s="48">
        <v>132.967529296875</v>
      </c>
      <c r="H27" s="48">
        <v>132.967529296875</v>
      </c>
      <c r="I27" s="48">
        <v>132.967529296875</v>
      </c>
      <c r="J27" s="48">
        <v>132.967529296875</v>
      </c>
      <c r="K27" s="48">
        <v>132.967529296875</v>
      </c>
      <c r="L27" s="48">
        <v>132.967529296875</v>
      </c>
      <c r="M27" s="51">
        <v>60</v>
      </c>
      <c r="N27" s="48">
        <v>5.31005859375</v>
      </c>
      <c r="O27" s="50">
        <v>60</v>
      </c>
      <c r="P27" s="49">
        <v>2.3193359375</v>
      </c>
      <c r="Q27" s="48">
        <v>1</v>
      </c>
      <c r="R27" s="47" t="str">
        <f t="shared" si="0"/>
        <v>Countercurrent</v>
      </c>
      <c r="S27" s="46" t="s">
        <v>174</v>
      </c>
      <c r="T27" s="45">
        <f t="shared" si="1"/>
        <v>4.1787968396809996</v>
      </c>
      <c r="U27" s="45">
        <f t="shared" si="2"/>
        <v>4.1805316235020884</v>
      </c>
      <c r="V27" s="39">
        <f t="shared" si="3"/>
        <v>43.31591796875</v>
      </c>
      <c r="W27" s="44">
        <f t="shared" si="4"/>
        <v>990.89754417582196</v>
      </c>
      <c r="X27" s="39">
        <f t="shared" si="5"/>
        <v>21.9339599609375</v>
      </c>
      <c r="Y27" s="44">
        <f t="shared" si="6"/>
        <v>997.79498156328361</v>
      </c>
      <c r="Z27" s="43">
        <f t="shared" si="7"/>
        <v>1.88330078125</v>
      </c>
      <c r="AA27" s="43">
        <f t="shared" si="8"/>
        <v>3.669189453125</v>
      </c>
      <c r="AB27" s="42">
        <f t="shared" si="9"/>
        <v>8.7695400332943235E-2</v>
      </c>
      <c r="AC27" s="42">
        <f t="shared" si="10"/>
        <v>3.8570362649947891E-2</v>
      </c>
      <c r="AD27" s="42"/>
      <c r="AE27" s="41">
        <f t="shared" si="11"/>
        <v>690.15678058151104</v>
      </c>
      <c r="AF27" s="41">
        <f t="shared" si="12"/>
        <v>591.63706196865667</v>
      </c>
      <c r="AG27" s="41">
        <f t="shared" si="13"/>
        <v>98.519718612854376</v>
      </c>
      <c r="AH27" s="41">
        <f t="shared" si="14"/>
        <v>85.725023446144547</v>
      </c>
      <c r="AI27" s="41">
        <f t="shared" si="15"/>
        <v>4.2553191489361701</v>
      </c>
      <c r="AJ27" s="41">
        <f t="shared" si="16"/>
        <v>15.437158469945356</v>
      </c>
      <c r="AK27" s="41">
        <f t="shared" si="17"/>
        <v>9.8462388094407629</v>
      </c>
      <c r="AL27" s="39"/>
      <c r="AM27" s="41">
        <f t="shared" si="18"/>
        <v>21.36952196628425</v>
      </c>
      <c r="AN27" s="41">
        <f t="shared" si="31"/>
        <v>812.1619385673614</v>
      </c>
      <c r="AO27" s="40" t="s">
        <v>183</v>
      </c>
      <c r="AP27" s="39">
        <f t="shared" si="32"/>
        <v>1980.31974717973</v>
      </c>
      <c r="AQ27" s="39">
        <f t="shared" si="20"/>
        <v>1376.8176807919742</v>
      </c>
      <c r="AR27" s="38">
        <f t="shared" si="39"/>
        <v>6.1519853515625E-4</v>
      </c>
      <c r="AS27" s="38">
        <f t="shared" si="22"/>
        <v>35242.313640641376</v>
      </c>
      <c r="AT27" s="38">
        <f t="shared" si="40"/>
        <v>4.0480947265624998</v>
      </c>
      <c r="AU27" s="38">
        <f t="shared" si="41"/>
        <v>0.63497910156250004</v>
      </c>
      <c r="AV27" s="38">
        <f t="shared" si="33"/>
        <v>181.4116136075867</v>
      </c>
      <c r="AW27" s="38">
        <f t="shared" si="25"/>
        <v>366.46126176586324</v>
      </c>
      <c r="AX27" s="38">
        <f t="shared" si="26"/>
        <v>161.24462078805095</v>
      </c>
      <c r="AY27" s="38">
        <f t="shared" si="27"/>
        <v>3895.3803018113326</v>
      </c>
      <c r="AZ27" s="38">
        <f t="shared" si="28"/>
        <v>0.17717314539496734</v>
      </c>
      <c r="BA27" s="38">
        <f t="shared" si="29"/>
        <v>0.44000454512180387</v>
      </c>
      <c r="BB27" s="38">
        <f t="shared" si="34"/>
        <v>9.3324532423721906E-2</v>
      </c>
      <c r="BC27" s="38">
        <f t="shared" si="30"/>
        <v>6329.2628253598241</v>
      </c>
      <c r="BD27" s="1">
        <f t="shared" si="35"/>
        <v>0.15188172043010753</v>
      </c>
      <c r="BE27" s="1">
        <f t="shared" si="36"/>
        <v>8.214384571983166E-2</v>
      </c>
      <c r="BF27" s="1">
        <f t="shared" si="37"/>
        <v>0.44000454512180387</v>
      </c>
      <c r="BG27" s="1">
        <f t="shared" si="38"/>
        <v>3.541276494525105E-2</v>
      </c>
    </row>
    <row r="28" spans="1:59" ht="12.75" customHeight="1" x14ac:dyDescent="0.2">
      <c r="A28" s="5">
        <v>1E-3</v>
      </c>
      <c r="B28" s="50" t="s">
        <v>98</v>
      </c>
      <c r="C28" s="48">
        <v>44.127685546875</v>
      </c>
      <c r="D28" s="48">
        <v>42.244384765625</v>
      </c>
      <c r="E28" s="48">
        <v>20.099365234375</v>
      </c>
      <c r="F28" s="48">
        <v>23.736083984375</v>
      </c>
      <c r="G28" s="48">
        <v>132.967529296875</v>
      </c>
      <c r="H28" s="48">
        <v>132.967529296875</v>
      </c>
      <c r="I28" s="48">
        <v>132.967529296875</v>
      </c>
      <c r="J28" s="48">
        <v>132.967529296875</v>
      </c>
      <c r="K28" s="48">
        <v>132.967529296875</v>
      </c>
      <c r="L28" s="48">
        <v>132.967529296875</v>
      </c>
      <c r="M28" s="51">
        <v>60</v>
      </c>
      <c r="N28" s="48">
        <v>5.43212890625</v>
      </c>
      <c r="O28" s="50">
        <v>60</v>
      </c>
      <c r="P28" s="49">
        <v>2.392578125</v>
      </c>
      <c r="Q28" s="48">
        <v>1</v>
      </c>
      <c r="R28" s="47" t="str">
        <f t="shared" si="0"/>
        <v>Countercurrent</v>
      </c>
      <c r="S28" s="46" t="s">
        <v>174</v>
      </c>
      <c r="T28" s="45">
        <f t="shared" si="1"/>
        <v>4.1787729873222519</v>
      </c>
      <c r="U28" s="45">
        <f t="shared" si="2"/>
        <v>4.1805393665369781</v>
      </c>
      <c r="V28" s="39">
        <f t="shared" si="3"/>
        <v>43.18603515625</v>
      </c>
      <c r="W28" s="44">
        <f t="shared" si="4"/>
        <v>990.9503493304976</v>
      </c>
      <c r="X28" s="39">
        <f t="shared" si="5"/>
        <v>21.917724609375</v>
      </c>
      <c r="Y28" s="44">
        <f t="shared" si="6"/>
        <v>997.79864657396774</v>
      </c>
      <c r="Z28" s="43">
        <f t="shared" si="7"/>
        <v>1.88330078125</v>
      </c>
      <c r="AA28" s="43">
        <f t="shared" si="8"/>
        <v>3.63671875</v>
      </c>
      <c r="AB28" s="42">
        <f t="shared" si="9"/>
        <v>8.9716167287612184E-2</v>
      </c>
      <c r="AC28" s="42">
        <f t="shared" si="10"/>
        <v>3.9788520249124687E-2</v>
      </c>
      <c r="AD28" s="42"/>
      <c r="AE28" s="41">
        <f t="shared" si="11"/>
        <v>706.05604764004465</v>
      </c>
      <c r="AF28" s="41">
        <f t="shared" si="12"/>
        <v>604.922615024675</v>
      </c>
      <c r="AG28" s="41">
        <f t="shared" si="13"/>
        <v>101.13343261536966</v>
      </c>
      <c r="AH28" s="41">
        <f t="shared" si="14"/>
        <v>85.676288312605948</v>
      </c>
      <c r="AI28" s="41">
        <f t="shared" si="15"/>
        <v>4.2678440029433409</v>
      </c>
      <c r="AJ28" s="41">
        <f t="shared" si="16"/>
        <v>15.321477428180575</v>
      </c>
      <c r="AK28" s="41">
        <f t="shared" si="17"/>
        <v>9.7946607155619585</v>
      </c>
      <c r="AL28" s="39"/>
      <c r="AM28" s="41">
        <f t="shared" si="18"/>
        <v>21.256258700557414</v>
      </c>
      <c r="AN28" s="41">
        <f t="shared" si="31"/>
        <v>835.01894914531215</v>
      </c>
      <c r="AO28" s="40" t="s">
        <v>184</v>
      </c>
      <c r="AP28" s="39">
        <f t="shared" si="32"/>
        <v>2036.7358903830327</v>
      </c>
      <c r="AQ28" s="39">
        <f t="shared" si="20"/>
        <v>1415.2359882041064</v>
      </c>
      <c r="AR28" s="38">
        <f t="shared" si="39"/>
        <v>6.1667919921874997E-4</v>
      </c>
      <c r="AS28" s="38">
        <f t="shared" si="22"/>
        <v>35967.835381840858</v>
      </c>
      <c r="AT28" s="38">
        <f t="shared" si="40"/>
        <v>4.0587451171875006</v>
      </c>
      <c r="AU28" s="38">
        <f t="shared" si="41"/>
        <v>0.63482324218749997</v>
      </c>
      <c r="AV28" s="38">
        <f t="shared" si="33"/>
        <v>184.80695516125584</v>
      </c>
      <c r="AW28" s="38">
        <f t="shared" si="25"/>
        <v>374.90349638755805</v>
      </c>
      <c r="AX28" s="38">
        <f t="shared" si="26"/>
        <v>166.33747523771945</v>
      </c>
      <c r="AY28" s="38">
        <f t="shared" si="27"/>
        <v>3996.8101349844601</v>
      </c>
      <c r="AZ28" s="38">
        <f t="shared" si="28"/>
        <v>0.17665488822195199</v>
      </c>
      <c r="BA28" s="38">
        <f t="shared" si="29"/>
        <v>0.44368077876170936</v>
      </c>
      <c r="BB28" s="38">
        <f t="shared" si="34"/>
        <v>9.2918763890805903E-2</v>
      </c>
      <c r="BC28" s="38">
        <f t="shared" si="30"/>
        <v>6446.1401348499094</v>
      </c>
      <c r="BD28" s="1">
        <f t="shared" si="35"/>
        <v>0.15135135135135136</v>
      </c>
      <c r="BE28" s="1">
        <f t="shared" si="36"/>
        <v>8.1869824549852963E-2</v>
      </c>
      <c r="BF28" s="1">
        <f t="shared" si="37"/>
        <v>0.44368077876170936</v>
      </c>
      <c r="BG28" s="1">
        <f t="shared" si="38"/>
        <v>3.5270832820037443E-2</v>
      </c>
    </row>
    <row r="29" spans="1:59" ht="12.75" customHeight="1" x14ac:dyDescent="0.2">
      <c r="A29" s="5">
        <v>1E-3</v>
      </c>
      <c r="B29" s="50" t="s">
        <v>99</v>
      </c>
      <c r="C29" s="48">
        <v>44.127685546875</v>
      </c>
      <c r="D29" s="48">
        <v>42.14697265625</v>
      </c>
      <c r="E29" s="48">
        <v>20.1318359375</v>
      </c>
      <c r="F29" s="48">
        <v>23.801025390625</v>
      </c>
      <c r="G29" s="48">
        <v>132.967529296875</v>
      </c>
      <c r="H29" s="48">
        <v>132.967529296875</v>
      </c>
      <c r="I29" s="48">
        <v>132.967529296875</v>
      </c>
      <c r="J29" s="48">
        <v>132.967529296875</v>
      </c>
      <c r="K29" s="48">
        <v>132.967529296875</v>
      </c>
      <c r="L29" s="48">
        <v>132.967529296875</v>
      </c>
      <c r="M29" s="51">
        <v>60</v>
      </c>
      <c r="N29" s="48">
        <v>5.40771484375</v>
      </c>
      <c r="O29" s="50">
        <v>60</v>
      </c>
      <c r="P29" s="49">
        <v>2.197265625</v>
      </c>
      <c r="Q29" s="48">
        <v>1</v>
      </c>
      <c r="R29" s="47" t="str">
        <f t="shared" si="0"/>
        <v>Countercurrent</v>
      </c>
      <c r="S29" s="46" t="s">
        <v>174</v>
      </c>
      <c r="T29" s="45">
        <f t="shared" si="1"/>
        <v>4.1787641221688618</v>
      </c>
      <c r="U29" s="45">
        <f t="shared" si="2"/>
        <v>4.1805161825897681</v>
      </c>
      <c r="V29" s="39">
        <f t="shared" si="3"/>
        <v>43.1373291015625</v>
      </c>
      <c r="W29" s="44">
        <f t="shared" si="4"/>
        <v>990.97012096958872</v>
      </c>
      <c r="X29" s="39">
        <f t="shared" si="5"/>
        <v>21.9664306640625</v>
      </c>
      <c r="Y29" s="44">
        <f t="shared" si="6"/>
        <v>997.78764330835736</v>
      </c>
      <c r="Z29" s="43">
        <f t="shared" si="7"/>
        <v>1.980712890625</v>
      </c>
      <c r="AA29" s="43">
        <f t="shared" si="8"/>
        <v>3.669189453125</v>
      </c>
      <c r="AB29" s="42">
        <f t="shared" si="9"/>
        <v>8.9314730547999641E-2</v>
      </c>
      <c r="AC29" s="42">
        <f t="shared" si="10"/>
        <v>3.6540074828186921E-2</v>
      </c>
      <c r="AD29" s="42"/>
      <c r="AE29" s="41">
        <f t="shared" si="11"/>
        <v>739.25194809851905</v>
      </c>
      <c r="AF29" s="41">
        <f t="shared" si="12"/>
        <v>560.49207686376542</v>
      </c>
      <c r="AG29" s="41">
        <f t="shared" si="13"/>
        <v>178.75987123475363</v>
      </c>
      <c r="AH29" s="41">
        <f t="shared" si="14"/>
        <v>75.818816346097677</v>
      </c>
      <c r="AI29" s="41">
        <f t="shared" si="15"/>
        <v>4.4885945548197208</v>
      </c>
      <c r="AJ29" s="41">
        <f t="shared" si="16"/>
        <v>15.416098226466577</v>
      </c>
      <c r="AK29" s="41">
        <f t="shared" si="17"/>
        <v>9.9523463906431484</v>
      </c>
      <c r="AL29" s="39"/>
      <c r="AM29" s="41">
        <f t="shared" si="18"/>
        <v>21.159671693572609</v>
      </c>
      <c r="AN29" s="41">
        <f t="shared" si="31"/>
        <v>815.69631317978076</v>
      </c>
      <c r="AO29" s="40" t="str">
        <f t="shared" ref="AO29:AO60" si="42">IF(ISNUMBER(A29),IF(ROW(A29)=2,1-(A29/13),""),"")</f>
        <v/>
      </c>
      <c r="AP29" s="39">
        <f t="shared" si="32"/>
        <v>2142.2291212643227</v>
      </c>
      <c r="AQ29" s="39">
        <f t="shared" si="20"/>
        <v>1317.2749181566451</v>
      </c>
      <c r="AR29" s="38">
        <f t="shared" si="39"/>
        <v>6.1723444824218754E-4</v>
      </c>
      <c r="AS29" s="38">
        <f t="shared" si="22"/>
        <v>35774.685592200432</v>
      </c>
      <c r="AT29" s="38">
        <f t="shared" si="40"/>
        <v>4.0627390136718748</v>
      </c>
      <c r="AU29" s="38">
        <f t="shared" si="41"/>
        <v>0.63476479492187499</v>
      </c>
      <c r="AV29" s="38">
        <f t="shared" si="33"/>
        <v>184.00652965319554</v>
      </c>
      <c r="AW29" s="38">
        <f t="shared" si="25"/>
        <v>373.22519159516014</v>
      </c>
      <c r="AX29" s="38">
        <f t="shared" si="26"/>
        <v>152.75637413227648</v>
      </c>
      <c r="AY29" s="38">
        <f t="shared" si="27"/>
        <v>3665.5189805515279</v>
      </c>
      <c r="AZ29" s="38">
        <f t="shared" si="28"/>
        <v>0.20167729372589099</v>
      </c>
      <c r="BA29" s="38">
        <f t="shared" si="29"/>
        <v>0.40928741567362459</v>
      </c>
      <c r="BB29" s="38">
        <f t="shared" si="34"/>
        <v>0.10937445964086975</v>
      </c>
      <c r="BC29" s="38">
        <f t="shared" si="30"/>
        <v>6417.6300582195918</v>
      </c>
      <c r="BD29" s="1">
        <f t="shared" si="35"/>
        <v>0.15290933694181327</v>
      </c>
      <c r="BE29" s="1">
        <f t="shared" si="36"/>
        <v>8.7085688941024308E-2</v>
      </c>
      <c r="BF29" s="1">
        <f t="shared" si="37"/>
        <v>0.40928741567362459</v>
      </c>
      <c r="BG29" s="1">
        <f t="shared" si="38"/>
        <v>3.7765287485029983E-2</v>
      </c>
    </row>
    <row r="30" spans="1:59" ht="12.75" customHeight="1" x14ac:dyDescent="0.2">
      <c r="A30" s="5">
        <v>1E-3</v>
      </c>
      <c r="B30" s="50" t="s">
        <v>100</v>
      </c>
      <c r="C30" s="48">
        <v>44.322509765625</v>
      </c>
      <c r="D30" s="48">
        <v>42.341796875</v>
      </c>
      <c r="E30" s="48">
        <v>20.1318359375</v>
      </c>
      <c r="F30" s="48">
        <v>23.7685546875</v>
      </c>
      <c r="G30" s="48">
        <v>132.967529296875</v>
      </c>
      <c r="H30" s="48">
        <v>132.967529296875</v>
      </c>
      <c r="I30" s="48">
        <v>132.967529296875</v>
      </c>
      <c r="J30" s="48">
        <v>132.967529296875</v>
      </c>
      <c r="K30" s="48">
        <v>132.967529296875</v>
      </c>
      <c r="L30" s="48">
        <v>132.967529296875</v>
      </c>
      <c r="M30" s="51">
        <v>60</v>
      </c>
      <c r="N30" s="48">
        <v>5.37109375</v>
      </c>
      <c r="O30" s="50">
        <v>60</v>
      </c>
      <c r="P30" s="49">
        <v>2.25830078125</v>
      </c>
      <c r="Q30" s="48">
        <v>1</v>
      </c>
      <c r="R30" s="47" t="str">
        <f t="shared" si="0"/>
        <v>Countercurrent</v>
      </c>
      <c r="S30" s="46" t="s">
        <v>174</v>
      </c>
      <c r="T30" s="45">
        <f t="shared" si="1"/>
        <v>4.1787998428663702</v>
      </c>
      <c r="U30" s="45">
        <f t="shared" si="2"/>
        <v>4.1805238955259432</v>
      </c>
      <c r="V30" s="39">
        <f t="shared" si="3"/>
        <v>43.3321533203125</v>
      </c>
      <c r="W30" s="44">
        <f t="shared" si="4"/>
        <v>990.89093527745445</v>
      </c>
      <c r="X30" s="39">
        <f t="shared" si="5"/>
        <v>21.9501953125</v>
      </c>
      <c r="Y30" s="44">
        <f t="shared" si="6"/>
        <v>997.79131380776528</v>
      </c>
      <c r="Z30" s="43">
        <f t="shared" si="7"/>
        <v>1.980712890625</v>
      </c>
      <c r="AA30" s="43">
        <f t="shared" si="8"/>
        <v>3.63671875</v>
      </c>
      <c r="AB30" s="42">
        <f t="shared" si="9"/>
        <v>8.8702801823339825E-2</v>
      </c>
      <c r="AC30" s="42">
        <f t="shared" si="10"/>
        <v>3.7555215058275672E-2</v>
      </c>
      <c r="AD30" s="42"/>
      <c r="AE30" s="41">
        <f t="shared" si="11"/>
        <v>734.19333161809755</v>
      </c>
      <c r="AF30" s="41">
        <f t="shared" si="12"/>
        <v>570.96656738280592</v>
      </c>
      <c r="AG30" s="41">
        <f t="shared" si="13"/>
        <v>163.22676423529163</v>
      </c>
      <c r="AH30" s="41">
        <f t="shared" si="14"/>
        <v>77.767877041929239</v>
      </c>
      <c r="AI30" s="41">
        <f t="shared" si="15"/>
        <v>4.468864468864469</v>
      </c>
      <c r="AJ30" s="41">
        <f t="shared" si="16"/>
        <v>15.300546448087433</v>
      </c>
      <c r="AK30" s="41">
        <f t="shared" si="17"/>
        <v>9.8847054584759508</v>
      </c>
      <c r="AL30" s="39"/>
      <c r="AM30" s="41">
        <f t="shared" si="18"/>
        <v>21.371265765547538</v>
      </c>
      <c r="AN30" s="41">
        <f t="shared" si="31"/>
        <v>814.73807144586806</v>
      </c>
      <c r="AO30" s="40" t="str">
        <f t="shared" si="42"/>
        <v/>
      </c>
      <c r="AP30" s="39">
        <f t="shared" si="32"/>
        <v>2106.5053028304801</v>
      </c>
      <c r="AQ30" s="39">
        <f t="shared" si="20"/>
        <v>1328.6062892917598</v>
      </c>
      <c r="AR30" s="38">
        <f t="shared" si="39"/>
        <v>6.1501345214843748E-4</v>
      </c>
      <c r="AS30" s="38">
        <f t="shared" si="22"/>
        <v>35657.887657436018</v>
      </c>
      <c r="AT30" s="38">
        <f t="shared" si="40"/>
        <v>4.0467634277343754</v>
      </c>
      <c r="AU30" s="38">
        <f t="shared" si="41"/>
        <v>0.63499858398437503</v>
      </c>
      <c r="AV30" s="38">
        <f t="shared" si="33"/>
        <v>183.2447497951016</v>
      </c>
      <c r="AW30" s="38">
        <f t="shared" si="25"/>
        <v>370.67125432117928</v>
      </c>
      <c r="AX30" s="38">
        <f t="shared" si="26"/>
        <v>157.00047395273717</v>
      </c>
      <c r="AY30" s="38">
        <f t="shared" si="27"/>
        <v>3797.9472562516999</v>
      </c>
      <c r="AZ30" s="38">
        <f t="shared" si="28"/>
        <v>0.19331319844149006</v>
      </c>
      <c r="BA30" s="38">
        <f t="shared" si="29"/>
        <v>0.42355718746050747</v>
      </c>
      <c r="BB30" s="38">
        <f t="shared" si="34"/>
        <v>0.10371671465430196</v>
      </c>
      <c r="BC30" s="38">
        <f t="shared" si="30"/>
        <v>6393.4152001351977</v>
      </c>
      <c r="BD30" s="1">
        <f t="shared" si="35"/>
        <v>0.15033557046979865</v>
      </c>
      <c r="BE30" s="1">
        <f t="shared" si="36"/>
        <v>8.4632014996409211E-2</v>
      </c>
      <c r="BF30" s="1">
        <f t="shared" si="37"/>
        <v>0.42355718746050747</v>
      </c>
      <c r="BG30" s="1">
        <f t="shared" si="38"/>
        <v>3.659841884483727E-2</v>
      </c>
    </row>
    <row r="31" spans="1:59" ht="12.75" customHeight="1" x14ac:dyDescent="0.2">
      <c r="A31" s="5">
        <v>1E-3</v>
      </c>
      <c r="B31" s="50" t="s">
        <v>101</v>
      </c>
      <c r="C31" s="48">
        <v>44.16015625</v>
      </c>
      <c r="D31" s="48">
        <v>42.27685546875</v>
      </c>
      <c r="E31" s="48">
        <v>20.1318359375</v>
      </c>
      <c r="F31" s="48">
        <v>23.7685546875</v>
      </c>
      <c r="G31" s="48">
        <v>132.967529296875</v>
      </c>
      <c r="H31" s="48">
        <v>132.967529296875</v>
      </c>
      <c r="I31" s="48">
        <v>132.967529296875</v>
      </c>
      <c r="J31" s="48">
        <v>132.967529296875</v>
      </c>
      <c r="K31" s="48">
        <v>132.967529296875</v>
      </c>
      <c r="L31" s="48">
        <v>132.967529296875</v>
      </c>
      <c r="M31" s="51">
        <v>60</v>
      </c>
      <c r="N31" s="48">
        <v>5.31005859375</v>
      </c>
      <c r="O31" s="50">
        <v>60</v>
      </c>
      <c r="P31" s="49">
        <v>2.33154296875</v>
      </c>
      <c r="Q31" s="48">
        <v>1</v>
      </c>
      <c r="R31" s="47" t="str">
        <f t="shared" si="0"/>
        <v>Countercurrent</v>
      </c>
      <c r="S31" s="46" t="s">
        <v>174</v>
      </c>
      <c r="T31" s="45">
        <f t="shared" si="1"/>
        <v>4.178778921529843</v>
      </c>
      <c r="U31" s="45">
        <f t="shared" si="2"/>
        <v>4.1805238955259432</v>
      </c>
      <c r="V31" s="39">
        <f t="shared" si="3"/>
        <v>43.218505859375</v>
      </c>
      <c r="W31" s="44">
        <f t="shared" si="4"/>
        <v>990.93715905337729</v>
      </c>
      <c r="X31" s="39">
        <f t="shared" si="5"/>
        <v>21.9501953125</v>
      </c>
      <c r="Y31" s="44">
        <f t="shared" si="6"/>
        <v>997.79131380776528</v>
      </c>
      <c r="Z31" s="43">
        <f t="shared" si="7"/>
        <v>1.88330078125</v>
      </c>
      <c r="AA31" s="43">
        <f t="shared" si="8"/>
        <v>3.63671875</v>
      </c>
      <c r="AB31" s="42">
        <f t="shared" si="9"/>
        <v>8.7698906288293271E-2</v>
      </c>
      <c r="AC31" s="42">
        <f t="shared" si="10"/>
        <v>3.8773222033138662E-2</v>
      </c>
      <c r="AD31" s="42"/>
      <c r="AE31" s="41">
        <f t="shared" si="11"/>
        <v>690.18141278633971</v>
      </c>
      <c r="AF31" s="41">
        <f t="shared" si="12"/>
        <v>589.48440200062646</v>
      </c>
      <c r="AG31" s="41">
        <f t="shared" si="13"/>
        <v>100.69701078571325</v>
      </c>
      <c r="AH31" s="41">
        <f t="shared" si="14"/>
        <v>85.410066263710561</v>
      </c>
      <c r="AI31" s="41">
        <f t="shared" si="15"/>
        <v>4.2647058823529411</v>
      </c>
      <c r="AJ31" s="41">
        <f t="shared" si="16"/>
        <v>15.300546448087433</v>
      </c>
      <c r="AK31" s="41">
        <f t="shared" si="17"/>
        <v>9.7826261652201865</v>
      </c>
      <c r="AL31" s="39"/>
      <c r="AM31" s="41">
        <f t="shared" si="18"/>
        <v>21.256258700557414</v>
      </c>
      <c r="AN31" s="41">
        <f t="shared" si="31"/>
        <v>814.74638254850106</v>
      </c>
      <c r="AO31" s="40" t="str">
        <f t="shared" si="42"/>
        <v/>
      </c>
      <c r="AP31" s="39">
        <f t="shared" si="32"/>
        <v>1990.942870606011</v>
      </c>
      <c r="AQ31" s="39">
        <f t="shared" si="20"/>
        <v>1379.1177904007336</v>
      </c>
      <c r="AR31" s="38">
        <f t="shared" si="39"/>
        <v>6.1630903320312503E-4</v>
      </c>
      <c r="AS31" s="38">
        <f t="shared" si="22"/>
        <v>35180.21859152145</v>
      </c>
      <c r="AT31" s="38">
        <f t="shared" si="40"/>
        <v>4.05608251953125</v>
      </c>
      <c r="AU31" s="38">
        <f t="shared" si="41"/>
        <v>0.63486220703124996</v>
      </c>
      <c r="AV31" s="38">
        <f t="shared" si="33"/>
        <v>181.25351672220916</v>
      </c>
      <c r="AW31" s="38">
        <f t="shared" si="25"/>
        <v>366.47434103874093</v>
      </c>
      <c r="AX31" s="38">
        <f t="shared" si="26"/>
        <v>162.09238121606916</v>
      </c>
      <c r="AY31" s="38">
        <f t="shared" si="27"/>
        <v>3894.807656075568</v>
      </c>
      <c r="AZ31" s="38">
        <f t="shared" si="28"/>
        <v>0.17720551917620772</v>
      </c>
      <c r="BA31" s="38">
        <f t="shared" si="29"/>
        <v>0.44230212886564402</v>
      </c>
      <c r="BB31" s="38">
        <f t="shared" si="34"/>
        <v>9.3287681845352632E-2</v>
      </c>
      <c r="BC31" s="38">
        <f t="shared" si="30"/>
        <v>6322.5828383756743</v>
      </c>
      <c r="BD31" s="1">
        <f t="shared" si="35"/>
        <v>0.15135135135135136</v>
      </c>
      <c r="BE31" s="1">
        <f t="shared" si="36"/>
        <v>8.197425387344455E-2</v>
      </c>
      <c r="BF31" s="1">
        <f t="shared" si="37"/>
        <v>0.44230212886564402</v>
      </c>
      <c r="BG31" s="1">
        <f t="shared" si="38"/>
        <v>3.5324724737759057E-2</v>
      </c>
    </row>
    <row r="32" spans="1:59" ht="12.75" customHeight="1" x14ac:dyDescent="0.2">
      <c r="A32" s="5">
        <v>1E-3</v>
      </c>
      <c r="B32" s="36" t="s">
        <v>102</v>
      </c>
      <c r="C32" s="34">
        <v>44.971923828125</v>
      </c>
      <c r="D32" s="34">
        <v>43.380859375</v>
      </c>
      <c r="E32" s="34">
        <v>20.26171875</v>
      </c>
      <c r="F32" s="34">
        <v>26.203857421875</v>
      </c>
      <c r="G32" s="34">
        <v>132.967529296875</v>
      </c>
      <c r="H32" s="34">
        <v>132.967529296875</v>
      </c>
      <c r="I32" s="34">
        <v>132.967529296875</v>
      </c>
      <c r="J32" s="34">
        <v>132.967529296875</v>
      </c>
      <c r="K32" s="34">
        <v>132.967529296875</v>
      </c>
      <c r="L32" s="34">
        <v>132.967529296875</v>
      </c>
      <c r="M32" s="37">
        <v>60</v>
      </c>
      <c r="N32" s="34">
        <v>5.3466796875</v>
      </c>
      <c r="O32" s="36">
        <v>30</v>
      </c>
      <c r="P32" s="35">
        <v>1.0498046875</v>
      </c>
      <c r="Q32" s="34">
        <v>1</v>
      </c>
      <c r="R32" s="33" t="str">
        <f t="shared" si="0"/>
        <v>Countercurrent</v>
      </c>
      <c r="S32" s="32" t="s">
        <v>174</v>
      </c>
      <c r="T32" s="31">
        <f t="shared" si="1"/>
        <v>4.1789625804057504</v>
      </c>
      <c r="U32" s="31">
        <f t="shared" si="2"/>
        <v>4.1799594131499802</v>
      </c>
      <c r="V32" s="25">
        <f t="shared" si="3"/>
        <v>44.1763916015625</v>
      </c>
      <c r="W32" s="30">
        <f t="shared" si="4"/>
        <v>990.54475718615527</v>
      </c>
      <c r="X32" s="25">
        <f t="shared" si="5"/>
        <v>23.2327880859375</v>
      </c>
      <c r="Y32" s="30">
        <f t="shared" si="6"/>
        <v>997.49296740658747</v>
      </c>
      <c r="Z32" s="29">
        <f t="shared" si="7"/>
        <v>1.591064453125</v>
      </c>
      <c r="AA32" s="29">
        <f t="shared" si="8"/>
        <v>5.942138671875</v>
      </c>
      <c r="AB32" s="28">
        <f t="shared" si="9"/>
        <v>8.8268758880113943E-2</v>
      </c>
      <c r="AC32" s="28">
        <f t="shared" si="10"/>
        <v>1.7452879882195339E-2</v>
      </c>
      <c r="AD32" s="28"/>
      <c r="AE32" s="27">
        <f t="shared" si="11"/>
        <v>586.89887298559358</v>
      </c>
      <c r="AF32" s="27">
        <f t="shared" si="12"/>
        <v>433.49285862336512</v>
      </c>
      <c r="AG32" s="27">
        <f t="shared" si="13"/>
        <v>153.40601436222846</v>
      </c>
      <c r="AH32" s="27">
        <f t="shared" si="14"/>
        <v>73.861593295989508</v>
      </c>
      <c r="AI32" s="27">
        <f t="shared" si="15"/>
        <v>3.5379061371841161</v>
      </c>
      <c r="AJ32" s="27">
        <f t="shared" si="16"/>
        <v>22.676579925650557</v>
      </c>
      <c r="AK32" s="27">
        <f t="shared" si="17"/>
        <v>13.107243031417337</v>
      </c>
      <c r="AL32" s="25"/>
      <c r="AM32" s="27">
        <f t="shared" si="18"/>
        <v>20.868056856739599</v>
      </c>
      <c r="AN32" s="27">
        <f t="shared" si="31"/>
        <v>646.03767343360778</v>
      </c>
      <c r="AO32" s="26" t="str">
        <f t="shared" si="42"/>
        <v/>
      </c>
      <c r="AP32" s="25">
        <f t="shared" si="32"/>
        <v>1724.5017140912739</v>
      </c>
      <c r="AQ32" s="25">
        <f t="shared" si="20"/>
        <v>1033.0368312738569</v>
      </c>
      <c r="AR32" s="24">
        <f t="shared" si="39"/>
        <v>6.0538913574218747E-4</v>
      </c>
      <c r="AS32" s="24">
        <f t="shared" si="22"/>
        <v>36047.511318058154</v>
      </c>
      <c r="AT32" s="24">
        <f t="shared" si="40"/>
        <v>3.9775358886718752</v>
      </c>
      <c r="AU32" s="24">
        <f t="shared" si="41"/>
        <v>0.63601166992187497</v>
      </c>
      <c r="AV32" s="24">
        <f t="shared" si="33"/>
        <v>183.91857568604314</v>
      </c>
      <c r="AW32" s="24">
        <f t="shared" si="25"/>
        <v>368.87184037885396</v>
      </c>
      <c r="AX32" s="24">
        <f t="shared" si="26"/>
        <v>72.952329550158325</v>
      </c>
      <c r="AY32" s="24">
        <f t="shared" si="27"/>
        <v>1802.6670241113707</v>
      </c>
      <c r="AZ32" s="24">
        <f t="shared" si="28"/>
        <v>0.32557253510248624</v>
      </c>
      <c r="BA32" s="24">
        <f t="shared" si="29"/>
        <v>0.19777147931713035</v>
      </c>
      <c r="BB32" s="24">
        <f t="shared" si="34"/>
        <v>0.20125530498782407</v>
      </c>
      <c r="BC32" s="24">
        <f t="shared" si="30"/>
        <v>6427.1626621831338</v>
      </c>
      <c r="BD32" s="1">
        <f t="shared" si="35"/>
        <v>0.24047306176084099</v>
      </c>
      <c r="BE32" s="1">
        <f t="shared" si="36"/>
        <v>0.14442298393069278</v>
      </c>
      <c r="BF32" s="1">
        <f t="shared" si="37"/>
        <v>0.19777147931713035</v>
      </c>
      <c r="BG32" s="1">
        <f t="shared" si="38"/>
        <v>6.6281321405812679E-2</v>
      </c>
    </row>
    <row r="33" spans="1:59" ht="12.75" customHeight="1" x14ac:dyDescent="0.2">
      <c r="A33" s="5">
        <v>1E-3</v>
      </c>
      <c r="B33" s="36" t="s">
        <v>103</v>
      </c>
      <c r="C33" s="34">
        <v>45.00439453125</v>
      </c>
      <c r="D33" s="34">
        <v>43.413330078125</v>
      </c>
      <c r="E33" s="34">
        <v>20.26171875</v>
      </c>
      <c r="F33" s="34">
        <v>26.073974609375</v>
      </c>
      <c r="G33" s="34">
        <v>132.967529296875</v>
      </c>
      <c r="H33" s="34">
        <v>132.967529296875</v>
      </c>
      <c r="I33" s="34">
        <v>132.967529296875</v>
      </c>
      <c r="J33" s="34">
        <v>132.967529296875</v>
      </c>
      <c r="K33" s="34">
        <v>132.967529296875</v>
      </c>
      <c r="L33" s="34">
        <v>132.967529296875</v>
      </c>
      <c r="M33" s="37">
        <v>60</v>
      </c>
      <c r="N33" s="34">
        <v>5.31005859375</v>
      </c>
      <c r="O33" s="36">
        <v>30</v>
      </c>
      <c r="P33" s="35">
        <v>1.08642578125</v>
      </c>
      <c r="Q33" s="34">
        <v>1</v>
      </c>
      <c r="R33" s="33" t="str">
        <f t="shared" si="0"/>
        <v>Countercurrent</v>
      </c>
      <c r="S33" s="32" t="s">
        <v>174</v>
      </c>
      <c r="T33" s="31">
        <f t="shared" si="1"/>
        <v>4.1789690951819152</v>
      </c>
      <c r="U33" s="31">
        <f t="shared" si="2"/>
        <v>4.1799858771627401</v>
      </c>
      <c r="V33" s="25">
        <f t="shared" si="3"/>
        <v>44.2088623046875</v>
      </c>
      <c r="W33" s="30">
        <f t="shared" si="4"/>
        <v>990.53134449836307</v>
      </c>
      <c r="X33" s="25">
        <f t="shared" si="5"/>
        <v>23.1678466796875</v>
      </c>
      <c r="Y33" s="30">
        <f t="shared" si="6"/>
        <v>997.50847794976164</v>
      </c>
      <c r="Z33" s="29">
        <f t="shared" si="7"/>
        <v>1.591064453125</v>
      </c>
      <c r="AA33" s="29">
        <f t="shared" si="8"/>
        <v>5.812255859375</v>
      </c>
      <c r="AB33" s="28">
        <f t="shared" si="9"/>
        <v>8.7662991303871243E-2</v>
      </c>
      <c r="AC33" s="28">
        <f t="shared" si="10"/>
        <v>1.8061982124334471E-2</v>
      </c>
      <c r="AD33" s="28"/>
      <c r="AE33" s="27">
        <f t="shared" si="11"/>
        <v>582.872033754923</v>
      </c>
      <c r="AF33" s="27">
        <f t="shared" si="12"/>
        <v>438.81851816687282</v>
      </c>
      <c r="AG33" s="27">
        <f t="shared" si="13"/>
        <v>144.05351558805017</v>
      </c>
      <c r="AH33" s="27">
        <f t="shared" si="14"/>
        <v>75.285567458084714</v>
      </c>
      <c r="AI33" s="27">
        <f t="shared" si="15"/>
        <v>3.535353535353535</v>
      </c>
      <c r="AJ33" s="27">
        <f t="shared" si="16"/>
        <v>22.291407222914074</v>
      </c>
      <c r="AK33" s="27">
        <f t="shared" si="17"/>
        <v>12.913380379133805</v>
      </c>
      <c r="AL33" s="25"/>
      <c r="AM33" s="27">
        <f t="shared" si="18"/>
        <v>20.970254939900673</v>
      </c>
      <c r="AN33" s="27">
        <f t="shared" si="31"/>
        <v>646.12091129067039</v>
      </c>
      <c r="AO33" s="26" t="str">
        <f t="shared" si="42"/>
        <v/>
      </c>
      <c r="AP33" s="25">
        <f t="shared" si="32"/>
        <v>1704.3228795278114</v>
      </c>
      <c r="AQ33" s="25">
        <f t="shared" si="20"/>
        <v>1040.6318312642493</v>
      </c>
      <c r="AR33" s="24">
        <f t="shared" si="39"/>
        <v>6.0501896972656242E-4</v>
      </c>
      <c r="AS33" s="24">
        <f t="shared" si="22"/>
        <v>35822.02921840737</v>
      </c>
      <c r="AT33" s="24">
        <f t="shared" si="40"/>
        <v>3.974873291015625</v>
      </c>
      <c r="AU33" s="24">
        <f t="shared" si="41"/>
        <v>0.63605063476562496</v>
      </c>
      <c r="AV33" s="24">
        <f t="shared" si="33"/>
        <v>182.87990662710351</v>
      </c>
      <c r="AW33" s="24">
        <f t="shared" si="25"/>
        <v>366.34093145007893</v>
      </c>
      <c r="AX33" s="24">
        <f t="shared" si="26"/>
        <v>75.498830193283951</v>
      </c>
      <c r="AY33" s="24">
        <f t="shared" si="27"/>
        <v>1868.0430773360731</v>
      </c>
      <c r="AZ33" s="24">
        <f t="shared" si="28"/>
        <v>0.31202280120120618</v>
      </c>
      <c r="BA33" s="24">
        <f t="shared" si="29"/>
        <v>0.20608898354447772</v>
      </c>
      <c r="BB33" s="24">
        <f t="shared" si="34"/>
        <v>0.19068823929677667</v>
      </c>
      <c r="BC33" s="24">
        <f t="shared" si="30"/>
        <v>6391.2571811015059</v>
      </c>
      <c r="BD33" s="1">
        <f t="shared" si="35"/>
        <v>0.23490813648293962</v>
      </c>
      <c r="BE33" s="1">
        <f t="shared" si="36"/>
        <v>0.13956972031549031</v>
      </c>
      <c r="BF33" s="1">
        <f t="shared" si="37"/>
        <v>0.20608898354447772</v>
      </c>
      <c r="BG33" s="1">
        <f t="shared" si="38"/>
        <v>6.3877643374247603E-2</v>
      </c>
    </row>
    <row r="34" spans="1:59" ht="12.75" customHeight="1" x14ac:dyDescent="0.2">
      <c r="A34" s="5">
        <v>1E-3</v>
      </c>
      <c r="B34" s="36" t="s">
        <v>104</v>
      </c>
      <c r="C34" s="34">
        <v>45.13427734375</v>
      </c>
      <c r="D34" s="34">
        <v>43.543212890625</v>
      </c>
      <c r="E34" s="34">
        <v>20.26171875</v>
      </c>
      <c r="F34" s="34">
        <v>26.17138671875</v>
      </c>
      <c r="G34" s="34">
        <v>132.967529296875</v>
      </c>
      <c r="H34" s="34">
        <v>132.967529296875</v>
      </c>
      <c r="I34" s="34">
        <v>132.967529296875</v>
      </c>
      <c r="J34" s="34">
        <v>132.967529296875</v>
      </c>
      <c r="K34" s="34">
        <v>132.967529296875</v>
      </c>
      <c r="L34" s="34">
        <v>132.967529296875</v>
      </c>
      <c r="M34" s="37">
        <v>60</v>
      </c>
      <c r="N34" s="34">
        <v>5.33447265625</v>
      </c>
      <c r="O34" s="36">
        <v>30</v>
      </c>
      <c r="P34" s="35">
        <v>1.01318359375</v>
      </c>
      <c r="Q34" s="34">
        <v>1</v>
      </c>
      <c r="R34" s="33" t="str">
        <f t="shared" ref="R34:R65" si="43">IF(ISNUMBER(Q34),IF(Q34=1,"Countercurrent","Cocurrent"),"")</f>
        <v>Countercurrent</v>
      </c>
      <c r="S34" s="32" t="s">
        <v>174</v>
      </c>
      <c r="T34" s="31">
        <f t="shared" ref="T34:T65" si="44">IF(ISNUMBER(C34),1.15290498E-12*(V34^6)-3.5879038802E-10*(V34^5)+4.710833256816E-08*(V34^4)-3.38194190874219E-06*(V34^3)+0.000148978977392744*(V34^2)-0.00373903643230733*(V34)+4.21734712411944,"")</f>
        <v>4.1789953421043036</v>
      </c>
      <c r="U34" s="31">
        <f t="shared" ref="U34:U65" si="45">IF(ISNUMBER(D34),1.15290498E-12*(X34^6)-3.5879038802E-10*(X34^5)+4.710833256816E-08*(X34^4)-3.38194190874219E-06*(X34^3)+0.000148978977392744*(X34^2)-0.00373903643230733*(X34)+4.21734712411944,"")</f>
        <v>4.1799660086524257</v>
      </c>
      <c r="V34" s="25">
        <f t="shared" ref="V34:V65" si="46">IF(ISNUMBER(C34),AVERAGE(C34,D34),"")</f>
        <v>44.3387451171875</v>
      </c>
      <c r="W34" s="30">
        <f t="shared" ref="W34:W65" si="47">IF(ISNUMBER(F34),-0.0000002301*(V34^4)+0.0000569866*(V34^3)-0.0082923226*(V34^2)+0.0654036947*V34+999.8017570756,"")</f>
        <v>990.47762139630811</v>
      </c>
      <c r="X34" s="25">
        <f t="shared" ref="X34:X65" si="48">IF(ISNUMBER(E34),AVERAGE(E34,F34),"")</f>
        <v>23.216552734375</v>
      </c>
      <c r="Y34" s="30">
        <f t="shared" ref="Y34:Y65" si="49">IF(ISNUMBER(F34),-0.0000002301*(X34^4)+0.0000569866*(X34^3)-0.0082923226*(X34^2)+0.0654036947*X34+999.8017570756,"")</f>
        <v>997.49684905037714</v>
      </c>
      <c r="Z34" s="29">
        <f t="shared" ref="Z34:Z65" si="50">IF(ISNUMBER(C34),IF(R34="Countercurrent",C34-D34,D34-C34),"")</f>
        <v>1.591064453125</v>
      </c>
      <c r="AA34" s="29">
        <f t="shared" ref="AA34:AA65" si="51">IF(ISNUMBER(E34),F34-E34,"")</f>
        <v>5.90966796875</v>
      </c>
      <c r="AB34" s="28">
        <f t="shared" ref="AB34:AB65" si="52">IF(ISNUMBER(N34),N34*W34/(1000*60),"")</f>
        <v>8.8061263132769088E-2</v>
      </c>
      <c r="AC34" s="28">
        <f t="shared" ref="AC34:AC65" si="53">IF(ISNUMBER(P34),P34*Y34/(1000*60),"")</f>
        <v>1.6844124037919371E-2</v>
      </c>
      <c r="AD34" s="28"/>
      <c r="AE34" s="27">
        <f t="shared" ref="AE34:AE65" si="54">AB34*T34*1000*(C34-D34)</f>
        <v>585.52382428698513</v>
      </c>
      <c r="AF34" s="27">
        <f t="shared" ref="AF34:AF65" si="55">AC34*U34*1000*(F34-E34)</f>
        <v>416.08710999927416</v>
      </c>
      <c r="AG34" s="27">
        <f t="shared" ref="AG34:AG65" si="56">AE34-AF34</f>
        <v>169.43671428771097</v>
      </c>
      <c r="AH34" s="27">
        <f t="shared" ref="AH34:AH65" si="57">AF34/AE34*100</f>
        <v>71.062370605663986</v>
      </c>
      <c r="AI34" s="27">
        <f t="shared" ref="AI34:AI65" si="58">(C34-D34)/C34*100</f>
        <v>3.5251798561151078</v>
      </c>
      <c r="AJ34" s="27">
        <f t="shared" ref="AJ34:AJ65" si="59">(F34-E34)/F34*100</f>
        <v>22.58064516129032</v>
      </c>
      <c r="AK34" s="27">
        <f t="shared" ref="AK34:AK65" si="60">(AI34+AJ34)/2</f>
        <v>13.052912508702715</v>
      </c>
      <c r="AL34" s="25"/>
      <c r="AM34" s="27">
        <f t="shared" ref="AM34:AM65" si="61">((C34-F34)-(D34-E34))/(LN((C34-F34)/(D34-E34)))</f>
        <v>21.048405065482278</v>
      </c>
      <c r="AN34" s="27">
        <f t="shared" ref="AN34:AN65" si="62">1/((1/AP34)+(1/AQ34))</f>
        <v>623.63872987107413</v>
      </c>
      <c r="AO34" s="26" t="str">
        <f t="shared" si="42"/>
        <v/>
      </c>
      <c r="AP34" s="25">
        <f t="shared" ref="AP34:AP65" si="63">AE34/($AI$87*AM34)</f>
        <v>1705.7200087845245</v>
      </c>
      <c r="AQ34" s="25">
        <f t="shared" ref="AQ34:AQ65" si="64">AF34/($AJ$87*AM34)</f>
        <v>983.06206800121709</v>
      </c>
      <c r="AR34" s="24">
        <f t="shared" si="39"/>
        <v>6.0353830566406245E-4</v>
      </c>
      <c r="AS34" s="24">
        <f t="shared" ref="AS34:AS65" si="65">(4*AB34)/(AR34*PI()*0.00515)</f>
        <v>36073.058066580437</v>
      </c>
      <c r="AT34" s="24">
        <f t="shared" si="40"/>
        <v>3.9642229003906251</v>
      </c>
      <c r="AU34" s="24">
        <f t="shared" si="41"/>
        <v>0.63620649414062502</v>
      </c>
      <c r="AV34" s="24">
        <f t="shared" ref="AV34:AV65" si="66">0.013*(AS34^0.867)*(AT34^(1/3))</f>
        <v>183.82602717683591</v>
      </c>
      <c r="AW34" s="24">
        <f t="shared" ref="AW34:AW65" si="67">IF(AB34*T34&gt;AC34*U34,AB34*T34*1000,AC34*U34*1000)</f>
        <v>368.00760845166349</v>
      </c>
      <c r="AX34" s="24">
        <f t="shared" ref="AX34:AX65" si="68">IF(AB34*T34&lt;AC34*U34,AB34*T34*1000,AC34*U34*1000)</f>
        <v>70.407865924028215</v>
      </c>
      <c r="AY34" s="24">
        <f t="shared" ref="AY34:AY65" si="69">AX34*(C34-E34)</f>
        <v>1751.2237706562858</v>
      </c>
      <c r="AZ34" s="24">
        <f t="shared" ref="AZ34:AZ65" si="70">AE34/AY34</f>
        <v>0.33435123146344409</v>
      </c>
      <c r="BA34" s="24">
        <f t="shared" ref="BA34:BA65" si="71">AX34/AW34</f>
        <v>0.19132176701524919</v>
      </c>
      <c r="BB34" s="24">
        <f t="shared" si="34"/>
        <v>0.20820523842032543</v>
      </c>
      <c r="BC34" s="24">
        <f t="shared" ref="BC34:BC65" si="72">AV34*AU34/0.0182</f>
        <v>6425.8962792293414</v>
      </c>
      <c r="BD34" s="1">
        <f t="shared" si="35"/>
        <v>0.23759791122715404</v>
      </c>
      <c r="BE34" s="1">
        <f t="shared" si="36"/>
        <v>0.14445398638855422</v>
      </c>
      <c r="BF34" s="1">
        <f t="shared" si="37"/>
        <v>0.19132176701524919</v>
      </c>
      <c r="BG34" s="1">
        <f t="shared" si="38"/>
        <v>6.644588859959942E-2</v>
      </c>
    </row>
    <row r="35" spans="1:59" ht="12.75" customHeight="1" x14ac:dyDescent="0.2">
      <c r="A35" s="5">
        <v>1E-3</v>
      </c>
      <c r="B35" s="36" t="s">
        <v>105</v>
      </c>
      <c r="C35" s="34">
        <v>45.19921875</v>
      </c>
      <c r="D35" s="34">
        <v>43.608154296875</v>
      </c>
      <c r="E35" s="34">
        <v>20.26171875</v>
      </c>
      <c r="F35" s="34">
        <v>26.138916015625</v>
      </c>
      <c r="G35" s="34">
        <v>132.967529296875</v>
      </c>
      <c r="H35" s="34">
        <v>132.967529296875</v>
      </c>
      <c r="I35" s="34">
        <v>132.967529296875</v>
      </c>
      <c r="J35" s="34">
        <v>132.967529296875</v>
      </c>
      <c r="K35" s="34">
        <v>132.967529296875</v>
      </c>
      <c r="L35" s="34">
        <v>132.967529296875</v>
      </c>
      <c r="M35" s="37">
        <v>60</v>
      </c>
      <c r="N35" s="34">
        <v>5.40771484375</v>
      </c>
      <c r="O35" s="36">
        <v>30</v>
      </c>
      <c r="P35" s="35">
        <v>1.06201171875</v>
      </c>
      <c r="Q35" s="34">
        <v>1</v>
      </c>
      <c r="R35" s="33" t="str">
        <f t="shared" si="43"/>
        <v>Countercurrent</v>
      </c>
      <c r="S35" s="32" t="s">
        <v>174</v>
      </c>
      <c r="T35" s="31">
        <f t="shared" si="44"/>
        <v>4.1790085780518007</v>
      </c>
      <c r="U35" s="31">
        <f t="shared" si="45"/>
        <v>4.1799726178108516</v>
      </c>
      <c r="V35" s="25">
        <f t="shared" si="46"/>
        <v>44.4036865234375</v>
      </c>
      <c r="W35" s="30">
        <f t="shared" si="47"/>
        <v>990.45071648142107</v>
      </c>
      <c r="X35" s="25">
        <f t="shared" si="48"/>
        <v>23.2003173828125</v>
      </c>
      <c r="Y35" s="30">
        <f t="shared" si="49"/>
        <v>997.50072802277919</v>
      </c>
      <c r="Z35" s="29">
        <f t="shared" si="50"/>
        <v>1.591064453125</v>
      </c>
      <c r="AA35" s="29">
        <f t="shared" si="51"/>
        <v>5.877197265625</v>
      </c>
      <c r="AB35" s="28">
        <f t="shared" si="52"/>
        <v>8.9267917358656718E-2</v>
      </c>
      <c r="AC35" s="28">
        <f t="shared" si="53"/>
        <v>1.7655957710364135E-2</v>
      </c>
      <c r="AD35" s="28"/>
      <c r="AE35" s="27">
        <f t="shared" si="54"/>
        <v>593.54880961517813</v>
      </c>
      <c r="AF35" s="27">
        <f t="shared" si="55"/>
        <v>433.74550247471024</v>
      </c>
      <c r="AG35" s="27">
        <f t="shared" si="56"/>
        <v>159.80330714046789</v>
      </c>
      <c r="AH35" s="27">
        <f t="shared" si="57"/>
        <v>73.076635897210394</v>
      </c>
      <c r="AI35" s="27">
        <f t="shared" si="58"/>
        <v>3.5201149425287355</v>
      </c>
      <c r="AJ35" s="27">
        <f t="shared" si="59"/>
        <v>22.48447204968944</v>
      </c>
      <c r="AK35" s="27">
        <f t="shared" si="60"/>
        <v>13.002293496109088</v>
      </c>
      <c r="AL35" s="25"/>
      <c r="AM35" s="27">
        <f t="shared" si="61"/>
        <v>21.130970075825612</v>
      </c>
      <c r="AN35" s="27">
        <f t="shared" si="62"/>
        <v>640.92314149634876</v>
      </c>
      <c r="AO35" s="26" t="str">
        <f t="shared" si="42"/>
        <v/>
      </c>
      <c r="AP35" s="25">
        <f t="shared" si="63"/>
        <v>1722.3419100496192</v>
      </c>
      <c r="AQ35" s="25">
        <f t="shared" si="64"/>
        <v>1020.7782774073855</v>
      </c>
      <c r="AR35" s="24">
        <f t="shared" si="39"/>
        <v>6.0279797363281247E-4</v>
      </c>
      <c r="AS35" s="24">
        <f t="shared" si="65"/>
        <v>36612.25753443814</v>
      </c>
      <c r="AT35" s="24">
        <f t="shared" si="40"/>
        <v>3.9588977050781251</v>
      </c>
      <c r="AU35" s="24">
        <f t="shared" si="41"/>
        <v>0.636284423828125</v>
      </c>
      <c r="AV35" s="24">
        <f t="shared" si="66"/>
        <v>186.12253624594703</v>
      </c>
      <c r="AW35" s="24">
        <f t="shared" si="67"/>
        <v>373.05139238664566</v>
      </c>
      <c r="AX35" s="24">
        <f t="shared" si="68"/>
        <v>73.801419770548463</v>
      </c>
      <c r="AY35" s="24">
        <f t="shared" si="69"/>
        <v>1840.4229055280523</v>
      </c>
      <c r="AZ35" s="24">
        <f t="shared" si="70"/>
        <v>0.32250674985208233</v>
      </c>
      <c r="BA35" s="24">
        <f t="shared" si="71"/>
        <v>0.19783177673830438</v>
      </c>
      <c r="BB35" s="24">
        <f t="shared" si="34"/>
        <v>0.19883891850726404</v>
      </c>
      <c r="BC35" s="24">
        <f t="shared" si="72"/>
        <v>6506.9709195978967</v>
      </c>
      <c r="BD35" s="1">
        <f t="shared" si="35"/>
        <v>0.23567708333333334</v>
      </c>
      <c r="BE35" s="1">
        <f t="shared" si="36"/>
        <v>0.14163117880739584</v>
      </c>
      <c r="BF35" s="1">
        <f t="shared" si="37"/>
        <v>0.19783177673830438</v>
      </c>
      <c r="BG35" s="1">
        <f t="shared" si="38"/>
        <v>6.5003170202573068E-2</v>
      </c>
    </row>
    <row r="36" spans="1:59" ht="12.75" customHeight="1" x14ac:dyDescent="0.2">
      <c r="A36" s="5">
        <v>1E-3</v>
      </c>
      <c r="B36" s="36" t="s">
        <v>106</v>
      </c>
      <c r="C36" s="34">
        <v>45.0693359375</v>
      </c>
      <c r="D36" s="34">
        <v>43.543212890625</v>
      </c>
      <c r="E36" s="34">
        <v>20.26171875</v>
      </c>
      <c r="F36" s="34">
        <v>26.073974609375</v>
      </c>
      <c r="G36" s="34">
        <v>132.967529296875</v>
      </c>
      <c r="H36" s="34">
        <v>132.967529296875</v>
      </c>
      <c r="I36" s="34">
        <v>132.967529296875</v>
      </c>
      <c r="J36" s="34">
        <v>132.967529296875</v>
      </c>
      <c r="K36" s="34">
        <v>132.967529296875</v>
      </c>
      <c r="L36" s="34">
        <v>132.967529296875</v>
      </c>
      <c r="M36" s="37">
        <v>60</v>
      </c>
      <c r="N36" s="34">
        <v>5.21240234375</v>
      </c>
      <c r="O36" s="36">
        <v>30</v>
      </c>
      <c r="P36" s="35">
        <v>1.0009765625</v>
      </c>
      <c r="Q36" s="34">
        <v>1</v>
      </c>
      <c r="R36" s="33" t="str">
        <f t="shared" si="43"/>
        <v>Countercurrent</v>
      </c>
      <c r="S36" s="32" t="s">
        <v>174</v>
      </c>
      <c r="T36" s="31">
        <f t="shared" si="44"/>
        <v>4.1789887522303015</v>
      </c>
      <c r="U36" s="31">
        <f t="shared" si="45"/>
        <v>4.1799858771627401</v>
      </c>
      <c r="V36" s="25">
        <f t="shared" si="46"/>
        <v>44.3062744140625</v>
      </c>
      <c r="W36" s="30">
        <f t="shared" si="47"/>
        <v>990.49106301777817</v>
      </c>
      <c r="X36" s="25">
        <f t="shared" si="48"/>
        <v>23.1678466796875</v>
      </c>
      <c r="Y36" s="30">
        <f t="shared" si="49"/>
        <v>997.50847794976164</v>
      </c>
      <c r="Z36" s="29">
        <f t="shared" si="50"/>
        <v>1.526123046875</v>
      </c>
      <c r="AA36" s="29">
        <f t="shared" si="51"/>
        <v>5.812255859375</v>
      </c>
      <c r="AB36" s="28">
        <f t="shared" si="52"/>
        <v>8.6047298972288258E-2</v>
      </c>
      <c r="AC36" s="28">
        <f t="shared" si="53"/>
        <v>1.6641376788712657E-2</v>
      </c>
      <c r="AD36" s="28"/>
      <c r="AE36" s="27">
        <f t="shared" si="54"/>
        <v>548.77964641742096</v>
      </c>
      <c r="AF36" s="27">
        <f t="shared" si="55"/>
        <v>404.30470213127614</v>
      </c>
      <c r="AG36" s="27">
        <f t="shared" si="56"/>
        <v>144.47494428614482</v>
      </c>
      <c r="AH36" s="27">
        <f t="shared" si="57"/>
        <v>73.673414232959331</v>
      </c>
      <c r="AI36" s="27">
        <f t="shared" si="58"/>
        <v>3.3861671469740631</v>
      </c>
      <c r="AJ36" s="27">
        <f t="shared" si="59"/>
        <v>22.291407222914074</v>
      </c>
      <c r="AK36" s="27">
        <f t="shared" si="60"/>
        <v>12.838787184944069</v>
      </c>
      <c r="AL36" s="25"/>
      <c r="AM36" s="27">
        <f t="shared" si="61"/>
        <v>21.06580501815256</v>
      </c>
      <c r="AN36" s="27">
        <f t="shared" si="62"/>
        <v>597.45244795209601</v>
      </c>
      <c r="AO36" s="26" t="str">
        <f t="shared" si="42"/>
        <v/>
      </c>
      <c r="AP36" s="25">
        <f t="shared" si="63"/>
        <v>1597.358148677142</v>
      </c>
      <c r="AQ36" s="25">
        <f t="shared" si="64"/>
        <v>954.43553876268231</v>
      </c>
      <c r="AR36" s="24">
        <f t="shared" si="39"/>
        <v>6.039084716796875E-4</v>
      </c>
      <c r="AS36" s="24">
        <f t="shared" si="65"/>
        <v>35226.460649344743</v>
      </c>
      <c r="AT36" s="24">
        <f t="shared" si="40"/>
        <v>3.9668854980468753</v>
      </c>
      <c r="AU36" s="24">
        <f t="shared" si="41"/>
        <v>0.63616752929687503</v>
      </c>
      <c r="AV36" s="24">
        <f t="shared" si="66"/>
        <v>180.12002792474374</v>
      </c>
      <c r="AW36" s="24">
        <f t="shared" si="67"/>
        <v>359.5906945649906</v>
      </c>
      <c r="AX36" s="24">
        <f t="shared" si="68"/>
        <v>69.560719953362749</v>
      </c>
      <c r="AY36" s="24">
        <f t="shared" si="69"/>
        <v>1725.6357118899159</v>
      </c>
      <c r="AZ36" s="24">
        <f t="shared" si="70"/>
        <v>0.31801593038219961</v>
      </c>
      <c r="BA36" s="24">
        <f t="shared" si="71"/>
        <v>0.19344416027648539</v>
      </c>
      <c r="BB36" s="24">
        <f t="shared" si="34"/>
        <v>0.19530724323259976</v>
      </c>
      <c r="BC36" s="24">
        <f t="shared" si="72"/>
        <v>6295.9622605367231</v>
      </c>
      <c r="BD36" s="1">
        <f t="shared" si="35"/>
        <v>0.2342931937172775</v>
      </c>
      <c r="BE36" s="1">
        <f t="shared" si="36"/>
        <v>0.14007379995539943</v>
      </c>
      <c r="BF36" s="1">
        <f t="shared" si="37"/>
        <v>0.19344416027648539</v>
      </c>
      <c r="BG36" s="1">
        <f t="shared" si="38"/>
        <v>6.4389765536539384E-2</v>
      </c>
    </row>
    <row r="37" spans="1:59" ht="12.75" customHeight="1" x14ac:dyDescent="0.2">
      <c r="A37" s="5">
        <v>1E-3</v>
      </c>
      <c r="B37" s="36" t="s">
        <v>107</v>
      </c>
      <c r="C37" s="34">
        <v>44.939453125</v>
      </c>
      <c r="D37" s="34">
        <v>43.413330078125</v>
      </c>
      <c r="E37" s="34">
        <v>20.26171875</v>
      </c>
      <c r="F37" s="34">
        <v>26.17138671875</v>
      </c>
      <c r="G37" s="34">
        <v>132.967529296875</v>
      </c>
      <c r="H37" s="34">
        <v>132.967529296875</v>
      </c>
      <c r="I37" s="34">
        <v>132.967529296875</v>
      </c>
      <c r="J37" s="34">
        <v>132.967529296875</v>
      </c>
      <c r="K37" s="34">
        <v>132.967529296875</v>
      </c>
      <c r="L37" s="34">
        <v>132.967529296875</v>
      </c>
      <c r="M37" s="37">
        <v>60</v>
      </c>
      <c r="N37" s="34">
        <v>5.40771484375</v>
      </c>
      <c r="O37" s="36">
        <v>30</v>
      </c>
      <c r="P37" s="35">
        <v>0.9765625</v>
      </c>
      <c r="Q37" s="34">
        <v>1</v>
      </c>
      <c r="R37" s="33" t="str">
        <f t="shared" si="43"/>
        <v>Countercurrent</v>
      </c>
      <c r="S37" s="32" t="s">
        <v>174</v>
      </c>
      <c r="T37" s="31">
        <f t="shared" si="44"/>
        <v>4.1789625804057504</v>
      </c>
      <c r="U37" s="31">
        <f t="shared" si="45"/>
        <v>4.1799660086524257</v>
      </c>
      <c r="V37" s="25">
        <f t="shared" si="46"/>
        <v>44.1763916015625</v>
      </c>
      <c r="W37" s="30">
        <f t="shared" si="47"/>
        <v>990.54475718615527</v>
      </c>
      <c r="X37" s="25">
        <f t="shared" si="48"/>
        <v>23.216552734375</v>
      </c>
      <c r="Y37" s="30">
        <f t="shared" si="49"/>
        <v>997.49684905037714</v>
      </c>
      <c r="Z37" s="29">
        <f t="shared" si="50"/>
        <v>1.526123046875</v>
      </c>
      <c r="AA37" s="29">
        <f t="shared" si="51"/>
        <v>5.90966796875</v>
      </c>
      <c r="AB37" s="28">
        <f t="shared" si="52"/>
        <v>8.9276393113905186E-2</v>
      </c>
      <c r="AC37" s="28">
        <f t="shared" si="53"/>
        <v>1.6235300277512649E-2</v>
      </c>
      <c r="AD37" s="28"/>
      <c r="AE37" s="27">
        <f t="shared" si="54"/>
        <v>569.37011622556349</v>
      </c>
      <c r="AF37" s="27">
        <f t="shared" si="55"/>
        <v>401.04781686677029</v>
      </c>
      <c r="AG37" s="27">
        <f t="shared" si="56"/>
        <v>168.3222993587932</v>
      </c>
      <c r="AH37" s="27">
        <f t="shared" si="57"/>
        <v>70.437103289750098</v>
      </c>
      <c r="AI37" s="27">
        <f t="shared" si="58"/>
        <v>3.395953757225433</v>
      </c>
      <c r="AJ37" s="27">
        <f t="shared" si="59"/>
        <v>22.58064516129032</v>
      </c>
      <c r="AK37" s="27">
        <f t="shared" si="60"/>
        <v>12.988299459257878</v>
      </c>
      <c r="AL37" s="25"/>
      <c r="AM37" s="27">
        <f t="shared" si="61"/>
        <v>20.883216851886175</v>
      </c>
      <c r="AN37" s="27">
        <f t="shared" si="62"/>
        <v>607.80762793634142</v>
      </c>
      <c r="AO37" s="26" t="str">
        <f t="shared" si="42"/>
        <v/>
      </c>
      <c r="AP37" s="25">
        <f t="shared" si="63"/>
        <v>1671.7819699923652</v>
      </c>
      <c r="AQ37" s="25">
        <f t="shared" si="64"/>
        <v>955.02475336411749</v>
      </c>
      <c r="AR37" s="24">
        <f t="shared" si="39"/>
        <v>6.0538913574218747E-4</v>
      </c>
      <c r="AS37" s="24">
        <f t="shared" si="65"/>
        <v>36459.012588812242</v>
      </c>
      <c r="AT37" s="24">
        <f t="shared" si="40"/>
        <v>3.9775358886718752</v>
      </c>
      <c r="AU37" s="24">
        <f t="shared" si="41"/>
        <v>0.63601166992187497</v>
      </c>
      <c r="AV37" s="24">
        <f t="shared" si="66"/>
        <v>185.73748977913664</v>
      </c>
      <c r="AW37" s="24">
        <f t="shared" si="67"/>
        <v>373.08270613660341</v>
      </c>
      <c r="AX37" s="24">
        <f t="shared" si="68"/>
        <v>67.863003300268161</v>
      </c>
      <c r="AY37" s="24">
        <f t="shared" si="69"/>
        <v>1674.705169333766</v>
      </c>
      <c r="AZ37" s="24">
        <f t="shared" si="70"/>
        <v>0.33998230055745948</v>
      </c>
      <c r="BA37" s="24">
        <f t="shared" si="71"/>
        <v>0.18189801399001398</v>
      </c>
      <c r="BB37" s="24">
        <f t="shared" si="34"/>
        <v>0.21265354081837479</v>
      </c>
      <c r="BC37" s="24">
        <f t="shared" si="72"/>
        <v>6490.7258814025199</v>
      </c>
      <c r="BD37" s="1">
        <f t="shared" si="35"/>
        <v>0.23947368421052631</v>
      </c>
      <c r="BE37" s="1">
        <f t="shared" si="36"/>
        <v>0.14606652739012302</v>
      </c>
      <c r="BF37" s="1">
        <f t="shared" si="37"/>
        <v>0.18189801399001398</v>
      </c>
      <c r="BG37" s="1">
        <f t="shared" si="38"/>
        <v>6.7411523154502717E-2</v>
      </c>
    </row>
    <row r="38" spans="1:59" ht="12.75" customHeight="1" x14ac:dyDescent="0.2">
      <c r="A38" s="5">
        <v>1E-3</v>
      </c>
      <c r="B38" s="36" t="s">
        <v>108</v>
      </c>
      <c r="C38" s="34">
        <v>44.971923828125</v>
      </c>
      <c r="D38" s="34">
        <v>43.380859375</v>
      </c>
      <c r="E38" s="34">
        <v>20.26171875</v>
      </c>
      <c r="F38" s="34">
        <v>26.138916015625</v>
      </c>
      <c r="G38" s="34">
        <v>132.967529296875</v>
      </c>
      <c r="H38" s="34">
        <v>132.967529296875</v>
      </c>
      <c r="I38" s="34">
        <v>132.967529296875</v>
      </c>
      <c r="J38" s="34">
        <v>132.967529296875</v>
      </c>
      <c r="K38" s="34">
        <v>132.967529296875</v>
      </c>
      <c r="L38" s="34">
        <v>132.967529296875</v>
      </c>
      <c r="M38" s="37">
        <v>60</v>
      </c>
      <c r="N38" s="34">
        <v>5.2490234375</v>
      </c>
      <c r="O38" s="36">
        <v>30</v>
      </c>
      <c r="P38" s="35">
        <v>1.0498046875</v>
      </c>
      <c r="Q38" s="34">
        <v>1</v>
      </c>
      <c r="R38" s="33" t="str">
        <f t="shared" si="43"/>
        <v>Countercurrent</v>
      </c>
      <c r="S38" s="32" t="s">
        <v>174</v>
      </c>
      <c r="T38" s="31">
        <f t="shared" si="44"/>
        <v>4.1789625804057504</v>
      </c>
      <c r="U38" s="31">
        <f t="shared" si="45"/>
        <v>4.1799726178108516</v>
      </c>
      <c r="V38" s="25">
        <f t="shared" si="46"/>
        <v>44.1763916015625</v>
      </c>
      <c r="W38" s="30">
        <f t="shared" si="47"/>
        <v>990.54475718615527</v>
      </c>
      <c r="X38" s="25">
        <f t="shared" si="48"/>
        <v>23.2003173828125</v>
      </c>
      <c r="Y38" s="30">
        <f t="shared" si="49"/>
        <v>997.50072802277919</v>
      </c>
      <c r="Z38" s="29">
        <f t="shared" si="50"/>
        <v>1.591064453125</v>
      </c>
      <c r="AA38" s="29">
        <f t="shared" si="51"/>
        <v>5.877197265625</v>
      </c>
      <c r="AB38" s="28">
        <f t="shared" si="52"/>
        <v>8.6656544106047936E-2</v>
      </c>
      <c r="AC38" s="28">
        <f t="shared" si="53"/>
        <v>1.745301566771627E-2</v>
      </c>
      <c r="AD38" s="28"/>
      <c r="AE38" s="27">
        <f t="shared" si="54"/>
        <v>576.17925886713522</v>
      </c>
      <c r="AF38" s="27">
        <f t="shared" si="55"/>
        <v>428.75992198649516</v>
      </c>
      <c r="AG38" s="27">
        <f t="shared" si="56"/>
        <v>147.41933688064006</v>
      </c>
      <c r="AH38" s="27">
        <f t="shared" si="57"/>
        <v>74.414327726671189</v>
      </c>
      <c r="AI38" s="27">
        <f t="shared" si="58"/>
        <v>3.5379061371841161</v>
      </c>
      <c r="AJ38" s="27">
        <f t="shared" si="59"/>
        <v>22.48447204968944</v>
      </c>
      <c r="AK38" s="27">
        <f t="shared" si="60"/>
        <v>13.011189093436778</v>
      </c>
      <c r="AL38" s="25"/>
      <c r="AM38" s="27">
        <f t="shared" si="61"/>
        <v>20.902886264520649</v>
      </c>
      <c r="AN38" s="27">
        <f t="shared" si="62"/>
        <v>636.13606323461659</v>
      </c>
      <c r="AO38" s="26" t="str">
        <f t="shared" si="42"/>
        <v/>
      </c>
      <c r="AP38" s="25">
        <f t="shared" si="63"/>
        <v>1690.1830001734008</v>
      </c>
      <c r="AQ38" s="25">
        <f t="shared" si="64"/>
        <v>1020.0554853837822</v>
      </c>
      <c r="AR38" s="24">
        <f t="shared" si="39"/>
        <v>6.0538913574218747E-4</v>
      </c>
      <c r="AS38" s="24">
        <f t="shared" si="65"/>
        <v>35389.109284851613</v>
      </c>
      <c r="AT38" s="24">
        <f t="shared" si="40"/>
        <v>3.9775358886718752</v>
      </c>
      <c r="AU38" s="24">
        <f t="shared" si="41"/>
        <v>0.63601166992187497</v>
      </c>
      <c r="AV38" s="24">
        <f t="shared" si="66"/>
        <v>181.00254950994898</v>
      </c>
      <c r="AW38" s="24">
        <f t="shared" si="67"/>
        <v>362.13445516645481</v>
      </c>
      <c r="AX38" s="24">
        <f t="shared" si="68"/>
        <v>72.953127589277784</v>
      </c>
      <c r="AY38" s="24">
        <f t="shared" si="69"/>
        <v>1802.686743821673</v>
      </c>
      <c r="AZ38" s="24">
        <f t="shared" si="70"/>
        <v>0.31962250837083461</v>
      </c>
      <c r="BA38" s="24">
        <f t="shared" si="71"/>
        <v>0.20145315240922032</v>
      </c>
      <c r="BB38" s="24">
        <f t="shared" si="34"/>
        <v>0.19658948573335217</v>
      </c>
      <c r="BC38" s="24">
        <f t="shared" si="72"/>
        <v>6325.2600974692032</v>
      </c>
      <c r="BD38" s="1">
        <f t="shared" si="35"/>
        <v>0.23784494086727989</v>
      </c>
      <c r="BE38" s="1">
        <f t="shared" si="36"/>
        <v>0.14220790398916627</v>
      </c>
      <c r="BF38" s="1">
        <f t="shared" si="37"/>
        <v>0.20145315240922032</v>
      </c>
      <c r="BG38" s="1">
        <f t="shared" si="38"/>
        <v>6.5184866141992356E-2</v>
      </c>
    </row>
    <row r="39" spans="1:59" ht="12.75" customHeight="1" x14ac:dyDescent="0.2">
      <c r="A39" s="5">
        <v>1E-3</v>
      </c>
      <c r="B39" s="36" t="s">
        <v>109</v>
      </c>
      <c r="C39" s="34">
        <v>45.0693359375</v>
      </c>
      <c r="D39" s="34">
        <v>43.478271484375</v>
      </c>
      <c r="E39" s="34">
        <v>20.26171875</v>
      </c>
      <c r="F39" s="34">
        <v>26.073974609375</v>
      </c>
      <c r="G39" s="34">
        <v>132.967529296875</v>
      </c>
      <c r="H39" s="34">
        <v>132.967529296875</v>
      </c>
      <c r="I39" s="34">
        <v>132.967529296875</v>
      </c>
      <c r="J39" s="34">
        <v>132.967529296875</v>
      </c>
      <c r="K39" s="34">
        <v>132.967529296875</v>
      </c>
      <c r="L39" s="34">
        <v>132.967529296875</v>
      </c>
      <c r="M39" s="37">
        <v>60</v>
      </c>
      <c r="N39" s="34">
        <v>5.35888671875</v>
      </c>
      <c r="O39" s="36">
        <v>30</v>
      </c>
      <c r="P39" s="35">
        <v>1.11083984375</v>
      </c>
      <c r="Q39" s="34">
        <v>1</v>
      </c>
      <c r="R39" s="33" t="str">
        <f t="shared" si="43"/>
        <v>Countercurrent</v>
      </c>
      <c r="S39" s="32" t="s">
        <v>174</v>
      </c>
      <c r="T39" s="31">
        <f t="shared" si="44"/>
        <v>4.1789821811088395</v>
      </c>
      <c r="U39" s="31">
        <f t="shared" si="45"/>
        <v>4.1799858771627401</v>
      </c>
      <c r="V39" s="25">
        <f t="shared" si="46"/>
        <v>44.2738037109375</v>
      </c>
      <c r="W39" s="30">
        <f t="shared" si="47"/>
        <v>990.50449741083321</v>
      </c>
      <c r="X39" s="25">
        <f t="shared" si="48"/>
        <v>23.1678466796875</v>
      </c>
      <c r="Y39" s="30">
        <f t="shared" si="49"/>
        <v>997.50847794976164</v>
      </c>
      <c r="Z39" s="29">
        <f t="shared" si="50"/>
        <v>1.591064453125</v>
      </c>
      <c r="AA39" s="29">
        <f t="shared" si="51"/>
        <v>5.812255859375</v>
      </c>
      <c r="AB39" s="28">
        <f t="shared" si="52"/>
        <v>8.8466689933950959E-2</v>
      </c>
      <c r="AC39" s="28">
        <f t="shared" si="53"/>
        <v>1.8467869363083561E-2</v>
      </c>
      <c r="AD39" s="28"/>
      <c r="AE39" s="27">
        <f t="shared" si="54"/>
        <v>588.21767524813185</v>
      </c>
      <c r="AF39" s="27">
        <f t="shared" si="55"/>
        <v>448.67960846275759</v>
      </c>
      <c r="AG39" s="27">
        <f t="shared" si="56"/>
        <v>139.53806678537427</v>
      </c>
      <c r="AH39" s="27">
        <f t="shared" si="57"/>
        <v>76.277818117840141</v>
      </c>
      <c r="AI39" s="27">
        <f t="shared" si="58"/>
        <v>3.5302593659942363</v>
      </c>
      <c r="AJ39" s="27">
        <f t="shared" si="59"/>
        <v>22.291407222914074</v>
      </c>
      <c r="AK39" s="27">
        <f t="shared" si="60"/>
        <v>12.910833294454156</v>
      </c>
      <c r="AL39" s="25"/>
      <c r="AM39" s="27">
        <f t="shared" si="61"/>
        <v>21.035415243508574</v>
      </c>
      <c r="AN39" s="27">
        <f t="shared" si="62"/>
        <v>655.31970305981747</v>
      </c>
      <c r="AO39" s="26" t="str">
        <f t="shared" si="42"/>
        <v/>
      </c>
      <c r="AP39" s="25">
        <f t="shared" si="63"/>
        <v>1714.6257715051438</v>
      </c>
      <c r="AQ39" s="25">
        <f t="shared" si="64"/>
        <v>1060.7208670960756</v>
      </c>
      <c r="AR39" s="24">
        <f t="shared" si="39"/>
        <v>6.0427863769531244E-4</v>
      </c>
      <c r="AS39" s="24">
        <f t="shared" si="65"/>
        <v>36194.737074007811</v>
      </c>
      <c r="AT39" s="24">
        <f t="shared" si="40"/>
        <v>3.9695480957031251</v>
      </c>
      <c r="AU39" s="24">
        <f t="shared" si="41"/>
        <v>0.63612856445312504</v>
      </c>
      <c r="AV39" s="24">
        <f t="shared" si="66"/>
        <v>184.44602190899374</v>
      </c>
      <c r="AW39" s="24">
        <f t="shared" si="67"/>
        <v>369.70072085566181</v>
      </c>
      <c r="AX39" s="24">
        <f t="shared" si="68"/>
        <v>77.195433118975728</v>
      </c>
      <c r="AY39" s="24">
        <f t="shared" si="69"/>
        <v>1915.034753438809</v>
      </c>
      <c r="AZ39" s="24">
        <f t="shared" si="70"/>
        <v>0.30715770259097136</v>
      </c>
      <c r="BA39" s="24">
        <f t="shared" si="71"/>
        <v>0.208805200434311</v>
      </c>
      <c r="BB39" s="24">
        <f t="shared" si="34"/>
        <v>0.18694479252335169</v>
      </c>
      <c r="BC39" s="24">
        <f t="shared" si="72"/>
        <v>6446.7792931899903</v>
      </c>
      <c r="BD39" s="1">
        <f t="shared" si="35"/>
        <v>0.2342931937172775</v>
      </c>
      <c r="BE39" s="1">
        <f t="shared" si="36"/>
        <v>0.13844562983876582</v>
      </c>
      <c r="BF39" s="1">
        <f t="shared" si="37"/>
        <v>0.208805200434311</v>
      </c>
      <c r="BG39" s="1">
        <f t="shared" si="38"/>
        <v>6.3306125214394687E-2</v>
      </c>
    </row>
    <row r="40" spans="1:59" ht="12.75" customHeight="1" x14ac:dyDescent="0.2">
      <c r="A40" s="5">
        <v>1E-3</v>
      </c>
      <c r="B40" s="36" t="s">
        <v>110</v>
      </c>
      <c r="C40" s="34">
        <v>45.166748046875</v>
      </c>
      <c r="D40" s="34">
        <v>43.57568359375</v>
      </c>
      <c r="E40" s="34">
        <v>20.26171875</v>
      </c>
      <c r="F40" s="34">
        <v>26.138916015625</v>
      </c>
      <c r="G40" s="34">
        <v>132.967529296875</v>
      </c>
      <c r="H40" s="34">
        <v>132.967529296875</v>
      </c>
      <c r="I40" s="34">
        <v>132.967529296875</v>
      </c>
      <c r="J40" s="34">
        <v>132.967529296875</v>
      </c>
      <c r="K40" s="34">
        <v>132.967529296875</v>
      </c>
      <c r="L40" s="34">
        <v>132.967529296875</v>
      </c>
      <c r="M40" s="37">
        <v>60</v>
      </c>
      <c r="N40" s="34">
        <v>5.21240234375</v>
      </c>
      <c r="O40" s="36">
        <v>30</v>
      </c>
      <c r="P40" s="35">
        <v>1.025390625</v>
      </c>
      <c r="Q40" s="34">
        <v>1</v>
      </c>
      <c r="R40" s="33" t="str">
        <f t="shared" si="43"/>
        <v>Countercurrent</v>
      </c>
      <c r="S40" s="32" t="s">
        <v>174</v>
      </c>
      <c r="T40" s="31">
        <f t="shared" si="44"/>
        <v>4.1790019507163034</v>
      </c>
      <c r="U40" s="31">
        <f t="shared" si="45"/>
        <v>4.1799726178108516</v>
      </c>
      <c r="V40" s="25">
        <f t="shared" si="46"/>
        <v>44.3712158203125</v>
      </c>
      <c r="W40" s="30">
        <f t="shared" si="47"/>
        <v>990.46417254974915</v>
      </c>
      <c r="X40" s="25">
        <f t="shared" si="48"/>
        <v>23.2003173828125</v>
      </c>
      <c r="Y40" s="30">
        <f t="shared" si="49"/>
        <v>997.50072802277919</v>
      </c>
      <c r="Z40" s="29">
        <f t="shared" si="50"/>
        <v>1.591064453125</v>
      </c>
      <c r="AA40" s="29">
        <f t="shared" si="51"/>
        <v>5.877197265625</v>
      </c>
      <c r="AB40" s="28">
        <f t="shared" si="52"/>
        <v>8.6044962906645289E-2</v>
      </c>
      <c r="AC40" s="28">
        <f t="shared" si="53"/>
        <v>1.7047131582420542E-2</v>
      </c>
      <c r="AD40" s="28"/>
      <c r="AE40" s="27">
        <f t="shared" si="54"/>
        <v>572.11824611533257</v>
      </c>
      <c r="AF40" s="27">
        <f t="shared" si="55"/>
        <v>418.788761010065</v>
      </c>
      <c r="AG40" s="27">
        <f t="shared" si="56"/>
        <v>153.32948510526757</v>
      </c>
      <c r="AH40" s="27">
        <f t="shared" si="57"/>
        <v>73.199686228088225</v>
      </c>
      <c r="AI40" s="27">
        <f t="shared" si="58"/>
        <v>3.5226455787203452</v>
      </c>
      <c r="AJ40" s="27">
        <f t="shared" si="59"/>
        <v>22.48447204968944</v>
      </c>
      <c r="AK40" s="27">
        <f t="shared" si="60"/>
        <v>13.003558814204894</v>
      </c>
      <c r="AL40" s="25"/>
      <c r="AM40" s="27">
        <f t="shared" si="61"/>
        <v>21.098387719920659</v>
      </c>
      <c r="AN40" s="27">
        <f t="shared" si="62"/>
        <v>619.38988416604661</v>
      </c>
      <c r="AO40" s="26" t="str">
        <f t="shared" si="42"/>
        <v/>
      </c>
      <c r="AP40" s="25">
        <f t="shared" si="63"/>
        <v>1662.7191387355888</v>
      </c>
      <c r="AQ40" s="25">
        <f t="shared" si="64"/>
        <v>987.10106155991059</v>
      </c>
      <c r="AR40" s="24">
        <f t="shared" si="39"/>
        <v>6.0316813964843752E-4</v>
      </c>
      <c r="AS40" s="24">
        <f t="shared" si="65"/>
        <v>35268.740285308129</v>
      </c>
      <c r="AT40" s="24">
        <f t="shared" si="40"/>
        <v>3.9615603027343753</v>
      </c>
      <c r="AU40" s="24">
        <f t="shared" si="41"/>
        <v>0.63624545898437501</v>
      </c>
      <c r="AV40" s="24">
        <f t="shared" si="66"/>
        <v>180.22672636423812</v>
      </c>
      <c r="AW40" s="24">
        <f t="shared" si="67"/>
        <v>359.5820678361826</v>
      </c>
      <c r="AX40" s="24">
        <f t="shared" si="68"/>
        <v>71.25654322673644</v>
      </c>
      <c r="AY40" s="24">
        <f t="shared" si="69"/>
        <v>1774.6462966559109</v>
      </c>
      <c r="AZ40" s="24">
        <f t="shared" si="70"/>
        <v>0.32238438002739739</v>
      </c>
      <c r="BA40" s="24">
        <f t="shared" si="71"/>
        <v>0.1981648964185814</v>
      </c>
      <c r="BB40" s="24">
        <f t="shared" si="34"/>
        <v>0.19874409038851068</v>
      </c>
      <c r="BC40" s="24">
        <f t="shared" si="72"/>
        <v>6300.4635294981335</v>
      </c>
      <c r="BD40" s="1">
        <f t="shared" si="35"/>
        <v>0.23598435462842243</v>
      </c>
      <c r="BE40" s="1">
        <f t="shared" si="36"/>
        <v>0.14176107303706167</v>
      </c>
      <c r="BF40" s="1">
        <f t="shared" si="37"/>
        <v>0.1981648964185814</v>
      </c>
      <c r="BG40" s="1">
        <f t="shared" si="38"/>
        <v>6.5055022504055815E-2</v>
      </c>
    </row>
    <row r="41" spans="1:59" ht="12.75" customHeight="1" x14ac:dyDescent="0.2">
      <c r="A41" s="5">
        <v>1E-3</v>
      </c>
      <c r="B41" s="36" t="s">
        <v>111</v>
      </c>
      <c r="C41" s="34">
        <v>45.13427734375</v>
      </c>
      <c r="D41" s="34">
        <v>43.57568359375</v>
      </c>
      <c r="E41" s="34">
        <v>20.26171875</v>
      </c>
      <c r="F41" s="34">
        <v>26.138916015625</v>
      </c>
      <c r="G41" s="34">
        <v>132.967529296875</v>
      </c>
      <c r="H41" s="34">
        <v>132.967529296875</v>
      </c>
      <c r="I41" s="34">
        <v>132.967529296875</v>
      </c>
      <c r="J41" s="34">
        <v>132.967529296875</v>
      </c>
      <c r="K41" s="34">
        <v>132.967529296875</v>
      </c>
      <c r="L41" s="34">
        <v>132.967529296875</v>
      </c>
      <c r="M41" s="37">
        <v>60</v>
      </c>
      <c r="N41" s="34">
        <v>5.3466796875</v>
      </c>
      <c r="O41" s="36">
        <v>30</v>
      </c>
      <c r="P41" s="35">
        <v>1.03759765625</v>
      </c>
      <c r="Q41" s="34">
        <v>1</v>
      </c>
      <c r="R41" s="33" t="str">
        <f t="shared" si="43"/>
        <v>Countercurrent</v>
      </c>
      <c r="S41" s="32" t="s">
        <v>174</v>
      </c>
      <c r="T41" s="31">
        <f t="shared" si="44"/>
        <v>4.1789986440689617</v>
      </c>
      <c r="U41" s="31">
        <f t="shared" si="45"/>
        <v>4.1799726178108516</v>
      </c>
      <c r="V41" s="25">
        <f t="shared" si="46"/>
        <v>44.35498046875</v>
      </c>
      <c r="W41" s="30">
        <f t="shared" si="47"/>
        <v>990.47089787595712</v>
      </c>
      <c r="X41" s="25">
        <f t="shared" si="48"/>
        <v>23.2003173828125</v>
      </c>
      <c r="Y41" s="30">
        <f t="shared" si="49"/>
        <v>997.50072802277919</v>
      </c>
      <c r="Z41" s="29">
        <f t="shared" si="50"/>
        <v>1.55859375</v>
      </c>
      <c r="AA41" s="29">
        <f t="shared" si="51"/>
        <v>5.877197265625</v>
      </c>
      <c r="AB41" s="28">
        <f t="shared" si="52"/>
        <v>8.8262177178887777E-2</v>
      </c>
      <c r="AC41" s="28">
        <f t="shared" si="53"/>
        <v>1.7250073625068404E-2</v>
      </c>
      <c r="AD41" s="28"/>
      <c r="AE41" s="27">
        <f t="shared" si="54"/>
        <v>574.88343743166183</v>
      </c>
      <c r="AF41" s="27">
        <f t="shared" si="55"/>
        <v>423.77434149828002</v>
      </c>
      <c r="AG41" s="27">
        <f t="shared" si="56"/>
        <v>151.10909593338181</v>
      </c>
      <c r="AH41" s="27">
        <f t="shared" si="57"/>
        <v>73.714828764510258</v>
      </c>
      <c r="AI41" s="27">
        <f t="shared" si="58"/>
        <v>3.4532374100719423</v>
      </c>
      <c r="AJ41" s="27">
        <f t="shared" si="59"/>
        <v>22.48447204968944</v>
      </c>
      <c r="AK41" s="27">
        <f t="shared" si="60"/>
        <v>12.968854729880691</v>
      </c>
      <c r="AL41" s="25"/>
      <c r="AM41" s="27">
        <f t="shared" si="61"/>
        <v>21.080989661186173</v>
      </c>
      <c r="AN41" s="27">
        <f t="shared" si="62"/>
        <v>625.64067063745267</v>
      </c>
      <c r="AO41" s="26" t="str">
        <f t="shared" si="42"/>
        <v/>
      </c>
      <c r="AP41" s="25">
        <f t="shared" si="63"/>
        <v>1672.1343463422863</v>
      </c>
      <c r="AQ41" s="25">
        <f t="shared" si="64"/>
        <v>999.6766135608998</v>
      </c>
      <c r="AR41" s="24">
        <f t="shared" si="39"/>
        <v>6.0335322265624993E-4</v>
      </c>
      <c r="AS41" s="24">
        <f t="shared" si="65"/>
        <v>36166.450600839584</v>
      </c>
      <c r="AT41" s="24">
        <f t="shared" si="40"/>
        <v>3.9628916015625002</v>
      </c>
      <c r="AU41" s="24">
        <f t="shared" si="41"/>
        <v>0.63622597656250002</v>
      </c>
      <c r="AV41" s="24">
        <f t="shared" si="66"/>
        <v>184.21795448385325</v>
      </c>
      <c r="AW41" s="24">
        <f t="shared" si="67"/>
        <v>368.84751875314646</v>
      </c>
      <c r="AX41" s="24">
        <f t="shared" si="68"/>
        <v>72.104835408007105</v>
      </c>
      <c r="AY41" s="24">
        <f t="shared" si="69"/>
        <v>1793.4317435783564</v>
      </c>
      <c r="AZ41" s="24">
        <f t="shared" si="70"/>
        <v>0.32054938220543699</v>
      </c>
      <c r="BA41" s="24">
        <f t="shared" si="71"/>
        <v>0.19548683871251341</v>
      </c>
      <c r="BB41" s="24">
        <f t="shared" si="34"/>
        <v>0.19729379922908166</v>
      </c>
      <c r="BC41" s="24">
        <f t="shared" si="72"/>
        <v>6439.7938457052587</v>
      </c>
      <c r="BD41" s="1">
        <f t="shared" si="35"/>
        <v>0.23629242819843341</v>
      </c>
      <c r="BE41" s="1">
        <f t="shared" si="36"/>
        <v>0.14150709548006679</v>
      </c>
      <c r="BF41" s="1">
        <f t="shared" si="37"/>
        <v>0.19548683871251341</v>
      </c>
      <c r="BG41" s="1">
        <f t="shared" si="38"/>
        <v>6.499969808932414E-2</v>
      </c>
    </row>
    <row r="42" spans="1:59" ht="12.75" customHeight="1" x14ac:dyDescent="0.2">
      <c r="A42" s="5">
        <v>1E-3</v>
      </c>
      <c r="B42" s="75" t="s">
        <v>112</v>
      </c>
      <c r="C42" s="73">
        <v>52.375244140625</v>
      </c>
      <c r="D42" s="73">
        <v>48.998291015625</v>
      </c>
      <c r="E42" s="73">
        <v>20.45654296875</v>
      </c>
      <c r="F42" s="73">
        <v>27.372802734375</v>
      </c>
      <c r="G42" s="73">
        <v>132.967529296875</v>
      </c>
      <c r="H42" s="73">
        <v>132.967529296875</v>
      </c>
      <c r="I42" s="73">
        <v>132.967529296875</v>
      </c>
      <c r="J42" s="73">
        <v>132.967529296875</v>
      </c>
      <c r="K42" s="73">
        <v>132.967529296875</v>
      </c>
      <c r="L42" s="73">
        <v>132.967529296875</v>
      </c>
      <c r="M42" s="76">
        <v>30</v>
      </c>
      <c r="N42" s="73">
        <v>2.11181640625</v>
      </c>
      <c r="O42" s="75">
        <v>30</v>
      </c>
      <c r="P42" s="74">
        <v>0.7080078125</v>
      </c>
      <c r="Q42" s="73">
        <v>1</v>
      </c>
      <c r="R42" s="72" t="str">
        <f t="shared" si="43"/>
        <v>Countercurrent</v>
      </c>
      <c r="S42" s="71" t="s">
        <v>185</v>
      </c>
      <c r="T42" s="70">
        <f t="shared" si="44"/>
        <v>4.1806275748005755</v>
      </c>
      <c r="U42" s="70">
        <f t="shared" si="45"/>
        <v>4.1796945149740496</v>
      </c>
      <c r="V42" s="18">
        <f t="shared" si="46"/>
        <v>50.686767578125</v>
      </c>
      <c r="W42" s="69">
        <f t="shared" si="47"/>
        <v>987.71477031388815</v>
      </c>
      <c r="X42" s="18">
        <f t="shared" si="48"/>
        <v>23.9146728515625</v>
      </c>
      <c r="Y42" s="69">
        <f t="shared" si="49"/>
        <v>997.32753816215347</v>
      </c>
      <c r="Z42" s="68">
        <f t="shared" si="50"/>
        <v>3.376953125</v>
      </c>
      <c r="AA42" s="68">
        <f t="shared" si="51"/>
        <v>6.916259765625</v>
      </c>
      <c r="AB42" s="67">
        <f t="shared" si="52"/>
        <v>3.4764537610738659E-2</v>
      </c>
      <c r="AC42" s="67">
        <f t="shared" si="53"/>
        <v>1.1768594810669943E-2</v>
      </c>
      <c r="AD42" s="67"/>
      <c r="AE42" s="20">
        <f t="shared" si="54"/>
        <v>490.79821036202441</v>
      </c>
      <c r="AF42" s="20">
        <f t="shared" si="55"/>
        <v>340.20480888012332</v>
      </c>
      <c r="AG42" s="20">
        <f t="shared" si="56"/>
        <v>150.59340148190108</v>
      </c>
      <c r="AH42" s="20">
        <f t="shared" si="57"/>
        <v>69.316635981451554</v>
      </c>
      <c r="AI42" s="20">
        <f t="shared" si="58"/>
        <v>6.4476131432114077</v>
      </c>
      <c r="AJ42" s="20">
        <f t="shared" si="59"/>
        <v>25.266903914590749</v>
      </c>
      <c r="AK42" s="20">
        <f t="shared" si="60"/>
        <v>15.857258528901077</v>
      </c>
      <c r="AL42" s="18"/>
      <c r="AM42" s="20">
        <f t="shared" si="61"/>
        <v>26.73305743620956</v>
      </c>
      <c r="AN42" s="20">
        <f t="shared" si="62"/>
        <v>405.11488454265987</v>
      </c>
      <c r="AO42" s="66" t="str">
        <f t="shared" si="42"/>
        <v/>
      </c>
      <c r="AP42" s="18">
        <f t="shared" si="63"/>
        <v>1125.7363900770349</v>
      </c>
      <c r="AQ42" s="18">
        <f t="shared" si="64"/>
        <v>632.86005786538954</v>
      </c>
      <c r="AR42" s="17">
        <f t="shared" ref="AR42:AR61" si="73">0.000547+((V42-50)*(0.000504-0.000547))/5</f>
        <v>5.4109379882812494E-4</v>
      </c>
      <c r="AS42" s="17">
        <f t="shared" si="65"/>
        <v>15884.252796974555</v>
      </c>
      <c r="AT42" s="17">
        <f t="shared" ref="AT42:AT61" si="74">3.55+((V42-50)*(3.25-3.55))/5</f>
        <v>3.5087939453124997</v>
      </c>
      <c r="AU42" s="17">
        <f t="shared" ref="AU42:AU61" si="75">0.644+((V42-50)*(0.649-0.644))/5</f>
        <v>0.64468676757812504</v>
      </c>
      <c r="AV42" s="17">
        <f t="shared" si="66"/>
        <v>86.676396529645245</v>
      </c>
      <c r="AW42" s="17">
        <f t="shared" si="67"/>
        <v>145.33758456064575</v>
      </c>
      <c r="AX42" s="17">
        <f t="shared" si="68"/>
        <v>49.189131179109225</v>
      </c>
      <c r="AY42" s="17">
        <f t="shared" si="69"/>
        <v>1570.0531790101468</v>
      </c>
      <c r="AZ42" s="17">
        <f t="shared" si="70"/>
        <v>0.3125997366990157</v>
      </c>
      <c r="BA42" s="17">
        <f t="shared" si="71"/>
        <v>0.3384474245103738</v>
      </c>
      <c r="BB42" s="17">
        <f t="shared" si="34"/>
        <v>0.19000608512118769</v>
      </c>
      <c r="BC42" s="17">
        <f t="shared" si="72"/>
        <v>3070.2816430778466</v>
      </c>
      <c r="BD42" s="1">
        <f t="shared" si="35"/>
        <v>0.21668362156663276</v>
      </c>
      <c r="BE42" s="1">
        <f t="shared" si="36"/>
        <v>0.13431566982447618</v>
      </c>
      <c r="BF42" s="1">
        <f t="shared" si="37"/>
        <v>0.3384474245103738</v>
      </c>
      <c r="BG42" s="1">
        <f t="shared" si="38"/>
        <v>5.9128147648800519E-2</v>
      </c>
    </row>
    <row r="43" spans="1:59" ht="12.75" customHeight="1" x14ac:dyDescent="0.2">
      <c r="A43" s="5">
        <v>1E-3</v>
      </c>
      <c r="B43" s="75" t="s">
        <v>114</v>
      </c>
      <c r="C43" s="73">
        <v>52.570068359375</v>
      </c>
      <c r="D43" s="73">
        <v>49.063232421875</v>
      </c>
      <c r="E43" s="73">
        <v>20.45654296875</v>
      </c>
      <c r="F43" s="73">
        <v>27.307861328125</v>
      </c>
      <c r="G43" s="73">
        <v>132.967529296875</v>
      </c>
      <c r="H43" s="73">
        <v>132.967529296875</v>
      </c>
      <c r="I43" s="73">
        <v>132.967529296875</v>
      </c>
      <c r="J43" s="73">
        <v>132.967529296875</v>
      </c>
      <c r="K43" s="73">
        <v>132.967529296875</v>
      </c>
      <c r="L43" s="73">
        <v>132.967529296875</v>
      </c>
      <c r="M43" s="76">
        <v>30</v>
      </c>
      <c r="N43" s="73">
        <v>2.20947265625</v>
      </c>
      <c r="O43" s="75">
        <v>30</v>
      </c>
      <c r="P43" s="74">
        <v>0.732421875</v>
      </c>
      <c r="Q43" s="73">
        <v>1</v>
      </c>
      <c r="R43" s="72" t="str">
        <f t="shared" si="43"/>
        <v>Countercurrent</v>
      </c>
      <c r="S43" s="71" t="s">
        <v>185</v>
      </c>
      <c r="T43" s="70">
        <f t="shared" si="44"/>
        <v>4.1806678088234825</v>
      </c>
      <c r="U43" s="70">
        <f t="shared" si="45"/>
        <v>4.1797066014860444</v>
      </c>
      <c r="V43" s="18">
        <f t="shared" si="46"/>
        <v>50.816650390625</v>
      </c>
      <c r="W43" s="69">
        <f t="shared" si="47"/>
        <v>987.65550926821493</v>
      </c>
      <c r="X43" s="18">
        <f t="shared" si="48"/>
        <v>23.8822021484375</v>
      </c>
      <c r="Y43" s="69">
        <f t="shared" si="49"/>
        <v>997.33552157111069</v>
      </c>
      <c r="Z43" s="68">
        <f t="shared" si="50"/>
        <v>3.5068359375</v>
      </c>
      <c r="AA43" s="68">
        <f t="shared" si="51"/>
        <v>6.851318359375</v>
      </c>
      <c r="AB43" s="67">
        <f t="shared" si="52"/>
        <v>3.6369964025379828E-2</v>
      </c>
      <c r="AC43" s="67">
        <f t="shared" si="53"/>
        <v>1.2174505878553597E-2</v>
      </c>
      <c r="AD43" s="67"/>
      <c r="AE43" s="20">
        <f t="shared" si="54"/>
        <v>533.21699167189854</v>
      </c>
      <c r="AF43" s="20">
        <f t="shared" si="55"/>
        <v>348.63524459838578</v>
      </c>
      <c r="AG43" s="20">
        <f t="shared" si="56"/>
        <v>184.58174707351276</v>
      </c>
      <c r="AH43" s="20">
        <f t="shared" si="57"/>
        <v>65.383371130999052</v>
      </c>
      <c r="AI43" s="20">
        <f t="shared" si="58"/>
        <v>6.6707844348363192</v>
      </c>
      <c r="AJ43" s="20">
        <f t="shared" si="59"/>
        <v>25.089179548156952</v>
      </c>
      <c r="AK43" s="20">
        <f t="shared" si="60"/>
        <v>15.879981991496635</v>
      </c>
      <c r="AL43" s="18"/>
      <c r="AM43" s="20">
        <f t="shared" si="61"/>
        <v>26.899805234497631</v>
      </c>
      <c r="AN43" s="20">
        <f t="shared" si="62"/>
        <v>421.18089011111698</v>
      </c>
      <c r="AO43" s="66" t="str">
        <f t="shared" si="42"/>
        <v/>
      </c>
      <c r="AP43" s="18">
        <f t="shared" si="63"/>
        <v>1215.4503162032304</v>
      </c>
      <c r="AQ43" s="18">
        <f t="shared" si="64"/>
        <v>644.52241172499328</v>
      </c>
      <c r="AR43" s="17">
        <f t="shared" si="73"/>
        <v>5.3997680664062502E-4</v>
      </c>
      <c r="AS43" s="17">
        <f t="shared" si="65"/>
        <v>16652.163059568589</v>
      </c>
      <c r="AT43" s="17">
        <f t="shared" si="74"/>
        <v>3.5010009765624996</v>
      </c>
      <c r="AU43" s="17">
        <f t="shared" si="75"/>
        <v>0.64481665039062497</v>
      </c>
      <c r="AV43" s="17">
        <f t="shared" si="66"/>
        <v>90.231010428907567</v>
      </c>
      <c r="AW43" s="17">
        <f t="shared" si="67"/>
        <v>152.05073780897357</v>
      </c>
      <c r="AX43" s="17">
        <f t="shared" si="68"/>
        <v>50.885862590421127</v>
      </c>
      <c r="AY43" s="17">
        <f t="shared" si="69"/>
        <v>1634.1244403213436</v>
      </c>
      <c r="AZ43" s="17">
        <f t="shared" si="70"/>
        <v>0.32630133820594698</v>
      </c>
      <c r="BA43" s="17">
        <f t="shared" si="71"/>
        <v>0.33466370057572981</v>
      </c>
      <c r="BB43" s="17">
        <f t="shared" si="34"/>
        <v>0.2010691643300398</v>
      </c>
      <c r="BC43" s="17">
        <f t="shared" si="72"/>
        <v>3196.8383464906442</v>
      </c>
      <c r="BD43" s="1">
        <f t="shared" si="35"/>
        <v>0.21334681496461072</v>
      </c>
      <c r="BE43" s="1">
        <f t="shared" si="36"/>
        <v>0.1349861314330511</v>
      </c>
      <c r="BF43" s="1">
        <f t="shared" si="37"/>
        <v>0.33466370057572981</v>
      </c>
      <c r="BG43" s="1">
        <f t="shared" si="38"/>
        <v>5.9478582286837139E-2</v>
      </c>
    </row>
    <row r="44" spans="1:59" ht="12.75" customHeight="1" x14ac:dyDescent="0.2">
      <c r="A44" s="5">
        <v>1E-3</v>
      </c>
      <c r="B44" s="75" t="s">
        <v>115</v>
      </c>
      <c r="C44" s="73">
        <v>52.764892578125</v>
      </c>
      <c r="D44" s="73">
        <v>49.29052734375</v>
      </c>
      <c r="E44" s="73">
        <v>20.45654296875</v>
      </c>
      <c r="F44" s="73">
        <v>27.47021484375</v>
      </c>
      <c r="G44" s="73">
        <v>132.967529296875</v>
      </c>
      <c r="H44" s="73">
        <v>132.967529296875</v>
      </c>
      <c r="I44" s="73">
        <v>132.967529296875</v>
      </c>
      <c r="J44" s="73">
        <v>132.967529296875</v>
      </c>
      <c r="K44" s="73">
        <v>132.967529296875</v>
      </c>
      <c r="L44" s="73">
        <v>132.967529296875</v>
      </c>
      <c r="M44" s="76">
        <v>30</v>
      </c>
      <c r="N44" s="73">
        <v>2.18505859375</v>
      </c>
      <c r="O44" s="75">
        <v>30</v>
      </c>
      <c r="P44" s="74">
        <v>0.69580078125</v>
      </c>
      <c r="Q44" s="73">
        <v>1</v>
      </c>
      <c r="R44" s="72" t="str">
        <f t="shared" si="43"/>
        <v>Countercurrent</v>
      </c>
      <c r="S44" s="71" t="s">
        <v>185</v>
      </c>
      <c r="T44" s="70">
        <f t="shared" si="44"/>
        <v>4.1807337497675094</v>
      </c>
      <c r="U44" s="70">
        <f t="shared" si="45"/>
        <v>4.1796764823515273</v>
      </c>
      <c r="V44" s="18">
        <f t="shared" si="46"/>
        <v>51.0277099609375</v>
      </c>
      <c r="W44" s="69">
        <f t="shared" si="47"/>
        <v>987.55898202581238</v>
      </c>
      <c r="X44" s="18">
        <f t="shared" si="48"/>
        <v>23.96337890625</v>
      </c>
      <c r="Y44" s="69">
        <f t="shared" si="49"/>
        <v>997.31554330783672</v>
      </c>
      <c r="Z44" s="68">
        <f t="shared" si="50"/>
        <v>3.474365234375</v>
      </c>
      <c r="AA44" s="68">
        <f t="shared" si="51"/>
        <v>7.013671875</v>
      </c>
      <c r="AB44" s="67">
        <f t="shared" si="52"/>
        <v>3.5964570675175049E-2</v>
      </c>
      <c r="AC44" s="67">
        <f t="shared" si="53"/>
        <v>1.1565548903106015E-2</v>
      </c>
      <c r="AD44" s="67"/>
      <c r="AE44" s="20">
        <f t="shared" si="54"/>
        <v>522.39963082444126</v>
      </c>
      <c r="AF44" s="20">
        <f t="shared" si="55"/>
        <v>339.04267118373667</v>
      </c>
      <c r="AG44" s="20">
        <f t="shared" si="56"/>
        <v>183.35695964070459</v>
      </c>
      <c r="AH44" s="20">
        <f t="shared" si="57"/>
        <v>64.901016612256385</v>
      </c>
      <c r="AI44" s="20">
        <f t="shared" si="58"/>
        <v>6.5846153846153843</v>
      </c>
      <c r="AJ44" s="20">
        <f t="shared" si="59"/>
        <v>25.531914893617021</v>
      </c>
      <c r="AK44" s="20">
        <f t="shared" si="60"/>
        <v>16.058265139116202</v>
      </c>
      <c r="AL44" s="18"/>
      <c r="AM44" s="20">
        <f t="shared" si="61"/>
        <v>27.025716252437846</v>
      </c>
      <c r="AN44" s="20">
        <f t="shared" si="62"/>
        <v>408.72886475619975</v>
      </c>
      <c r="AO44" s="66" t="str">
        <f t="shared" si="42"/>
        <v/>
      </c>
      <c r="AP44" s="18">
        <f t="shared" si="63"/>
        <v>1185.244680366131</v>
      </c>
      <c r="AQ44" s="18">
        <f t="shared" si="64"/>
        <v>623.86844276166698</v>
      </c>
      <c r="AR44" s="17">
        <f t="shared" si="73"/>
        <v>5.3816169433593749E-4</v>
      </c>
      <c r="AS44" s="17">
        <f t="shared" si="65"/>
        <v>16522.090165592701</v>
      </c>
      <c r="AT44" s="17">
        <f t="shared" si="74"/>
        <v>3.4883374023437499</v>
      </c>
      <c r="AU44" s="17">
        <f t="shared" si="75"/>
        <v>0.6450277099609375</v>
      </c>
      <c r="AV44" s="17">
        <f t="shared" si="66"/>
        <v>89.511436119401822</v>
      </c>
      <c r="AW44" s="17">
        <f t="shared" si="67"/>
        <v>150.35829441760322</v>
      </c>
      <c r="AX44" s="17">
        <f t="shared" si="68"/>
        <v>48.340252755798716</v>
      </c>
      <c r="AY44" s="17">
        <f t="shared" si="69"/>
        <v>1561.7937862398983</v>
      </c>
      <c r="AZ44" s="17">
        <f t="shared" si="70"/>
        <v>0.33448694406842672</v>
      </c>
      <c r="BA44" s="17">
        <f t="shared" si="71"/>
        <v>0.32150040636627009</v>
      </c>
      <c r="BB44" s="17">
        <f t="shared" si="34"/>
        <v>0.20796457217923381</v>
      </c>
      <c r="BC44" s="17">
        <f t="shared" si="72"/>
        <v>3172.3822338138739</v>
      </c>
      <c r="BD44" s="1">
        <f t="shared" si="35"/>
        <v>0.21708542713567838</v>
      </c>
      <c r="BE44" s="1">
        <f t="shared" si="36"/>
        <v>0.13789357335615515</v>
      </c>
      <c r="BF44" s="1">
        <f t="shared" si="37"/>
        <v>0.32150040636627009</v>
      </c>
      <c r="BG44" s="1">
        <f t="shared" si="38"/>
        <v>6.0960198905381097E-2</v>
      </c>
    </row>
    <row r="45" spans="1:59" ht="12.75" customHeight="1" x14ac:dyDescent="0.2">
      <c r="A45" s="5">
        <v>1E-3</v>
      </c>
      <c r="B45" s="75" t="s">
        <v>116</v>
      </c>
      <c r="C45" s="73">
        <v>52.92724609375</v>
      </c>
      <c r="D45" s="73">
        <v>49.452880859375</v>
      </c>
      <c r="E45" s="73">
        <v>20.45654296875</v>
      </c>
      <c r="F45" s="73">
        <v>27.502685546875</v>
      </c>
      <c r="G45" s="73">
        <v>132.967529296875</v>
      </c>
      <c r="H45" s="73">
        <v>132.967529296875</v>
      </c>
      <c r="I45" s="73">
        <v>132.967529296875</v>
      </c>
      <c r="J45" s="73">
        <v>132.967529296875</v>
      </c>
      <c r="K45" s="73">
        <v>132.967529296875</v>
      </c>
      <c r="L45" s="73">
        <v>132.967529296875</v>
      </c>
      <c r="M45" s="76">
        <v>30</v>
      </c>
      <c r="N45" s="73">
        <v>2.24609375</v>
      </c>
      <c r="O45" s="75">
        <v>30</v>
      </c>
      <c r="P45" s="74">
        <v>0.62255859375</v>
      </c>
      <c r="Q45" s="73">
        <v>1</v>
      </c>
      <c r="R45" s="72" t="str">
        <f t="shared" si="43"/>
        <v>Countercurrent</v>
      </c>
      <c r="S45" s="71" t="s">
        <v>185</v>
      </c>
      <c r="T45" s="70">
        <f t="shared" si="44"/>
        <v>4.1807849445315153</v>
      </c>
      <c r="U45" s="70">
        <f t="shared" si="45"/>
        <v>4.1796704973200507</v>
      </c>
      <c r="V45" s="18">
        <f t="shared" si="46"/>
        <v>51.1900634765625</v>
      </c>
      <c r="W45" s="69">
        <f t="shared" si="47"/>
        <v>987.48453848508336</v>
      </c>
      <c r="X45" s="18">
        <f t="shared" si="48"/>
        <v>23.9796142578125</v>
      </c>
      <c r="Y45" s="69">
        <f t="shared" si="49"/>
        <v>997.31153976241978</v>
      </c>
      <c r="Z45" s="68">
        <f t="shared" si="50"/>
        <v>3.474365234375</v>
      </c>
      <c r="AA45" s="68">
        <f t="shared" si="51"/>
        <v>7.046142578125</v>
      </c>
      <c r="AB45" s="67">
        <f t="shared" si="52"/>
        <v>3.6966380835216334E-2</v>
      </c>
      <c r="AC45" s="67">
        <f t="shared" si="53"/>
        <v>1.0348081162085656E-2</v>
      </c>
      <c r="AD45" s="67"/>
      <c r="AE45" s="20">
        <f t="shared" si="54"/>
        <v>536.95789529481203</v>
      </c>
      <c r="AF45" s="20">
        <f t="shared" si="55"/>
        <v>304.75672568569149</v>
      </c>
      <c r="AG45" s="20">
        <f t="shared" si="56"/>
        <v>232.20116960912054</v>
      </c>
      <c r="AH45" s="20">
        <f t="shared" si="57"/>
        <v>56.756168101107349</v>
      </c>
      <c r="AI45" s="20">
        <f t="shared" si="58"/>
        <v>6.5644171779141098</v>
      </c>
      <c r="AJ45" s="20">
        <f t="shared" si="59"/>
        <v>25.619834710743799</v>
      </c>
      <c r="AK45" s="20">
        <f t="shared" si="60"/>
        <v>16.092125944328956</v>
      </c>
      <c r="AL45" s="18"/>
      <c r="AM45" s="20">
        <f t="shared" si="61"/>
        <v>27.171333482124123</v>
      </c>
      <c r="AN45" s="20">
        <f t="shared" si="62"/>
        <v>381.95690638099705</v>
      </c>
      <c r="AO45" s="66" t="str">
        <f t="shared" si="42"/>
        <v/>
      </c>
      <c r="AP45" s="18">
        <f t="shared" si="63"/>
        <v>1211.7461427654391</v>
      </c>
      <c r="AQ45" s="18">
        <f t="shared" si="64"/>
        <v>557.77393549530382</v>
      </c>
      <c r="AR45" s="17">
        <f t="shared" si="73"/>
        <v>5.3676545410156248E-4</v>
      </c>
      <c r="AS45" s="17">
        <f t="shared" si="65"/>
        <v>17026.495417787522</v>
      </c>
      <c r="AT45" s="17">
        <f t="shared" si="74"/>
        <v>3.47859619140625</v>
      </c>
      <c r="AU45" s="17">
        <f t="shared" si="75"/>
        <v>0.64519006347656249</v>
      </c>
      <c r="AV45" s="17">
        <f t="shared" si="66"/>
        <v>91.790336825953247</v>
      </c>
      <c r="AW45" s="17">
        <f t="shared" si="67"/>
        <v>154.54848844969081</v>
      </c>
      <c r="AX45" s="17">
        <f t="shared" si="68"/>
        <v>43.251569537042805</v>
      </c>
      <c r="AY45" s="17">
        <f t="shared" si="69"/>
        <v>1404.4088741276107</v>
      </c>
      <c r="AZ45" s="17">
        <f t="shared" si="70"/>
        <v>0.3823372987644777</v>
      </c>
      <c r="BA45" s="17">
        <f t="shared" si="71"/>
        <v>0.27985760307919294</v>
      </c>
      <c r="BB45" s="17">
        <f t="shared" si="34"/>
        <v>0.24958425433218073</v>
      </c>
      <c r="BC45" s="17">
        <f t="shared" si="72"/>
        <v>3253.9677606193309</v>
      </c>
      <c r="BD45" s="1">
        <f t="shared" si="35"/>
        <v>0.217</v>
      </c>
      <c r="BE45" s="1">
        <f t="shared" si="36"/>
        <v>0.14402242826713046</v>
      </c>
      <c r="BF45" s="1">
        <f t="shared" si="37"/>
        <v>0.27985760307919294</v>
      </c>
      <c r="BG45" s="1">
        <f t="shared" si="38"/>
        <v>6.4391681121232835E-2</v>
      </c>
    </row>
    <row r="46" spans="1:59" ht="12.75" customHeight="1" x14ac:dyDescent="0.2">
      <c r="A46" s="5">
        <v>1E-3</v>
      </c>
      <c r="B46" s="75" t="s">
        <v>117</v>
      </c>
      <c r="C46" s="73">
        <v>53.18701171875</v>
      </c>
      <c r="D46" s="73">
        <v>49.582763671875</v>
      </c>
      <c r="E46" s="73">
        <v>20.45654296875</v>
      </c>
      <c r="F46" s="73">
        <v>27.53515625</v>
      </c>
      <c r="G46" s="73">
        <v>132.967529296875</v>
      </c>
      <c r="H46" s="73">
        <v>132.967529296875</v>
      </c>
      <c r="I46" s="73">
        <v>132.967529296875</v>
      </c>
      <c r="J46" s="73">
        <v>132.967529296875</v>
      </c>
      <c r="K46" s="73">
        <v>132.967529296875</v>
      </c>
      <c r="L46" s="73">
        <v>132.967529296875</v>
      </c>
      <c r="M46" s="76">
        <v>30</v>
      </c>
      <c r="N46" s="73">
        <v>2.1484375</v>
      </c>
      <c r="O46" s="75">
        <v>30</v>
      </c>
      <c r="P46" s="74">
        <v>0.732421875</v>
      </c>
      <c r="Q46" s="73">
        <v>1</v>
      </c>
      <c r="R46" s="72" t="str">
        <f t="shared" si="43"/>
        <v>Countercurrent</v>
      </c>
      <c r="S46" s="71" t="s">
        <v>185</v>
      </c>
      <c r="T46" s="70">
        <f t="shared" si="44"/>
        <v>4.1808469170481493</v>
      </c>
      <c r="U46" s="70">
        <f t="shared" si="45"/>
        <v>4.1796645251838411</v>
      </c>
      <c r="V46" s="18">
        <f t="shared" si="46"/>
        <v>51.3848876953125</v>
      </c>
      <c r="W46" s="69">
        <f t="shared" si="47"/>
        <v>987.39498645845515</v>
      </c>
      <c r="X46" s="18">
        <f t="shared" si="48"/>
        <v>23.995849609375</v>
      </c>
      <c r="Y46" s="69">
        <f t="shared" si="49"/>
        <v>997.30753358817537</v>
      </c>
      <c r="Z46" s="68">
        <f t="shared" si="50"/>
        <v>3.604248046875</v>
      </c>
      <c r="AA46" s="68">
        <f t="shared" si="51"/>
        <v>7.07861328125</v>
      </c>
      <c r="AB46" s="67">
        <f t="shared" si="52"/>
        <v>3.5355940270322288E-2</v>
      </c>
      <c r="AC46" s="67">
        <f t="shared" si="53"/>
        <v>1.2174164228371281E-2</v>
      </c>
      <c r="AD46" s="67"/>
      <c r="AE46" s="20">
        <f t="shared" si="54"/>
        <v>532.7719227950497</v>
      </c>
      <c r="AF46" s="20">
        <f t="shared" si="55"/>
        <v>360.18760854233074</v>
      </c>
      <c r="AG46" s="20">
        <f t="shared" si="56"/>
        <v>172.58431425271897</v>
      </c>
      <c r="AH46" s="20">
        <f t="shared" si="57"/>
        <v>67.606342063354219</v>
      </c>
      <c r="AI46" s="20">
        <f t="shared" si="58"/>
        <v>6.7765567765567765</v>
      </c>
      <c r="AJ46" s="20">
        <f t="shared" si="59"/>
        <v>25.707547169811324</v>
      </c>
      <c r="AK46" s="20">
        <f t="shared" si="60"/>
        <v>16.242051973184051</v>
      </c>
      <c r="AL46" s="18"/>
      <c r="AM46" s="20">
        <f t="shared" si="61"/>
        <v>27.352270971528931</v>
      </c>
      <c r="AN46" s="20">
        <f t="shared" si="62"/>
        <v>422.95598892734216</v>
      </c>
      <c r="AO46" s="66" t="str">
        <f t="shared" si="42"/>
        <v/>
      </c>
      <c r="AP46" s="18">
        <f t="shared" si="63"/>
        <v>1194.346401127915</v>
      </c>
      <c r="AQ46" s="18">
        <f t="shared" si="64"/>
        <v>654.86419745585499</v>
      </c>
      <c r="AR46" s="17">
        <f t="shared" si="73"/>
        <v>5.3508996582031249E-4</v>
      </c>
      <c r="AS46" s="17">
        <f t="shared" si="65"/>
        <v>16335.727269533472</v>
      </c>
      <c r="AT46" s="17">
        <f t="shared" si="74"/>
        <v>3.4669067382812497</v>
      </c>
      <c r="AU46" s="17">
        <f t="shared" si="75"/>
        <v>0.64538488769531255</v>
      </c>
      <c r="AV46" s="17">
        <f t="shared" si="66"/>
        <v>88.453521780962078</v>
      </c>
      <c r="AW46" s="17">
        <f t="shared" si="67"/>
        <v>147.81777387851545</v>
      </c>
      <c r="AX46" s="17">
        <f t="shared" si="68"/>
        <v>50.883922349085559</v>
      </c>
      <c r="AY46" s="17">
        <f t="shared" si="69"/>
        <v>1665.4546303241714</v>
      </c>
      <c r="AZ46" s="17">
        <f t="shared" si="70"/>
        <v>0.31989578887018294</v>
      </c>
      <c r="BA46" s="17">
        <f t="shared" si="71"/>
        <v>0.34423412701983108</v>
      </c>
      <c r="BB46" s="17">
        <f t="shared" si="34"/>
        <v>0.19572990380493596</v>
      </c>
      <c r="BC46" s="17">
        <f t="shared" si="72"/>
        <v>3136.6245176297302</v>
      </c>
      <c r="BD46" s="1">
        <f t="shared" si="35"/>
        <v>0.21626984126984128</v>
      </c>
      <c r="BE46" s="1">
        <f t="shared" si="36"/>
        <v>0.13556020953860168</v>
      </c>
      <c r="BF46" s="1">
        <f t="shared" si="37"/>
        <v>0.34423412701983108</v>
      </c>
      <c r="BG46" s="1">
        <f t="shared" si="38"/>
        <v>5.9588908801380527E-2</v>
      </c>
    </row>
    <row r="47" spans="1:59" ht="12.75" customHeight="1" x14ac:dyDescent="0.2">
      <c r="A47" s="5">
        <v>1E-3</v>
      </c>
      <c r="B47" s="75" t="s">
        <v>118</v>
      </c>
      <c r="C47" s="73">
        <v>53.44677734375</v>
      </c>
      <c r="D47" s="73">
        <v>49.81005859375</v>
      </c>
      <c r="E47" s="73">
        <v>20.45654296875</v>
      </c>
      <c r="F47" s="73">
        <v>27.567626953125</v>
      </c>
      <c r="G47" s="73">
        <v>132.967529296875</v>
      </c>
      <c r="H47" s="73">
        <v>132.967529296875</v>
      </c>
      <c r="I47" s="73">
        <v>132.967529296875</v>
      </c>
      <c r="J47" s="73">
        <v>132.967529296875</v>
      </c>
      <c r="K47" s="73">
        <v>132.967529296875</v>
      </c>
      <c r="L47" s="73">
        <v>132.967529296875</v>
      </c>
      <c r="M47" s="76">
        <v>30</v>
      </c>
      <c r="N47" s="73">
        <v>2.1240234375</v>
      </c>
      <c r="O47" s="75">
        <v>30</v>
      </c>
      <c r="P47" s="74">
        <v>0.62255859375</v>
      </c>
      <c r="Q47" s="73">
        <v>1</v>
      </c>
      <c r="R47" s="72" t="str">
        <f t="shared" si="43"/>
        <v>Countercurrent</v>
      </c>
      <c r="S47" s="71" t="s">
        <v>185</v>
      </c>
      <c r="T47" s="70">
        <f t="shared" si="44"/>
        <v>4.1809252064037077</v>
      </c>
      <c r="U47" s="70">
        <f t="shared" si="45"/>
        <v>4.1796585659272836</v>
      </c>
      <c r="V47" s="18">
        <f t="shared" si="46"/>
        <v>51.62841796875</v>
      </c>
      <c r="W47" s="69">
        <f t="shared" si="47"/>
        <v>987.28270989218481</v>
      </c>
      <c r="X47" s="18">
        <f t="shared" si="48"/>
        <v>24.0120849609375</v>
      </c>
      <c r="Y47" s="69">
        <f t="shared" si="49"/>
        <v>997.30352478599968</v>
      </c>
      <c r="Z47" s="68">
        <f t="shared" si="50"/>
        <v>3.63671875</v>
      </c>
      <c r="AA47" s="68">
        <f t="shared" si="51"/>
        <v>7.111083984375</v>
      </c>
      <c r="AB47" s="67">
        <f t="shared" si="52"/>
        <v>3.49501935874919E-2</v>
      </c>
      <c r="AC47" s="67">
        <f t="shared" si="53"/>
        <v>1.0347997998878171E-2</v>
      </c>
      <c r="AD47" s="67"/>
      <c r="AE47" s="20">
        <f t="shared" si="54"/>
        <v>531.4124191807357</v>
      </c>
      <c r="AF47" s="20">
        <f t="shared" si="55"/>
        <v>307.56219368079957</v>
      </c>
      <c r="AG47" s="20">
        <f t="shared" si="56"/>
        <v>223.85022549993613</v>
      </c>
      <c r="AH47" s="20">
        <f t="shared" si="57"/>
        <v>57.876365432889202</v>
      </c>
      <c r="AI47" s="20">
        <f t="shared" si="58"/>
        <v>6.8043742405832317</v>
      </c>
      <c r="AJ47" s="20">
        <f t="shared" si="59"/>
        <v>25.795053003533567</v>
      </c>
      <c r="AK47" s="20">
        <f t="shared" si="60"/>
        <v>16.299713622058398</v>
      </c>
      <c r="AL47" s="18"/>
      <c r="AM47" s="20">
        <f t="shared" si="61"/>
        <v>27.57986914666591</v>
      </c>
      <c r="AN47" s="20">
        <f t="shared" si="62"/>
        <v>377.41507609534864</v>
      </c>
      <c r="AO47" s="66" t="str">
        <f t="shared" si="42"/>
        <v/>
      </c>
      <c r="AP47" s="18">
        <f t="shared" si="63"/>
        <v>1181.467731387276</v>
      </c>
      <c r="AQ47" s="18">
        <f t="shared" si="64"/>
        <v>554.57031428350115</v>
      </c>
      <c r="AR47" s="17">
        <f t="shared" si="73"/>
        <v>5.3299560546874998E-4</v>
      </c>
      <c r="AS47" s="17">
        <f t="shared" si="65"/>
        <v>16211.710767963845</v>
      </c>
      <c r="AT47" s="17">
        <f t="shared" si="74"/>
        <v>3.4522949218750001</v>
      </c>
      <c r="AU47" s="17">
        <f t="shared" si="75"/>
        <v>0.64562841796875003</v>
      </c>
      <c r="AV47" s="17">
        <f t="shared" si="66"/>
        <v>87.747400425093417</v>
      </c>
      <c r="AW47" s="17">
        <f t="shared" si="67"/>
        <v>146.12414533863409</v>
      </c>
      <c r="AX47" s="17">
        <f t="shared" si="68"/>
        <v>43.251098476209535</v>
      </c>
      <c r="AY47" s="17">
        <f t="shared" si="69"/>
        <v>1426.8638757063579</v>
      </c>
      <c r="AZ47" s="17">
        <f t="shared" si="70"/>
        <v>0.3724338587783394</v>
      </c>
      <c r="BA47" s="17">
        <f t="shared" si="71"/>
        <v>0.29598871819559774</v>
      </c>
      <c r="BB47" s="17">
        <f t="shared" si="34"/>
        <v>0.24071279210453328</v>
      </c>
      <c r="BC47" s="17">
        <f t="shared" si="72"/>
        <v>3112.7590833694221</v>
      </c>
      <c r="BD47" s="1">
        <f t="shared" si="35"/>
        <v>0.21555118110236221</v>
      </c>
      <c r="BE47" s="1">
        <f t="shared" si="36"/>
        <v>0.14231141478538253</v>
      </c>
      <c r="BF47" s="1">
        <f t="shared" si="37"/>
        <v>0.29598871819559774</v>
      </c>
      <c r="BG47" s="1">
        <f t="shared" si="38"/>
        <v>6.3339298589217732E-2</v>
      </c>
    </row>
    <row r="48" spans="1:59" ht="12.75" customHeight="1" x14ac:dyDescent="0.2">
      <c r="A48" s="5">
        <v>1E-3</v>
      </c>
      <c r="B48" s="75" t="s">
        <v>119</v>
      </c>
      <c r="C48" s="73">
        <v>53.51171875</v>
      </c>
      <c r="D48" s="73">
        <v>49.93994140625</v>
      </c>
      <c r="E48" s="73">
        <v>20.424072265625</v>
      </c>
      <c r="F48" s="73">
        <v>27.72998046875</v>
      </c>
      <c r="G48" s="73">
        <v>132.967529296875</v>
      </c>
      <c r="H48" s="73">
        <v>132.967529296875</v>
      </c>
      <c r="I48" s="73">
        <v>132.967529296875</v>
      </c>
      <c r="J48" s="73">
        <v>132.967529296875</v>
      </c>
      <c r="K48" s="73">
        <v>132.967529296875</v>
      </c>
      <c r="L48" s="73">
        <v>132.967529296875</v>
      </c>
      <c r="M48" s="76">
        <v>30</v>
      </c>
      <c r="N48" s="73">
        <v>2.2705078125</v>
      </c>
      <c r="O48" s="75">
        <v>30</v>
      </c>
      <c r="P48" s="74">
        <v>0.6591796875</v>
      </c>
      <c r="Q48" s="73">
        <v>1</v>
      </c>
      <c r="R48" s="72" t="str">
        <f t="shared" si="43"/>
        <v>Countercurrent</v>
      </c>
      <c r="S48" s="71" t="s">
        <v>185</v>
      </c>
      <c r="T48" s="70">
        <f t="shared" si="44"/>
        <v>4.1809567776254291</v>
      </c>
      <c r="U48" s="70">
        <f t="shared" si="45"/>
        <v>4.1796348573861168</v>
      </c>
      <c r="V48" s="18">
        <f t="shared" si="46"/>
        <v>51.725830078125</v>
      </c>
      <c r="W48" s="69">
        <f t="shared" si="47"/>
        <v>987.23769473738741</v>
      </c>
      <c r="X48" s="18">
        <f t="shared" si="48"/>
        <v>24.0770263671875</v>
      </c>
      <c r="Y48" s="69">
        <f t="shared" si="49"/>
        <v>997.28746331589855</v>
      </c>
      <c r="Z48" s="68">
        <f t="shared" si="50"/>
        <v>3.57177734375</v>
      </c>
      <c r="AA48" s="68">
        <f t="shared" si="51"/>
        <v>7.305908203125</v>
      </c>
      <c r="AB48" s="67">
        <f t="shared" si="52"/>
        <v>3.7358848311595472E-2</v>
      </c>
      <c r="AC48" s="67">
        <f t="shared" si="53"/>
        <v>1.0956527306937362E-2</v>
      </c>
      <c r="AD48" s="67"/>
      <c r="AE48" s="20">
        <f t="shared" si="54"/>
        <v>557.89636979252975</v>
      </c>
      <c r="AF48" s="20">
        <f t="shared" si="55"/>
        <v>334.56883109881562</v>
      </c>
      <c r="AG48" s="20">
        <f t="shared" si="56"/>
        <v>223.32753869371413</v>
      </c>
      <c r="AH48" s="20">
        <f t="shared" si="57"/>
        <v>59.969709289062934</v>
      </c>
      <c r="AI48" s="20">
        <f t="shared" si="58"/>
        <v>6.674757281553398</v>
      </c>
      <c r="AJ48" s="20">
        <f t="shared" si="59"/>
        <v>26.346604215456676</v>
      </c>
      <c r="AK48" s="20">
        <f t="shared" si="60"/>
        <v>16.510680748505038</v>
      </c>
      <c r="AL48" s="18"/>
      <c r="AM48" s="20">
        <f t="shared" si="61"/>
        <v>27.606726153439219</v>
      </c>
      <c r="AN48" s="20">
        <f t="shared" si="62"/>
        <v>405.47113830866493</v>
      </c>
      <c r="AO48" s="66" t="str">
        <f t="shared" si="42"/>
        <v/>
      </c>
      <c r="AP48" s="18">
        <f t="shared" si="63"/>
        <v>1239.1417631531915</v>
      </c>
      <c r="AQ48" s="18">
        <f t="shared" si="64"/>
        <v>602.67953105008496</v>
      </c>
      <c r="AR48" s="17">
        <f t="shared" si="73"/>
        <v>5.3215786132812493E-4</v>
      </c>
      <c r="AS48" s="17">
        <f t="shared" si="65"/>
        <v>17356.24959155234</v>
      </c>
      <c r="AT48" s="17">
        <f t="shared" si="74"/>
        <v>3.4464501953125</v>
      </c>
      <c r="AU48" s="17">
        <f t="shared" si="75"/>
        <v>0.64572583007812501</v>
      </c>
      <c r="AV48" s="17">
        <f t="shared" si="66"/>
        <v>93.041265437245286</v>
      </c>
      <c r="AW48" s="17">
        <f t="shared" si="67"/>
        <v>156.19573005264539</v>
      </c>
      <c r="AX48" s="17">
        <f t="shared" si="68"/>
        <v>45.794283447978238</v>
      </c>
      <c r="AY48" s="17">
        <f t="shared" si="69"/>
        <v>1515.2250617319694</v>
      </c>
      <c r="AZ48" s="17">
        <f t="shared" si="70"/>
        <v>0.36819373166572988</v>
      </c>
      <c r="BA48" s="17">
        <f t="shared" si="71"/>
        <v>0.29318524541319657</v>
      </c>
      <c r="BB48" s="17">
        <f t="shared" si="34"/>
        <v>0.23695500658570906</v>
      </c>
      <c r="BC48" s="17">
        <f t="shared" si="72"/>
        <v>3301.0521074716685</v>
      </c>
      <c r="BD48" s="1">
        <f t="shared" si="35"/>
        <v>0.22080471050049066</v>
      </c>
      <c r="BE48" s="1">
        <f t="shared" si="36"/>
        <v>0.14439970706898864</v>
      </c>
      <c r="BF48" s="1">
        <f t="shared" si="37"/>
        <v>0.29318524541319657</v>
      </c>
      <c r="BG48" s="1">
        <f t="shared" si="38"/>
        <v>6.4315509289559411E-2</v>
      </c>
    </row>
    <row r="49" spans="1:59" ht="12.75" customHeight="1" x14ac:dyDescent="0.2">
      <c r="A49" s="5">
        <v>1E-3</v>
      </c>
      <c r="B49" s="75" t="s">
        <v>120</v>
      </c>
      <c r="C49" s="73">
        <v>53.544189453125</v>
      </c>
      <c r="D49" s="73">
        <v>50.06982421875</v>
      </c>
      <c r="E49" s="73">
        <v>20.424072265625</v>
      </c>
      <c r="F49" s="73">
        <v>27.53515625</v>
      </c>
      <c r="G49" s="73">
        <v>132.967529296875</v>
      </c>
      <c r="H49" s="73">
        <v>132.967529296875</v>
      </c>
      <c r="I49" s="73">
        <v>132.967529296875</v>
      </c>
      <c r="J49" s="73">
        <v>132.967529296875</v>
      </c>
      <c r="K49" s="73">
        <v>132.967529296875</v>
      </c>
      <c r="L49" s="73">
        <v>132.967529296875</v>
      </c>
      <c r="M49" s="76">
        <v>30</v>
      </c>
      <c r="N49" s="73">
        <v>2.1728515625</v>
      </c>
      <c r="O49" s="75">
        <v>30</v>
      </c>
      <c r="P49" s="74">
        <v>0.69580078125</v>
      </c>
      <c r="Q49" s="73">
        <v>1</v>
      </c>
      <c r="R49" s="72" t="str">
        <f t="shared" si="43"/>
        <v>Countercurrent</v>
      </c>
      <c r="S49" s="71" t="s">
        <v>185</v>
      </c>
      <c r="T49" s="70">
        <f t="shared" si="44"/>
        <v>4.1809831982276693</v>
      </c>
      <c r="U49" s="70">
        <f t="shared" si="45"/>
        <v>4.1796704973200507</v>
      </c>
      <c r="V49" s="18">
        <f t="shared" si="46"/>
        <v>51.8070068359375</v>
      </c>
      <c r="W49" s="69">
        <f t="shared" si="47"/>
        <v>987.20013653885496</v>
      </c>
      <c r="X49" s="18">
        <f t="shared" si="48"/>
        <v>23.9796142578125</v>
      </c>
      <c r="Y49" s="69">
        <f t="shared" si="49"/>
        <v>997.31153976241978</v>
      </c>
      <c r="Z49" s="68">
        <f t="shared" si="50"/>
        <v>3.474365234375</v>
      </c>
      <c r="AA49" s="68">
        <f t="shared" si="51"/>
        <v>7.111083984375</v>
      </c>
      <c r="AB49" s="67">
        <f t="shared" si="52"/>
        <v>3.5750655986311067E-2</v>
      </c>
      <c r="AC49" s="67">
        <f t="shared" si="53"/>
        <v>1.1565502475272202E-2</v>
      </c>
      <c r="AD49" s="67"/>
      <c r="AE49" s="20">
        <f t="shared" si="54"/>
        <v>519.32341946152076</v>
      </c>
      <c r="AF49" s="20">
        <f t="shared" si="55"/>
        <v>343.74972501441101</v>
      </c>
      <c r="AG49" s="20">
        <f t="shared" si="56"/>
        <v>175.57369444710974</v>
      </c>
      <c r="AH49" s="20">
        <f t="shared" si="57"/>
        <v>66.191839638358758</v>
      </c>
      <c r="AI49" s="20">
        <f t="shared" si="58"/>
        <v>6.488781079442087</v>
      </c>
      <c r="AJ49" s="20">
        <f t="shared" si="59"/>
        <v>25.825471698113205</v>
      </c>
      <c r="AK49" s="20">
        <f t="shared" si="60"/>
        <v>16.157126388777645</v>
      </c>
      <c r="AL49" s="18"/>
      <c r="AM49" s="20">
        <f t="shared" si="61"/>
        <v>27.787740952400092</v>
      </c>
      <c r="AN49" s="20">
        <f t="shared" si="62"/>
        <v>400.29369242764454</v>
      </c>
      <c r="AO49" s="66" t="str">
        <f t="shared" si="42"/>
        <v/>
      </c>
      <c r="AP49" s="18">
        <f t="shared" si="63"/>
        <v>1145.9535982505195</v>
      </c>
      <c r="AQ49" s="18">
        <f t="shared" si="64"/>
        <v>615.18393789488607</v>
      </c>
      <c r="AR49" s="17">
        <f t="shared" si="73"/>
        <v>5.3145974121093743E-4</v>
      </c>
      <c r="AS49" s="17">
        <f t="shared" si="65"/>
        <v>16630.929897488222</v>
      </c>
      <c r="AT49" s="17">
        <f t="shared" si="74"/>
        <v>3.4415795898437498</v>
      </c>
      <c r="AU49" s="17">
        <f t="shared" si="75"/>
        <v>0.6458070068359375</v>
      </c>
      <c r="AV49" s="17">
        <f t="shared" si="66"/>
        <v>89.618415036907649</v>
      </c>
      <c r="AW49" s="17">
        <f t="shared" si="67"/>
        <v>149.47289200438402</v>
      </c>
      <c r="AX49" s="17">
        <f t="shared" si="68"/>
        <v>48.339989482577245</v>
      </c>
      <c r="AY49" s="17">
        <f t="shared" si="69"/>
        <v>1601.0261165054758</v>
      </c>
      <c r="AZ49" s="17">
        <f t="shared" si="70"/>
        <v>0.32436911185123979</v>
      </c>
      <c r="BA49" s="17">
        <f t="shared" si="71"/>
        <v>0.32340305211435555</v>
      </c>
      <c r="BB49" s="17">
        <f t="shared" si="34"/>
        <v>0.19966431694592304</v>
      </c>
      <c r="BC49" s="17">
        <f t="shared" si="72"/>
        <v>3180.0110094706647</v>
      </c>
      <c r="BD49" s="1">
        <f t="shared" si="35"/>
        <v>0.21470588235294116</v>
      </c>
      <c r="BE49" s="1">
        <f t="shared" si="36"/>
        <v>0.13504851999427561</v>
      </c>
      <c r="BF49" s="1">
        <f t="shared" si="37"/>
        <v>0.32340305211435555</v>
      </c>
      <c r="BG49" s="1">
        <f t="shared" si="38"/>
        <v>5.9677223373551413E-2</v>
      </c>
    </row>
    <row r="50" spans="1:59" ht="12.75" customHeight="1" x14ac:dyDescent="0.2">
      <c r="A50" s="5">
        <v>1E-3</v>
      </c>
      <c r="B50" s="75" t="s">
        <v>121</v>
      </c>
      <c r="C50" s="73">
        <v>53.51171875</v>
      </c>
      <c r="D50" s="73">
        <v>50.037353515625</v>
      </c>
      <c r="E50" s="73">
        <v>20.424072265625</v>
      </c>
      <c r="F50" s="73">
        <v>27.632568359375</v>
      </c>
      <c r="G50" s="73">
        <v>132.967529296875</v>
      </c>
      <c r="H50" s="73">
        <v>132.967529296875</v>
      </c>
      <c r="I50" s="73">
        <v>132.967529296875</v>
      </c>
      <c r="J50" s="73">
        <v>132.967529296875</v>
      </c>
      <c r="K50" s="73">
        <v>132.967529296875</v>
      </c>
      <c r="L50" s="73">
        <v>132.967529296875</v>
      </c>
      <c r="M50" s="76">
        <v>30</v>
      </c>
      <c r="N50" s="73">
        <v>2.20947265625</v>
      </c>
      <c r="O50" s="75">
        <v>30</v>
      </c>
      <c r="P50" s="74">
        <v>0.6591796875</v>
      </c>
      <c r="Q50" s="73">
        <v>1</v>
      </c>
      <c r="R50" s="72" t="str">
        <f t="shared" si="43"/>
        <v>Countercurrent</v>
      </c>
      <c r="S50" s="71" t="s">
        <v>185</v>
      </c>
      <c r="T50" s="70">
        <f t="shared" si="44"/>
        <v>4.1809726178603901</v>
      </c>
      <c r="U50" s="70">
        <f t="shared" si="45"/>
        <v>4.1796526195347878</v>
      </c>
      <c r="V50" s="18">
        <f t="shared" si="46"/>
        <v>51.7745361328125</v>
      </c>
      <c r="W50" s="69">
        <f t="shared" si="47"/>
        <v>987.21516478732451</v>
      </c>
      <c r="X50" s="18">
        <f t="shared" si="48"/>
        <v>24.0283203125</v>
      </c>
      <c r="Y50" s="69">
        <f t="shared" si="49"/>
        <v>997.29951335678891</v>
      </c>
      <c r="Z50" s="68">
        <f t="shared" si="50"/>
        <v>3.474365234375</v>
      </c>
      <c r="AA50" s="68">
        <f t="shared" si="51"/>
        <v>7.20849609375</v>
      </c>
      <c r="AB50" s="67">
        <f t="shared" si="52"/>
        <v>3.6353748540548854E-2</v>
      </c>
      <c r="AC50" s="67">
        <f t="shared" si="53"/>
        <v>1.0956659692640503E-2</v>
      </c>
      <c r="AD50" s="67"/>
      <c r="AE50" s="20">
        <f t="shared" si="54"/>
        <v>528.08276395236885</v>
      </c>
      <c r="AF50" s="20">
        <f t="shared" si="55"/>
        <v>330.11330485694896</v>
      </c>
      <c r="AG50" s="20">
        <f t="shared" si="56"/>
        <v>197.96945909541989</v>
      </c>
      <c r="AH50" s="20">
        <f t="shared" si="57"/>
        <v>62.51166055605708</v>
      </c>
      <c r="AI50" s="20">
        <f t="shared" si="58"/>
        <v>6.4927184466019412</v>
      </c>
      <c r="AJ50" s="20">
        <f t="shared" si="59"/>
        <v>26.086956521739129</v>
      </c>
      <c r="AK50" s="20">
        <f t="shared" si="60"/>
        <v>16.289837484170533</v>
      </c>
      <c r="AL50" s="18"/>
      <c r="AM50" s="20">
        <f t="shared" si="61"/>
        <v>27.704286348411944</v>
      </c>
      <c r="AN50" s="20">
        <f t="shared" si="62"/>
        <v>393.20876805643263</v>
      </c>
      <c r="AO50" s="66" t="str">
        <f t="shared" si="42"/>
        <v/>
      </c>
      <c r="AP50" s="18">
        <f t="shared" si="63"/>
        <v>1168.7924339865142</v>
      </c>
      <c r="AQ50" s="18">
        <f t="shared" si="64"/>
        <v>592.55945331234886</v>
      </c>
      <c r="AR50" s="17">
        <f t="shared" si="73"/>
        <v>5.3173898925781252E-4</v>
      </c>
      <c r="AS50" s="17">
        <f t="shared" si="65"/>
        <v>16902.602675254115</v>
      </c>
      <c r="AT50" s="17">
        <f t="shared" si="74"/>
        <v>3.4435278320312497</v>
      </c>
      <c r="AU50" s="17">
        <f t="shared" si="75"/>
        <v>0.64577453613281255</v>
      </c>
      <c r="AV50" s="17">
        <f t="shared" si="66"/>
        <v>90.903437792466519</v>
      </c>
      <c r="AW50" s="17">
        <f t="shared" si="67"/>
        <v>151.99402720461688</v>
      </c>
      <c r="AX50" s="17">
        <f t="shared" si="68"/>
        <v>45.795031385696099</v>
      </c>
      <c r="AY50" s="17">
        <f t="shared" si="69"/>
        <v>1515.2498092307703</v>
      </c>
      <c r="AZ50" s="17">
        <f t="shared" si="70"/>
        <v>0.34851201480794419</v>
      </c>
      <c r="BA50" s="17">
        <f t="shared" si="71"/>
        <v>0.30129494051793276</v>
      </c>
      <c r="BB50" s="17">
        <f t="shared" si="34"/>
        <v>0.21989888979706412</v>
      </c>
      <c r="BC50" s="17">
        <f t="shared" si="72"/>
        <v>3225.4464490828595</v>
      </c>
      <c r="BD50" s="1">
        <f t="shared" si="35"/>
        <v>0.21786064769381747</v>
      </c>
      <c r="BE50" s="1">
        <f t="shared" si="36"/>
        <v>0.14003044415515908</v>
      </c>
      <c r="BF50" s="1">
        <f t="shared" si="37"/>
        <v>0.30129494051793276</v>
      </c>
      <c r="BG50" s="1">
        <f t="shared" si="38"/>
        <v>6.2236546976864537E-2</v>
      </c>
    </row>
    <row r="51" spans="1:59" ht="12.75" customHeight="1" x14ac:dyDescent="0.2">
      <c r="A51" s="5">
        <v>1E-3</v>
      </c>
      <c r="B51" s="75" t="s">
        <v>122</v>
      </c>
      <c r="C51" s="73">
        <v>53.44677734375</v>
      </c>
      <c r="D51" s="73">
        <v>50.037353515625</v>
      </c>
      <c r="E51" s="73">
        <v>20.424072265625</v>
      </c>
      <c r="F51" s="73">
        <v>27.6650390625</v>
      </c>
      <c r="G51" s="73">
        <v>132.967529296875</v>
      </c>
      <c r="H51" s="73">
        <v>132.967529296875</v>
      </c>
      <c r="I51" s="73">
        <v>132.967529296875</v>
      </c>
      <c r="J51" s="73">
        <v>132.967529296875</v>
      </c>
      <c r="K51" s="73">
        <v>132.967529296875</v>
      </c>
      <c r="L51" s="73">
        <v>132.967529296875</v>
      </c>
      <c r="M51" s="76">
        <v>30</v>
      </c>
      <c r="N51" s="73">
        <v>2.20947265625</v>
      </c>
      <c r="O51" s="75">
        <v>30</v>
      </c>
      <c r="P51" s="74">
        <v>0.69580078125</v>
      </c>
      <c r="Q51" s="73">
        <v>1</v>
      </c>
      <c r="R51" s="72" t="str">
        <f t="shared" si="43"/>
        <v>Countercurrent</v>
      </c>
      <c r="S51" s="71" t="s">
        <v>185</v>
      </c>
      <c r="T51" s="70">
        <f t="shared" si="44"/>
        <v>4.1809620536601324</v>
      </c>
      <c r="U51" s="70">
        <f t="shared" si="45"/>
        <v>4.1796466859907877</v>
      </c>
      <c r="V51" s="18">
        <f t="shared" si="46"/>
        <v>51.7420654296875</v>
      </c>
      <c r="W51" s="69">
        <f t="shared" si="47"/>
        <v>987.23018641070519</v>
      </c>
      <c r="X51" s="18">
        <f t="shared" si="48"/>
        <v>24.0445556640625</v>
      </c>
      <c r="Y51" s="69">
        <f t="shared" si="49"/>
        <v>997.29549930143833</v>
      </c>
      <c r="Z51" s="68">
        <f t="shared" si="50"/>
        <v>3.409423828125</v>
      </c>
      <c r="AA51" s="68">
        <f t="shared" si="51"/>
        <v>7.240966796875</v>
      </c>
      <c r="AB51" s="67">
        <f t="shared" si="52"/>
        <v>3.6354301704984056E-2</v>
      </c>
      <c r="AC51" s="67">
        <f t="shared" si="53"/>
        <v>1.156531645918416E-2</v>
      </c>
      <c r="AD51" s="67"/>
      <c r="AE51" s="20">
        <f t="shared" si="54"/>
        <v>518.21863387813676</v>
      </c>
      <c r="AF51" s="20">
        <f t="shared" si="55"/>
        <v>350.02063499695822</v>
      </c>
      <c r="AG51" s="20">
        <f t="shared" si="56"/>
        <v>168.19799888117853</v>
      </c>
      <c r="AH51" s="20">
        <f t="shared" si="57"/>
        <v>67.543043054539865</v>
      </c>
      <c r="AI51" s="20">
        <f t="shared" si="58"/>
        <v>6.3791008505467799</v>
      </c>
      <c r="AJ51" s="20">
        <f t="shared" si="59"/>
        <v>26.173708920187792</v>
      </c>
      <c r="AK51" s="20">
        <f t="shared" si="60"/>
        <v>16.276404885367285</v>
      </c>
      <c r="AL51" s="18"/>
      <c r="AM51" s="20">
        <f t="shared" si="61"/>
        <v>27.653283473408941</v>
      </c>
      <c r="AN51" s="20">
        <f t="shared" si="62"/>
        <v>406.67808196931446</v>
      </c>
      <c r="AO51" s="66" t="str">
        <f t="shared" si="42"/>
        <v/>
      </c>
      <c r="AP51" s="18">
        <f t="shared" si="63"/>
        <v>1149.0758193560575</v>
      </c>
      <c r="AQ51" s="18">
        <f t="shared" si="64"/>
        <v>629.45228240856511</v>
      </c>
      <c r="AR51" s="17">
        <f t="shared" si="73"/>
        <v>5.320182373046875E-4</v>
      </c>
      <c r="AS51" s="17">
        <f t="shared" si="65"/>
        <v>16893.987821330655</v>
      </c>
      <c r="AT51" s="17">
        <f t="shared" si="74"/>
        <v>3.44547607421875</v>
      </c>
      <c r="AU51" s="17">
        <f t="shared" si="75"/>
        <v>0.64574206542968748</v>
      </c>
      <c r="AV51" s="17">
        <f t="shared" si="66"/>
        <v>90.880399829601089</v>
      </c>
      <c r="AW51" s="17">
        <f t="shared" si="67"/>
        <v>151.9959559158502</v>
      </c>
      <c r="AX51" s="17">
        <f t="shared" si="68"/>
        <v>48.338936611063787</v>
      </c>
      <c r="AY51" s="17">
        <f t="shared" si="69"/>
        <v>1596.2824474973386</v>
      </c>
      <c r="AZ51" s="17">
        <f t="shared" si="70"/>
        <v>0.32464093976013025</v>
      </c>
      <c r="BA51" s="17">
        <f t="shared" si="71"/>
        <v>0.31802778119850611</v>
      </c>
      <c r="BB51" s="17">
        <f t="shared" si="34"/>
        <v>0.19995738374611652</v>
      </c>
      <c r="BC51" s="17">
        <f t="shared" si="72"/>
        <v>3224.4668732440891</v>
      </c>
      <c r="BD51" s="1">
        <f t="shared" si="35"/>
        <v>0.21927236971484759</v>
      </c>
      <c r="BE51" s="1">
        <f t="shared" si="36"/>
        <v>0.13720543282238434</v>
      </c>
      <c r="BF51" s="1">
        <f t="shared" si="37"/>
        <v>0.31802778119850611</v>
      </c>
      <c r="BG51" s="1">
        <f t="shared" si="38"/>
        <v>6.0712131300949115E-2</v>
      </c>
    </row>
    <row r="52" spans="1:59" ht="12.75" customHeight="1" x14ac:dyDescent="0.2">
      <c r="A52" s="5">
        <v>1E-3</v>
      </c>
      <c r="B52" s="64" t="s">
        <v>123</v>
      </c>
      <c r="C52" s="62">
        <v>52.53759765625</v>
      </c>
      <c r="D52" s="62">
        <v>48.056640625</v>
      </c>
      <c r="E52" s="62">
        <v>20.099365234375</v>
      </c>
      <c r="F52" s="62">
        <v>23.57373046875</v>
      </c>
      <c r="G52" s="62">
        <v>132.967529296875</v>
      </c>
      <c r="H52" s="62">
        <v>132.967529296875</v>
      </c>
      <c r="I52" s="62">
        <v>132.967529296875</v>
      </c>
      <c r="J52" s="62">
        <v>132.967529296875</v>
      </c>
      <c r="K52" s="62">
        <v>132.967529296875</v>
      </c>
      <c r="L52" s="62">
        <v>132.967529296875</v>
      </c>
      <c r="M52" s="65">
        <v>30</v>
      </c>
      <c r="N52" s="62">
        <v>2.18505859375</v>
      </c>
      <c r="O52" s="64">
        <v>60</v>
      </c>
      <c r="P52" s="63">
        <v>2.35595703125</v>
      </c>
      <c r="Q52" s="62">
        <v>1</v>
      </c>
      <c r="R52" s="61" t="str">
        <f t="shared" si="43"/>
        <v>Countercurrent</v>
      </c>
      <c r="S52" s="60" t="s">
        <v>185</v>
      </c>
      <c r="T52" s="59">
        <f t="shared" si="44"/>
        <v>4.1805084567684583</v>
      </c>
      <c r="U52" s="59">
        <f t="shared" si="45"/>
        <v>4.1805783082515369</v>
      </c>
      <c r="V52" s="53">
        <f t="shared" si="46"/>
        <v>50.297119140625</v>
      </c>
      <c r="W52" s="58">
        <f t="shared" si="47"/>
        <v>987.89191039715354</v>
      </c>
      <c r="X52" s="53">
        <f t="shared" si="48"/>
        <v>21.8365478515625</v>
      </c>
      <c r="Y52" s="58">
        <f t="shared" si="49"/>
        <v>997.81693042178608</v>
      </c>
      <c r="Z52" s="57">
        <f t="shared" si="50"/>
        <v>4.48095703125</v>
      </c>
      <c r="AA52" s="57">
        <f t="shared" si="51"/>
        <v>3.474365234375</v>
      </c>
      <c r="AB52" s="56">
        <f t="shared" si="52"/>
        <v>3.5976695141823424E-2</v>
      </c>
      <c r="AC52" s="56">
        <f t="shared" si="53"/>
        <v>3.9180230218791655E-2</v>
      </c>
      <c r="AD52" s="56"/>
      <c r="AE52" s="55">
        <f t="shared" si="54"/>
        <v>673.93987306618953</v>
      </c>
      <c r="AF52" s="55">
        <f t="shared" si="55"/>
        <v>569.08719937994522</v>
      </c>
      <c r="AG52" s="55">
        <f t="shared" si="56"/>
        <v>104.85267368624432</v>
      </c>
      <c r="AH52" s="55">
        <f t="shared" si="57"/>
        <v>84.441835558830874</v>
      </c>
      <c r="AI52" s="55">
        <f t="shared" si="58"/>
        <v>8.5290482076637826</v>
      </c>
      <c r="AJ52" s="55">
        <f t="shared" si="59"/>
        <v>14.738292011019283</v>
      </c>
      <c r="AK52" s="55">
        <f t="shared" si="60"/>
        <v>11.633670109341534</v>
      </c>
      <c r="AL52" s="53"/>
      <c r="AM52" s="55">
        <f t="shared" si="61"/>
        <v>28.457604285036542</v>
      </c>
      <c r="AN52" s="55">
        <f t="shared" si="62"/>
        <v>590.25116490941036</v>
      </c>
      <c r="AO52" s="54" t="str">
        <f t="shared" si="42"/>
        <v/>
      </c>
      <c r="AP52" s="53">
        <f t="shared" si="63"/>
        <v>1452.1289439873972</v>
      </c>
      <c r="AQ52" s="53">
        <f t="shared" si="64"/>
        <v>994.48068112877615</v>
      </c>
      <c r="AR52" s="52">
        <f t="shared" si="73"/>
        <v>5.4444477539062491E-4</v>
      </c>
      <c r="AS52" s="52">
        <f t="shared" si="65"/>
        <v>16336.925218670727</v>
      </c>
      <c r="AT52" s="52">
        <f t="shared" si="74"/>
        <v>3.5321728515624997</v>
      </c>
      <c r="AU52" s="52">
        <f t="shared" si="75"/>
        <v>0.64429711914062504</v>
      </c>
      <c r="AV52" s="52">
        <f t="shared" si="66"/>
        <v>89.010792979179016</v>
      </c>
      <c r="AW52" s="52">
        <f t="shared" si="67"/>
        <v>163.79602056498177</v>
      </c>
      <c r="AX52" s="52">
        <f t="shared" si="68"/>
        <v>150.40087828697355</v>
      </c>
      <c r="AY52" s="52">
        <f t="shared" si="69"/>
        <v>4878.7386463269813</v>
      </c>
      <c r="AZ52" s="52">
        <f t="shared" si="70"/>
        <v>0.13813813813813813</v>
      </c>
      <c r="BA52" s="52">
        <f t="shared" si="71"/>
        <v>0.91822058782744331</v>
      </c>
      <c r="BB52" s="52">
        <f t="shared" si="34"/>
        <v>5.8875022148809124E-2</v>
      </c>
      <c r="BC52" s="52">
        <f t="shared" si="72"/>
        <v>3151.0657960938247</v>
      </c>
      <c r="BD52" s="1">
        <f t="shared" si="35"/>
        <v>0.10710710710710711</v>
      </c>
      <c r="BE52" s="1">
        <f t="shared" si="36"/>
        <v>6.4003557551158982E-2</v>
      </c>
      <c r="BF52" s="1">
        <f t="shared" si="37"/>
        <v>0.91822058782744331</v>
      </c>
      <c r="BG52" s="1">
        <f t="shared" si="38"/>
        <v>2.650856630480437E-2</v>
      </c>
    </row>
    <row r="53" spans="1:59" ht="12.75" customHeight="1" x14ac:dyDescent="0.2">
      <c r="A53" s="5">
        <v>1E-3</v>
      </c>
      <c r="B53" s="64" t="s">
        <v>124</v>
      </c>
      <c r="C53" s="62">
        <v>52.66748046875</v>
      </c>
      <c r="D53" s="62">
        <v>48.218994140625</v>
      </c>
      <c r="E53" s="62">
        <v>20.06689453125</v>
      </c>
      <c r="F53" s="62">
        <v>23.57373046875</v>
      </c>
      <c r="G53" s="62">
        <v>132.967529296875</v>
      </c>
      <c r="H53" s="62">
        <v>132.967529296875</v>
      </c>
      <c r="I53" s="62">
        <v>132.967529296875</v>
      </c>
      <c r="J53" s="62">
        <v>132.967529296875</v>
      </c>
      <c r="K53" s="62">
        <v>132.967529296875</v>
      </c>
      <c r="L53" s="62">
        <v>132.967529296875</v>
      </c>
      <c r="M53" s="65">
        <v>30</v>
      </c>
      <c r="N53" s="62">
        <v>2.24609375</v>
      </c>
      <c r="O53" s="64">
        <v>60</v>
      </c>
      <c r="P53" s="63">
        <v>2.3193359375</v>
      </c>
      <c r="Q53" s="62">
        <v>1</v>
      </c>
      <c r="R53" s="61" t="str">
        <f t="shared" si="43"/>
        <v>Countercurrent</v>
      </c>
      <c r="S53" s="60" t="s">
        <v>185</v>
      </c>
      <c r="T53" s="59">
        <f t="shared" si="44"/>
        <v>4.1805528469705084</v>
      </c>
      <c r="U53" s="59">
        <f t="shared" si="45"/>
        <v>4.1805861420346364</v>
      </c>
      <c r="V53" s="53">
        <f t="shared" si="46"/>
        <v>50.4432373046875</v>
      </c>
      <c r="W53" s="58">
        <f t="shared" si="47"/>
        <v>987.82559604158132</v>
      </c>
      <c r="X53" s="53">
        <f t="shared" si="48"/>
        <v>21.8203125</v>
      </c>
      <c r="Y53" s="58">
        <f t="shared" si="49"/>
        <v>997.82057894360582</v>
      </c>
      <c r="Z53" s="57">
        <f t="shared" si="50"/>
        <v>4.448486328125</v>
      </c>
      <c r="AA53" s="57">
        <f t="shared" si="51"/>
        <v>3.5068359375</v>
      </c>
      <c r="AB53" s="56">
        <f t="shared" si="52"/>
        <v>3.6979148289317011E-2</v>
      </c>
      <c r="AC53" s="56">
        <f t="shared" si="53"/>
        <v>3.8571352132016012E-2</v>
      </c>
      <c r="AD53" s="56"/>
      <c r="AE53" s="55">
        <f t="shared" si="54"/>
        <v>687.70610877900799</v>
      </c>
      <c r="AF53" s="55">
        <f t="shared" si="55"/>
        <v>565.48031151142141</v>
      </c>
      <c r="AG53" s="55">
        <f t="shared" si="56"/>
        <v>122.22579726758659</v>
      </c>
      <c r="AH53" s="55">
        <f t="shared" si="57"/>
        <v>82.227030455699577</v>
      </c>
      <c r="AI53" s="55">
        <f t="shared" si="58"/>
        <v>8.446362515413071</v>
      </c>
      <c r="AJ53" s="55">
        <f t="shared" si="59"/>
        <v>14.87603305785124</v>
      </c>
      <c r="AK53" s="55">
        <f t="shared" si="60"/>
        <v>11.661197786632155</v>
      </c>
      <c r="AL53" s="53"/>
      <c r="AM53" s="55">
        <f t="shared" si="61"/>
        <v>28.620343047079565</v>
      </c>
      <c r="AN53" s="55">
        <f t="shared" si="62"/>
        <v>589.45956711280473</v>
      </c>
      <c r="AO53" s="54" t="str">
        <f t="shared" si="42"/>
        <v/>
      </c>
      <c r="AP53" s="53">
        <f t="shared" si="63"/>
        <v>1473.3652184911318</v>
      </c>
      <c r="AQ53" s="53">
        <f t="shared" si="64"/>
        <v>982.55874089792053</v>
      </c>
      <c r="AR53" s="52">
        <f t="shared" si="73"/>
        <v>5.4318815917968745E-4</v>
      </c>
      <c r="AS53" s="52">
        <f t="shared" si="65"/>
        <v>16830.983703100894</v>
      </c>
      <c r="AT53" s="52">
        <f t="shared" si="74"/>
        <v>3.5234057617187498</v>
      </c>
      <c r="AU53" s="52">
        <f t="shared" si="75"/>
        <v>0.64444323730468756</v>
      </c>
      <c r="AV53" s="52">
        <f t="shared" si="66"/>
        <v>91.26435211339755</v>
      </c>
      <c r="AW53" s="52">
        <f t="shared" si="67"/>
        <v>161.25086020264425</v>
      </c>
      <c r="AX53" s="52">
        <f t="shared" si="68"/>
        <v>154.59328365944882</v>
      </c>
      <c r="AY53" s="52">
        <f t="shared" si="69"/>
        <v>5039.8316293001753</v>
      </c>
      <c r="AZ53" s="52">
        <f t="shared" si="70"/>
        <v>0.13645418326693226</v>
      </c>
      <c r="BA53" s="52">
        <f t="shared" si="71"/>
        <v>0.95871292385771556</v>
      </c>
      <c r="BB53" s="52">
        <f t="shared" si="34"/>
        <v>5.7073800520571975E-2</v>
      </c>
      <c r="BC53" s="52">
        <f t="shared" si="72"/>
        <v>3231.5766223336714</v>
      </c>
      <c r="BD53" s="1">
        <f t="shared" si="35"/>
        <v>0.10756972111553785</v>
      </c>
      <c r="BE53" s="1">
        <f t="shared" si="36"/>
        <v>6.2184340493151059E-2</v>
      </c>
      <c r="BF53" s="1">
        <f t="shared" si="37"/>
        <v>0.95871292385771556</v>
      </c>
      <c r="BG53" s="1">
        <f t="shared" si="38"/>
        <v>2.5745029160482921E-2</v>
      </c>
    </row>
    <row r="54" spans="1:59" ht="12.75" customHeight="1" x14ac:dyDescent="0.2">
      <c r="A54" s="5">
        <v>1E-3</v>
      </c>
      <c r="B54" s="64" t="s">
        <v>125</v>
      </c>
      <c r="C54" s="62">
        <v>52.92724609375</v>
      </c>
      <c r="D54" s="62">
        <v>48.413818359375</v>
      </c>
      <c r="E54" s="62">
        <v>20.099365234375</v>
      </c>
      <c r="F54" s="62">
        <v>23.638671875</v>
      </c>
      <c r="G54" s="62">
        <v>132.967529296875</v>
      </c>
      <c r="H54" s="62">
        <v>132.967529296875</v>
      </c>
      <c r="I54" s="62">
        <v>132.967529296875</v>
      </c>
      <c r="J54" s="62">
        <v>132.967529296875</v>
      </c>
      <c r="K54" s="62">
        <v>132.967529296875</v>
      </c>
      <c r="L54" s="62">
        <v>132.967529296875</v>
      </c>
      <c r="M54" s="65">
        <v>30</v>
      </c>
      <c r="N54" s="62">
        <v>2.28271484375</v>
      </c>
      <c r="O54" s="64">
        <v>60</v>
      </c>
      <c r="P54" s="63">
        <v>2.3681640625</v>
      </c>
      <c r="Q54" s="62">
        <v>1</v>
      </c>
      <c r="R54" s="61" t="str">
        <f t="shared" si="43"/>
        <v>Countercurrent</v>
      </c>
      <c r="S54" s="60" t="s">
        <v>185</v>
      </c>
      <c r="T54" s="59">
        <f t="shared" si="44"/>
        <v>4.1806225640696937</v>
      </c>
      <c r="U54" s="59">
        <f t="shared" si="45"/>
        <v>4.1805626861822489</v>
      </c>
      <c r="V54" s="53">
        <f t="shared" si="46"/>
        <v>50.6705322265625</v>
      </c>
      <c r="W54" s="58">
        <f t="shared" si="47"/>
        <v>987.72217041802207</v>
      </c>
      <c r="X54" s="53">
        <f t="shared" si="48"/>
        <v>21.8690185546875</v>
      </c>
      <c r="Y54" s="58">
        <f t="shared" si="49"/>
        <v>997.80962512756298</v>
      </c>
      <c r="Z54" s="57">
        <f t="shared" si="50"/>
        <v>4.513427734375</v>
      </c>
      <c r="AA54" s="57">
        <f t="shared" si="51"/>
        <v>3.539306640625</v>
      </c>
      <c r="AB54" s="56">
        <f t="shared" si="52"/>
        <v>3.7578134331903101E-2</v>
      </c>
      <c r="AC54" s="56">
        <f t="shared" si="53"/>
        <v>3.9382948257394863E-2</v>
      </c>
      <c r="AD54" s="56"/>
      <c r="AE54" s="55">
        <f t="shared" si="54"/>
        <v>709.05948038686074</v>
      </c>
      <c r="AF54" s="55">
        <f t="shared" si="55"/>
        <v>582.72165251963918</v>
      </c>
      <c r="AG54" s="55">
        <f t="shared" si="56"/>
        <v>126.33782786722156</v>
      </c>
      <c r="AH54" s="55">
        <f t="shared" si="57"/>
        <v>82.182337115316201</v>
      </c>
      <c r="AI54" s="55">
        <f t="shared" si="58"/>
        <v>8.5276073619631898</v>
      </c>
      <c r="AJ54" s="55">
        <f t="shared" si="59"/>
        <v>14.972527472527473</v>
      </c>
      <c r="AK54" s="55">
        <f t="shared" si="60"/>
        <v>11.750067417245331</v>
      </c>
      <c r="AL54" s="53"/>
      <c r="AM54" s="55">
        <f t="shared" si="61"/>
        <v>28.798767912594819</v>
      </c>
      <c r="AN54" s="55">
        <f t="shared" si="62"/>
        <v>603.79993974684407</v>
      </c>
      <c r="AO54" s="54" t="str">
        <f t="shared" si="42"/>
        <v/>
      </c>
      <c r="AP54" s="53">
        <f t="shared" si="63"/>
        <v>1509.7016383059211</v>
      </c>
      <c r="AQ54" s="53">
        <f t="shared" si="64"/>
        <v>1006.243568915641</v>
      </c>
      <c r="AR54" s="52">
        <f t="shared" si="73"/>
        <v>5.4123342285156248E-4</v>
      </c>
      <c r="AS54" s="52">
        <f t="shared" si="65"/>
        <v>17165.382935839389</v>
      </c>
      <c r="AT54" s="52">
        <f t="shared" si="74"/>
        <v>3.5097680664062501</v>
      </c>
      <c r="AU54" s="52">
        <f t="shared" si="75"/>
        <v>0.64467053222656256</v>
      </c>
      <c r="AV54" s="52">
        <f t="shared" si="66"/>
        <v>92.714445745670986</v>
      </c>
      <c r="AW54" s="52">
        <f t="shared" si="67"/>
        <v>164.64288395671119</v>
      </c>
      <c r="AX54" s="52">
        <f t="shared" si="68"/>
        <v>157.09999630359613</v>
      </c>
      <c r="AY54" s="52">
        <f t="shared" si="69"/>
        <v>5157.2599616627067</v>
      </c>
      <c r="AZ54" s="52">
        <f t="shared" si="70"/>
        <v>0.13748763600395647</v>
      </c>
      <c r="BA54" s="52">
        <f t="shared" si="71"/>
        <v>0.95418637312561727</v>
      </c>
      <c r="BB54" s="52">
        <f t="shared" si="34"/>
        <v>5.768573103954807E-2</v>
      </c>
      <c r="BC54" s="52">
        <f t="shared" si="72"/>
        <v>3284.080828788597</v>
      </c>
      <c r="BD54" s="1">
        <f t="shared" si="35"/>
        <v>0.10781404549950543</v>
      </c>
      <c r="BE54" s="1">
        <f t="shared" si="36"/>
        <v>6.2680799077101015E-2</v>
      </c>
      <c r="BF54" s="1">
        <f t="shared" si="37"/>
        <v>0.95418637312561727</v>
      </c>
      <c r="BG54" s="1">
        <f t="shared" si="38"/>
        <v>2.5951185063723032E-2</v>
      </c>
    </row>
    <row r="55" spans="1:59" ht="12.75" customHeight="1" x14ac:dyDescent="0.2">
      <c r="A55" s="5">
        <v>1E-3</v>
      </c>
      <c r="B55" s="64" t="s">
        <v>126</v>
      </c>
      <c r="C55" s="62">
        <v>53.154541015625</v>
      </c>
      <c r="D55" s="62">
        <v>48.608642578125</v>
      </c>
      <c r="E55" s="62">
        <v>20.06689453125</v>
      </c>
      <c r="F55" s="62">
        <v>23.57373046875</v>
      </c>
      <c r="G55" s="62">
        <v>132.967529296875</v>
      </c>
      <c r="H55" s="62">
        <v>132.967529296875</v>
      </c>
      <c r="I55" s="62">
        <v>132.967529296875</v>
      </c>
      <c r="J55" s="62">
        <v>132.967529296875</v>
      </c>
      <c r="K55" s="62">
        <v>132.967529296875</v>
      </c>
      <c r="L55" s="62">
        <v>132.967529296875</v>
      </c>
      <c r="M55" s="65">
        <v>30</v>
      </c>
      <c r="N55" s="62">
        <v>2.28271484375</v>
      </c>
      <c r="O55" s="64">
        <v>60</v>
      </c>
      <c r="P55" s="63">
        <v>2.34375</v>
      </c>
      <c r="Q55" s="62">
        <v>1</v>
      </c>
      <c r="R55" s="61" t="str">
        <f t="shared" si="43"/>
        <v>Countercurrent</v>
      </c>
      <c r="S55" s="60" t="s">
        <v>185</v>
      </c>
      <c r="T55" s="59">
        <f t="shared" si="44"/>
        <v>4.1806880244963542</v>
      </c>
      <c r="U55" s="59">
        <f t="shared" si="45"/>
        <v>4.1805861420346364</v>
      </c>
      <c r="V55" s="53">
        <f t="shared" si="46"/>
        <v>50.881591796875</v>
      </c>
      <c r="W55" s="58">
        <f t="shared" si="47"/>
        <v>987.62583863105124</v>
      </c>
      <c r="X55" s="53">
        <f t="shared" si="48"/>
        <v>21.8203125</v>
      </c>
      <c r="Y55" s="58">
        <f t="shared" si="49"/>
        <v>997.82057894360582</v>
      </c>
      <c r="Z55" s="57">
        <f t="shared" si="50"/>
        <v>4.5458984375</v>
      </c>
      <c r="AA55" s="57">
        <f t="shared" si="51"/>
        <v>3.5068359375</v>
      </c>
      <c r="AB55" s="56">
        <f t="shared" si="52"/>
        <v>3.7574469365235716E-2</v>
      </c>
      <c r="AC55" s="56">
        <f t="shared" si="53"/>
        <v>3.8977366364984604E-2</v>
      </c>
      <c r="AD55" s="56"/>
      <c r="AE55" s="55">
        <f t="shared" si="54"/>
        <v>714.10215746584436</v>
      </c>
      <c r="AF55" s="55">
        <f t="shared" si="55"/>
        <v>571.43273584312067</v>
      </c>
      <c r="AG55" s="55">
        <f t="shared" si="56"/>
        <v>142.66942162272369</v>
      </c>
      <c r="AH55" s="55">
        <f t="shared" si="57"/>
        <v>80.021146816161576</v>
      </c>
      <c r="AI55" s="55">
        <f t="shared" si="58"/>
        <v>8.5522296884544886</v>
      </c>
      <c r="AJ55" s="55">
        <f t="shared" si="59"/>
        <v>14.87603305785124</v>
      </c>
      <c r="AK55" s="55">
        <f t="shared" si="60"/>
        <v>11.714131373152863</v>
      </c>
      <c r="AL55" s="53"/>
      <c r="AM55" s="55">
        <f t="shared" si="61"/>
        <v>29.05818312981944</v>
      </c>
      <c r="AN55" s="55">
        <f t="shared" si="62"/>
        <v>593.05422143037333</v>
      </c>
      <c r="AO55" s="54" t="str">
        <f t="shared" si="42"/>
        <v/>
      </c>
      <c r="AP55" s="53">
        <f t="shared" si="63"/>
        <v>1506.8646851963576</v>
      </c>
      <c r="AQ55" s="53">
        <f t="shared" si="64"/>
        <v>977.94071978246018</v>
      </c>
      <c r="AR55" s="52">
        <f t="shared" si="73"/>
        <v>5.3941831054687495E-4</v>
      </c>
      <c r="AS55" s="52">
        <f t="shared" si="65"/>
        <v>17221.463724887151</v>
      </c>
      <c r="AT55" s="52">
        <f t="shared" si="74"/>
        <v>3.4971044921874999</v>
      </c>
      <c r="AU55" s="52">
        <f t="shared" si="75"/>
        <v>0.64488159179687499</v>
      </c>
      <c r="AV55" s="52">
        <f t="shared" si="66"/>
        <v>92.865050319574578</v>
      </c>
      <c r="AW55" s="52">
        <f t="shared" si="67"/>
        <v>162.9482376784616</v>
      </c>
      <c r="AX55" s="52">
        <f t="shared" si="68"/>
        <v>157.08713410204609</v>
      </c>
      <c r="AY55" s="52">
        <f t="shared" si="69"/>
        <v>5197.6435604121098</v>
      </c>
      <c r="AZ55" s="52">
        <f t="shared" si="70"/>
        <v>0.13738959764474976</v>
      </c>
      <c r="BA55" s="52">
        <f t="shared" si="71"/>
        <v>0.96403088698644934</v>
      </c>
      <c r="BB55" s="52">
        <f t="shared" si="34"/>
        <v>5.7402572732693252E-2</v>
      </c>
      <c r="BC55" s="52">
        <f t="shared" si="72"/>
        <v>3290.4923885925355</v>
      </c>
      <c r="BD55" s="1">
        <f t="shared" si="35"/>
        <v>0.10598626104023552</v>
      </c>
      <c r="BE55" s="1">
        <f t="shared" si="36"/>
        <v>6.157032116190108E-2</v>
      </c>
      <c r="BF55" s="1">
        <f t="shared" si="37"/>
        <v>0.96403088698644934</v>
      </c>
      <c r="BG55" s="1">
        <f t="shared" si="38"/>
        <v>2.549023261923776E-2</v>
      </c>
    </row>
    <row r="56" spans="1:59" ht="12.75" customHeight="1" x14ac:dyDescent="0.2">
      <c r="A56" s="5">
        <v>1E-3</v>
      </c>
      <c r="B56" s="64" t="s">
        <v>127</v>
      </c>
      <c r="C56" s="62">
        <v>53.154541015625</v>
      </c>
      <c r="D56" s="62">
        <v>48.608642578125</v>
      </c>
      <c r="E56" s="62">
        <v>20.06689453125</v>
      </c>
      <c r="F56" s="62">
        <v>23.57373046875</v>
      </c>
      <c r="G56" s="62">
        <v>132.967529296875</v>
      </c>
      <c r="H56" s="62">
        <v>132.967529296875</v>
      </c>
      <c r="I56" s="62">
        <v>132.967529296875</v>
      </c>
      <c r="J56" s="62">
        <v>132.967529296875</v>
      </c>
      <c r="K56" s="62">
        <v>132.967529296875</v>
      </c>
      <c r="L56" s="62">
        <v>132.967529296875</v>
      </c>
      <c r="M56" s="65">
        <v>30</v>
      </c>
      <c r="N56" s="62">
        <v>2.24609375</v>
      </c>
      <c r="O56" s="64">
        <v>60</v>
      </c>
      <c r="P56" s="63">
        <v>2.42919921875</v>
      </c>
      <c r="Q56" s="62">
        <v>1</v>
      </c>
      <c r="R56" s="61" t="str">
        <f t="shared" si="43"/>
        <v>Countercurrent</v>
      </c>
      <c r="S56" s="60" t="s">
        <v>185</v>
      </c>
      <c r="T56" s="59">
        <f t="shared" si="44"/>
        <v>4.1806880244963542</v>
      </c>
      <c r="U56" s="59">
        <f t="shared" si="45"/>
        <v>4.1805861420346364</v>
      </c>
      <c r="V56" s="53">
        <f t="shared" si="46"/>
        <v>50.881591796875</v>
      </c>
      <c r="W56" s="58">
        <f t="shared" si="47"/>
        <v>987.62583863105124</v>
      </c>
      <c r="X56" s="53">
        <f t="shared" si="48"/>
        <v>21.8203125</v>
      </c>
      <c r="Y56" s="58">
        <f t="shared" si="49"/>
        <v>997.82057894360582</v>
      </c>
      <c r="Z56" s="57">
        <f t="shared" si="50"/>
        <v>4.5458984375</v>
      </c>
      <c r="AA56" s="57">
        <f t="shared" si="51"/>
        <v>3.5068359375</v>
      </c>
      <c r="AB56" s="56">
        <f t="shared" si="52"/>
        <v>3.6971670391461875E-2</v>
      </c>
      <c r="AC56" s="56">
        <f t="shared" si="53"/>
        <v>4.0398416180374659E-2</v>
      </c>
      <c r="AD56" s="56"/>
      <c r="AE56" s="55">
        <f t="shared" si="54"/>
        <v>702.64597312147237</v>
      </c>
      <c r="AF56" s="55">
        <f t="shared" si="55"/>
        <v>592.26622100406769</v>
      </c>
      <c r="AG56" s="55">
        <f t="shared" si="56"/>
        <v>110.37975211740468</v>
      </c>
      <c r="AH56" s="55">
        <f t="shared" si="57"/>
        <v>84.290843989748112</v>
      </c>
      <c r="AI56" s="55">
        <f t="shared" si="58"/>
        <v>8.5522296884544886</v>
      </c>
      <c r="AJ56" s="55">
        <f t="shared" si="59"/>
        <v>14.87603305785124</v>
      </c>
      <c r="AK56" s="55">
        <f t="shared" si="60"/>
        <v>11.714131373152863</v>
      </c>
      <c r="AL56" s="53"/>
      <c r="AM56" s="55">
        <f t="shared" si="61"/>
        <v>29.05818312981944</v>
      </c>
      <c r="AN56" s="55">
        <f t="shared" si="62"/>
        <v>602.03348598238733</v>
      </c>
      <c r="AO56" s="54" t="str">
        <f t="shared" si="42"/>
        <v/>
      </c>
      <c r="AP56" s="53">
        <f t="shared" si="63"/>
        <v>1482.6903854338489</v>
      </c>
      <c r="AQ56" s="53">
        <f t="shared" si="64"/>
        <v>1013.5948085245288</v>
      </c>
      <c r="AR56" s="52">
        <f t="shared" si="73"/>
        <v>5.3941831054687495E-4</v>
      </c>
      <c r="AS56" s="52">
        <f t="shared" si="65"/>
        <v>16945.18355817773</v>
      </c>
      <c r="AT56" s="52">
        <f t="shared" si="74"/>
        <v>3.4971044921874999</v>
      </c>
      <c r="AU56" s="52">
        <f t="shared" si="75"/>
        <v>0.64488159179687499</v>
      </c>
      <c r="AV56" s="52">
        <f t="shared" si="66"/>
        <v>91.57199546123266</v>
      </c>
      <c r="AW56" s="52">
        <f t="shared" si="67"/>
        <v>168.88905884382214</v>
      </c>
      <c r="AX56" s="52">
        <f t="shared" si="68"/>
        <v>154.5670196512111</v>
      </c>
      <c r="AY56" s="52">
        <f t="shared" si="69"/>
        <v>5114.2589043627167</v>
      </c>
      <c r="AZ56" s="52">
        <f t="shared" si="70"/>
        <v>0.13738959764474976</v>
      </c>
      <c r="BA56" s="52">
        <f t="shared" si="71"/>
        <v>0.91519853748575175</v>
      </c>
      <c r="BB56" s="52">
        <f t="shared" si="34"/>
        <v>5.8578043482821522E-2</v>
      </c>
      <c r="BC56" s="52">
        <f t="shared" si="72"/>
        <v>3244.6755053327429</v>
      </c>
      <c r="BD56" s="1">
        <f t="shared" si="35"/>
        <v>0.10598626104023552</v>
      </c>
      <c r="BE56" s="1">
        <f t="shared" si="36"/>
        <v>6.3521602955158615E-2</v>
      </c>
      <c r="BF56" s="1">
        <f t="shared" si="37"/>
        <v>0.91519853748575175</v>
      </c>
      <c r="BG56" s="1">
        <f t="shared" si="38"/>
        <v>2.6310350023306298E-2</v>
      </c>
    </row>
    <row r="57" spans="1:59" ht="12.75" customHeight="1" x14ac:dyDescent="0.2">
      <c r="A57" s="5">
        <v>1E-3</v>
      </c>
      <c r="B57" s="64" t="s">
        <v>128</v>
      </c>
      <c r="C57" s="62">
        <v>53.18701171875</v>
      </c>
      <c r="D57" s="62">
        <v>48.64111328125</v>
      </c>
      <c r="E57" s="62">
        <v>20.06689453125</v>
      </c>
      <c r="F57" s="62">
        <v>23.671142578125</v>
      </c>
      <c r="G57" s="62">
        <v>132.967529296875</v>
      </c>
      <c r="H57" s="62">
        <v>132.967529296875</v>
      </c>
      <c r="I57" s="62">
        <v>132.967529296875</v>
      </c>
      <c r="J57" s="62">
        <v>132.967529296875</v>
      </c>
      <c r="K57" s="62">
        <v>132.967529296875</v>
      </c>
      <c r="L57" s="62">
        <v>132.967529296875</v>
      </c>
      <c r="M57" s="65">
        <v>30</v>
      </c>
      <c r="N57" s="62">
        <v>2.1240234375</v>
      </c>
      <c r="O57" s="64">
        <v>60</v>
      </c>
      <c r="P57" s="63">
        <v>2.24609375</v>
      </c>
      <c r="Q57" s="62">
        <v>1</v>
      </c>
      <c r="R57" s="61" t="str">
        <f t="shared" si="43"/>
        <v>Countercurrent</v>
      </c>
      <c r="S57" s="60" t="s">
        <v>185</v>
      </c>
      <c r="T57" s="59">
        <f t="shared" si="44"/>
        <v>4.180698156965275</v>
      </c>
      <c r="U57" s="59">
        <f t="shared" si="45"/>
        <v>4.1805626861822489</v>
      </c>
      <c r="V57" s="53">
        <f t="shared" si="46"/>
        <v>50.9140625</v>
      </c>
      <c r="W57" s="58">
        <f t="shared" si="47"/>
        <v>987.61099329122612</v>
      </c>
      <c r="X57" s="53">
        <f t="shared" si="48"/>
        <v>21.8690185546875</v>
      </c>
      <c r="Y57" s="58">
        <f t="shared" si="49"/>
        <v>997.80962512756298</v>
      </c>
      <c r="Z57" s="57">
        <f t="shared" si="50"/>
        <v>4.5458984375</v>
      </c>
      <c r="AA57" s="57">
        <f t="shared" si="51"/>
        <v>3.604248046875</v>
      </c>
      <c r="AB57" s="56">
        <f t="shared" si="52"/>
        <v>3.4961814948053657E-2</v>
      </c>
      <c r="AC57" s="56">
        <f t="shared" si="53"/>
        <v>3.7352899378147703E-2</v>
      </c>
      <c r="AD57" s="56"/>
      <c r="AE57" s="55">
        <f t="shared" si="54"/>
        <v>664.45031465128022</v>
      </c>
      <c r="AF57" s="55">
        <f t="shared" si="55"/>
        <v>562.82545309094439</v>
      </c>
      <c r="AG57" s="55">
        <f t="shared" si="56"/>
        <v>101.62486156033583</v>
      </c>
      <c r="AH57" s="55">
        <f t="shared" si="57"/>
        <v>84.705423517833523</v>
      </c>
      <c r="AI57" s="55">
        <f t="shared" si="58"/>
        <v>8.5470085470085468</v>
      </c>
      <c r="AJ57" s="55">
        <f t="shared" si="59"/>
        <v>15.22633744855967</v>
      </c>
      <c r="AK57" s="55">
        <f t="shared" si="60"/>
        <v>11.886672997784109</v>
      </c>
      <c r="AL57" s="53"/>
      <c r="AM57" s="55">
        <f t="shared" si="61"/>
        <v>29.042499714354236</v>
      </c>
      <c r="AN57" s="55">
        <f t="shared" si="62"/>
        <v>571.27525926716328</v>
      </c>
      <c r="AO57" s="54" t="str">
        <f t="shared" si="42"/>
        <v/>
      </c>
      <c r="AP57" s="53">
        <f t="shared" si="63"/>
        <v>1402.8488607967677</v>
      </c>
      <c r="AQ57" s="53">
        <f t="shared" si="64"/>
        <v>963.73050466031111</v>
      </c>
      <c r="AR57" s="52">
        <f t="shared" si="73"/>
        <v>5.3913906249999997E-4</v>
      </c>
      <c r="AS57" s="52">
        <f t="shared" si="65"/>
        <v>16032.308467373667</v>
      </c>
      <c r="AT57" s="52">
        <f t="shared" si="74"/>
        <v>3.49515625</v>
      </c>
      <c r="AU57" s="52">
        <f t="shared" si="75"/>
        <v>0.64491406250000005</v>
      </c>
      <c r="AV57" s="52">
        <f t="shared" si="66"/>
        <v>87.263066094573716</v>
      </c>
      <c r="AW57" s="52">
        <f t="shared" si="67"/>
        <v>156.15613736100443</v>
      </c>
      <c r="AX57" s="52">
        <f t="shared" si="68"/>
        <v>146.16479531748894</v>
      </c>
      <c r="AY57" s="52">
        <f t="shared" si="69"/>
        <v>4840.9951496021849</v>
      </c>
      <c r="AZ57" s="52">
        <f t="shared" si="70"/>
        <v>0.1372549019607843</v>
      </c>
      <c r="BA57" s="52">
        <f t="shared" si="71"/>
        <v>0.93601697498179448</v>
      </c>
      <c r="BB57" s="52">
        <f t="shared" si="34"/>
        <v>5.8008186876712511E-2</v>
      </c>
      <c r="BC57" s="52">
        <f t="shared" si="72"/>
        <v>3092.1526627064586</v>
      </c>
      <c r="BD57" s="1">
        <f t="shared" si="35"/>
        <v>0.10882352941176471</v>
      </c>
      <c r="BE57" s="1">
        <f t="shared" si="36"/>
        <v>6.3741204680443572E-2</v>
      </c>
      <c r="BF57" s="1">
        <f t="shared" si="37"/>
        <v>0.93601697498179448</v>
      </c>
      <c r="BG57" s="1">
        <f t="shared" si="38"/>
        <v>2.6394149652381276E-2</v>
      </c>
    </row>
    <row r="58" spans="1:59" ht="12.75" customHeight="1" x14ac:dyDescent="0.2">
      <c r="A58" s="5">
        <v>1E-3</v>
      </c>
      <c r="B58" s="64" t="s">
        <v>129</v>
      </c>
      <c r="C58" s="62">
        <v>53.089599609375</v>
      </c>
      <c r="D58" s="62">
        <v>48.608642578125</v>
      </c>
      <c r="E58" s="62">
        <v>20.06689453125</v>
      </c>
      <c r="F58" s="62">
        <v>23.70361328125</v>
      </c>
      <c r="G58" s="62">
        <v>132.967529296875</v>
      </c>
      <c r="H58" s="62">
        <v>132.967529296875</v>
      </c>
      <c r="I58" s="62">
        <v>132.967529296875</v>
      </c>
      <c r="J58" s="62">
        <v>132.967529296875</v>
      </c>
      <c r="K58" s="62">
        <v>132.967529296875</v>
      </c>
      <c r="L58" s="62">
        <v>132.967529296875</v>
      </c>
      <c r="M58" s="65">
        <v>30</v>
      </c>
      <c r="N58" s="62">
        <v>2.28271484375</v>
      </c>
      <c r="O58" s="64">
        <v>60</v>
      </c>
      <c r="P58" s="63">
        <v>2.34375</v>
      </c>
      <c r="Q58" s="62">
        <v>1</v>
      </c>
      <c r="R58" s="61" t="str">
        <f t="shared" si="43"/>
        <v>Countercurrent</v>
      </c>
      <c r="S58" s="60" t="s">
        <v>185</v>
      </c>
      <c r="T58" s="59">
        <f t="shared" si="44"/>
        <v>4.1806779084459667</v>
      </c>
      <c r="U58" s="59">
        <f t="shared" si="45"/>
        <v>4.1805548978582188</v>
      </c>
      <c r="V58" s="53">
        <f t="shared" si="46"/>
        <v>50.84912109375</v>
      </c>
      <c r="W58" s="58">
        <f t="shared" si="47"/>
        <v>987.64067729074384</v>
      </c>
      <c r="X58" s="53">
        <f t="shared" si="48"/>
        <v>21.88525390625</v>
      </c>
      <c r="Y58" s="58">
        <f t="shared" si="49"/>
        <v>997.80596835705308</v>
      </c>
      <c r="Z58" s="57">
        <f t="shared" si="50"/>
        <v>4.48095703125</v>
      </c>
      <c r="AA58" s="57">
        <f t="shared" si="51"/>
        <v>3.63671875</v>
      </c>
      <c r="AB58" s="56">
        <f t="shared" si="52"/>
        <v>3.757503390571474E-2</v>
      </c>
      <c r="AC58" s="56">
        <f t="shared" si="53"/>
        <v>3.897679563894739E-2</v>
      </c>
      <c r="AD58" s="56"/>
      <c r="AE58" s="55">
        <f t="shared" si="54"/>
        <v>703.9095706223942</v>
      </c>
      <c r="AF58" s="55">
        <f t="shared" si="55"/>
        <v>592.58380535682102</v>
      </c>
      <c r="AG58" s="55">
        <f t="shared" si="56"/>
        <v>111.32576526557318</v>
      </c>
      <c r="AH58" s="55">
        <f t="shared" si="57"/>
        <v>84.18464957549314</v>
      </c>
      <c r="AI58" s="55">
        <f t="shared" si="58"/>
        <v>8.4403669724770651</v>
      </c>
      <c r="AJ58" s="55">
        <f t="shared" si="59"/>
        <v>15.342465753424658</v>
      </c>
      <c r="AK58" s="55">
        <f t="shared" si="60"/>
        <v>11.891416362950862</v>
      </c>
      <c r="AL58" s="53"/>
      <c r="AM58" s="55">
        <f t="shared" si="61"/>
        <v>28.961816417814113</v>
      </c>
      <c r="AN58" s="55">
        <f t="shared" si="62"/>
        <v>604.66989199524562</v>
      </c>
      <c r="AO58" s="54" t="str">
        <f t="shared" si="42"/>
        <v/>
      </c>
      <c r="AP58" s="53">
        <f t="shared" si="63"/>
        <v>1490.2991025118545</v>
      </c>
      <c r="AQ58" s="53">
        <f t="shared" si="64"/>
        <v>1017.5127318020581</v>
      </c>
      <c r="AR58" s="52">
        <f t="shared" si="73"/>
        <v>5.3969755859374993E-4</v>
      </c>
      <c r="AS58" s="52">
        <f t="shared" si="65"/>
        <v>17212.811678681795</v>
      </c>
      <c r="AT58" s="52">
        <f t="shared" si="74"/>
        <v>3.4990527343749998</v>
      </c>
      <c r="AU58" s="52">
        <f t="shared" si="75"/>
        <v>0.64484912109375003</v>
      </c>
      <c r="AV58" s="52">
        <f t="shared" si="66"/>
        <v>92.841833189895809</v>
      </c>
      <c r="AW58" s="52">
        <f t="shared" si="67"/>
        <v>162.94463391122039</v>
      </c>
      <c r="AX58" s="52">
        <f t="shared" si="68"/>
        <v>157.08911415872979</v>
      </c>
      <c r="AY58" s="52">
        <f t="shared" si="69"/>
        <v>5187.5074878476444</v>
      </c>
      <c r="AZ58" s="52">
        <f t="shared" si="70"/>
        <v>0.13569321533923304</v>
      </c>
      <c r="BA58" s="52">
        <f t="shared" si="71"/>
        <v>0.96406435970342563</v>
      </c>
      <c r="BB58" s="52">
        <f t="shared" si="34"/>
        <v>5.6577496438283234E-2</v>
      </c>
      <c r="BC58" s="52">
        <f t="shared" si="72"/>
        <v>3289.5040952327945</v>
      </c>
      <c r="BD58" s="1">
        <f t="shared" si="35"/>
        <v>0.11012782694198624</v>
      </c>
      <c r="BE58" s="1">
        <f t="shared" si="36"/>
        <v>6.2775457678899027E-2</v>
      </c>
      <c r="BF58" s="1">
        <f t="shared" si="37"/>
        <v>0.96406435970342563</v>
      </c>
      <c r="BG58" s="1">
        <f t="shared" si="38"/>
        <v>2.5988530479100866E-2</v>
      </c>
    </row>
    <row r="59" spans="1:59" ht="12.75" customHeight="1" x14ac:dyDescent="0.2">
      <c r="A59" s="5">
        <v>1E-3</v>
      </c>
      <c r="B59" s="64" t="s">
        <v>130</v>
      </c>
      <c r="C59" s="62">
        <v>52.92724609375</v>
      </c>
      <c r="D59" s="62">
        <v>48.543701171875</v>
      </c>
      <c r="E59" s="62">
        <v>20.06689453125</v>
      </c>
      <c r="F59" s="62">
        <v>23.606201171875</v>
      </c>
      <c r="G59" s="62">
        <v>132.967529296875</v>
      </c>
      <c r="H59" s="62">
        <v>132.967529296875</v>
      </c>
      <c r="I59" s="62">
        <v>132.967529296875</v>
      </c>
      <c r="J59" s="62">
        <v>132.967529296875</v>
      </c>
      <c r="K59" s="62">
        <v>132.967529296875</v>
      </c>
      <c r="L59" s="62">
        <v>132.967529296875</v>
      </c>
      <c r="M59" s="65">
        <v>30</v>
      </c>
      <c r="N59" s="62">
        <v>2.23388671875</v>
      </c>
      <c r="O59" s="64">
        <v>60</v>
      </c>
      <c r="P59" s="63">
        <v>2.28271484375</v>
      </c>
      <c r="Q59" s="62">
        <v>1</v>
      </c>
      <c r="R59" s="61" t="str">
        <f t="shared" si="43"/>
        <v>Countercurrent</v>
      </c>
      <c r="S59" s="60" t="s">
        <v>185</v>
      </c>
      <c r="T59" s="59">
        <f t="shared" si="44"/>
        <v>4.1806426317009961</v>
      </c>
      <c r="U59" s="59">
        <f t="shared" si="45"/>
        <v>4.1805783082515369</v>
      </c>
      <c r="V59" s="53">
        <f t="shared" si="46"/>
        <v>50.7354736328125</v>
      </c>
      <c r="W59" s="58">
        <f t="shared" si="47"/>
        <v>987.69255996340871</v>
      </c>
      <c r="X59" s="53">
        <f t="shared" si="48"/>
        <v>21.8365478515625</v>
      </c>
      <c r="Y59" s="58">
        <f t="shared" si="49"/>
        <v>997.81693042178608</v>
      </c>
      <c r="Z59" s="57">
        <f t="shared" si="50"/>
        <v>4.383544921875</v>
      </c>
      <c r="AA59" s="57">
        <f t="shared" si="51"/>
        <v>3.539306640625</v>
      </c>
      <c r="AB59" s="56">
        <f t="shared" si="52"/>
        <v>3.6773221531840782E-2</v>
      </c>
      <c r="AC59" s="56">
        <f t="shared" si="53"/>
        <v>3.7962191973647863E-2</v>
      </c>
      <c r="AD59" s="56"/>
      <c r="AE59" s="55">
        <f t="shared" si="54"/>
        <v>673.90733670510974</v>
      </c>
      <c r="AF59" s="55">
        <f t="shared" si="55"/>
        <v>561.70182484922861</v>
      </c>
      <c r="AG59" s="55">
        <f t="shared" si="56"/>
        <v>112.20551185588113</v>
      </c>
      <c r="AH59" s="55">
        <f t="shared" si="57"/>
        <v>83.350008859603747</v>
      </c>
      <c r="AI59" s="55">
        <f t="shared" si="58"/>
        <v>8.2822085889570545</v>
      </c>
      <c r="AJ59" s="55">
        <f t="shared" si="59"/>
        <v>14.99312242090784</v>
      </c>
      <c r="AK59" s="55">
        <f t="shared" si="60"/>
        <v>11.637665504932446</v>
      </c>
      <c r="AL59" s="53"/>
      <c r="AM59" s="55">
        <f t="shared" si="61"/>
        <v>28.896870402569139</v>
      </c>
      <c r="AN59" s="55">
        <f t="shared" si="62"/>
        <v>576.76635998333734</v>
      </c>
      <c r="AO59" s="54" t="str">
        <f t="shared" si="42"/>
        <v/>
      </c>
      <c r="AP59" s="53">
        <f t="shared" si="63"/>
        <v>1429.9858512142753</v>
      </c>
      <c r="AQ59" s="53">
        <f t="shared" si="64"/>
        <v>966.65364857364079</v>
      </c>
      <c r="AR59" s="52">
        <f t="shared" si="73"/>
        <v>5.4067492675781241E-4</v>
      </c>
      <c r="AS59" s="52">
        <f t="shared" si="65"/>
        <v>16815.056757707913</v>
      </c>
      <c r="AT59" s="52">
        <f t="shared" si="74"/>
        <v>3.5058715820312498</v>
      </c>
      <c r="AU59" s="52">
        <f t="shared" si="75"/>
        <v>0.64473547363281247</v>
      </c>
      <c r="AV59" s="52">
        <f t="shared" si="66"/>
        <v>91.037951957105705</v>
      </c>
      <c r="AW59" s="52">
        <f t="shared" si="67"/>
        <v>158.70391629871287</v>
      </c>
      <c r="AX59" s="52">
        <f t="shared" si="68"/>
        <v>153.73569764099858</v>
      </c>
      <c r="AY59" s="52">
        <f t="shared" si="69"/>
        <v>5051.809072189415</v>
      </c>
      <c r="AZ59" s="52">
        <f t="shared" si="70"/>
        <v>0.13339920948616601</v>
      </c>
      <c r="BA59" s="52">
        <f t="shared" si="71"/>
        <v>0.96869504689245922</v>
      </c>
      <c r="BB59" s="52">
        <f t="shared" si="34"/>
        <v>5.5360912769153753E-2</v>
      </c>
      <c r="BC59" s="52">
        <f t="shared" si="72"/>
        <v>3225.0218172321852</v>
      </c>
      <c r="BD59" s="1">
        <f t="shared" si="35"/>
        <v>0.10770750988142293</v>
      </c>
      <c r="BE59" s="1">
        <f t="shared" si="36"/>
        <v>6.1184699724082171E-2</v>
      </c>
      <c r="BF59" s="1">
        <f t="shared" si="37"/>
        <v>0.96869504689245922</v>
      </c>
      <c r="BG59" s="1">
        <f t="shared" si="38"/>
        <v>2.5330093841956457E-2</v>
      </c>
    </row>
    <row r="60" spans="1:59" ht="12.75" customHeight="1" x14ac:dyDescent="0.2">
      <c r="A60" s="5">
        <v>1E-3</v>
      </c>
      <c r="B60" s="64" t="s">
        <v>131</v>
      </c>
      <c r="C60" s="62">
        <v>52.79736328125</v>
      </c>
      <c r="D60" s="62">
        <v>48.4462890625</v>
      </c>
      <c r="E60" s="62">
        <v>20.06689453125</v>
      </c>
      <c r="F60" s="62">
        <v>23.638671875</v>
      </c>
      <c r="G60" s="62">
        <v>132.967529296875</v>
      </c>
      <c r="H60" s="62">
        <v>132.967529296875</v>
      </c>
      <c r="I60" s="62">
        <v>132.967529296875</v>
      </c>
      <c r="J60" s="62">
        <v>132.967529296875</v>
      </c>
      <c r="K60" s="62">
        <v>132.967529296875</v>
      </c>
      <c r="L60" s="62">
        <v>132.967529296875</v>
      </c>
      <c r="M60" s="65">
        <v>30</v>
      </c>
      <c r="N60" s="62">
        <v>2.24609375</v>
      </c>
      <c r="O60" s="64">
        <v>60</v>
      </c>
      <c r="P60" s="63">
        <v>2.28271484375</v>
      </c>
      <c r="Q60" s="62">
        <v>1</v>
      </c>
      <c r="R60" s="61" t="str">
        <f t="shared" si="43"/>
        <v>Countercurrent</v>
      </c>
      <c r="S60" s="60" t="s">
        <v>185</v>
      </c>
      <c r="T60" s="59">
        <f t="shared" si="44"/>
        <v>4.1806075566013874</v>
      </c>
      <c r="U60" s="59">
        <f t="shared" si="45"/>
        <v>4.1805704896403864</v>
      </c>
      <c r="V60" s="53">
        <f t="shared" si="46"/>
        <v>50.621826171875</v>
      </c>
      <c r="W60" s="58">
        <f t="shared" si="47"/>
        <v>987.74436068862872</v>
      </c>
      <c r="X60" s="53">
        <f t="shared" si="48"/>
        <v>21.852783203125</v>
      </c>
      <c r="Y60" s="58">
        <f t="shared" si="49"/>
        <v>997.81327914945621</v>
      </c>
      <c r="Z60" s="57">
        <f t="shared" si="50"/>
        <v>4.35107421875</v>
      </c>
      <c r="AA60" s="57">
        <f t="shared" si="51"/>
        <v>3.57177734375</v>
      </c>
      <c r="AB60" s="56">
        <f t="shared" si="52"/>
        <v>3.6976107252341246E-2</v>
      </c>
      <c r="AC60" s="56">
        <f t="shared" si="53"/>
        <v>3.796205306008877E-2</v>
      </c>
      <c r="AD60" s="56"/>
      <c r="AE60" s="55">
        <f t="shared" si="54"/>
        <v>672.60033677910531</v>
      </c>
      <c r="AF60" s="55">
        <f t="shared" si="55"/>
        <v>566.85191818856242</v>
      </c>
      <c r="AG60" s="55">
        <f t="shared" si="56"/>
        <v>105.74841859054288</v>
      </c>
      <c r="AH60" s="55">
        <f t="shared" si="57"/>
        <v>84.277673856521915</v>
      </c>
      <c r="AI60" s="55">
        <f t="shared" si="58"/>
        <v>8.2410824108241076</v>
      </c>
      <c r="AJ60" s="55">
        <f t="shared" si="59"/>
        <v>15.109890109890109</v>
      </c>
      <c r="AK60" s="55">
        <f t="shared" si="60"/>
        <v>11.675486260357108</v>
      </c>
      <c r="AL60" s="53"/>
      <c r="AM60" s="55">
        <f t="shared" si="61"/>
        <v>28.767283747531408</v>
      </c>
      <c r="AN60" s="55">
        <f t="shared" si="62"/>
        <v>582.06362213906493</v>
      </c>
      <c r="AO60" s="54" t="str">
        <f t="shared" si="42"/>
        <v/>
      </c>
      <c r="AP60" s="53">
        <f t="shared" si="63"/>
        <v>1433.6415838450589</v>
      </c>
      <c r="AQ60" s="53">
        <f t="shared" si="64"/>
        <v>979.91100130200493</v>
      </c>
      <c r="AR60" s="52">
        <f t="shared" si="73"/>
        <v>5.41652294921875E-4</v>
      </c>
      <c r="AS60" s="52">
        <f t="shared" si="65"/>
        <v>16877.320196047236</v>
      </c>
      <c r="AT60" s="52">
        <f t="shared" si="74"/>
        <v>3.5126904296874999</v>
      </c>
      <c r="AU60" s="52">
        <f t="shared" si="75"/>
        <v>0.64462182617187502</v>
      </c>
      <c r="AV60" s="52">
        <f t="shared" si="66"/>
        <v>91.389318173537134</v>
      </c>
      <c r="AW60" s="52">
        <f t="shared" si="67"/>
        <v>158.70303874916962</v>
      </c>
      <c r="AX60" s="52">
        <f t="shared" si="68"/>
        <v>154.58259339284118</v>
      </c>
      <c r="AY60" s="52">
        <f t="shared" si="69"/>
        <v>5059.5607423383444</v>
      </c>
      <c r="AZ60" s="52">
        <f t="shared" si="70"/>
        <v>0.13293650793650794</v>
      </c>
      <c r="BA60" s="52">
        <f t="shared" si="71"/>
        <v>0.97403675828261349</v>
      </c>
      <c r="BB60" s="52">
        <f t="shared" si="34"/>
        <v>5.5015053349847763E-2</v>
      </c>
      <c r="BC60" s="52">
        <f t="shared" si="72"/>
        <v>3236.8983062432985</v>
      </c>
      <c r="BD60" s="1">
        <f t="shared" si="35"/>
        <v>0.10912698412698413</v>
      </c>
      <c r="BE60" s="1">
        <f t="shared" si="36"/>
        <v>6.1408360461773046E-2</v>
      </c>
      <c r="BF60" s="1">
        <f t="shared" si="37"/>
        <v>0.97403675828261349</v>
      </c>
      <c r="BG60" s="1">
        <f t="shared" si="38"/>
        <v>2.5421898138877456E-2</v>
      </c>
    </row>
    <row r="61" spans="1:59" ht="12.75" customHeight="1" x14ac:dyDescent="0.2">
      <c r="A61" s="5">
        <v>1E-3</v>
      </c>
      <c r="B61" s="64" t="s">
        <v>132</v>
      </c>
      <c r="C61" s="62">
        <v>52.6025390625</v>
      </c>
      <c r="D61" s="62">
        <v>48.25146484375</v>
      </c>
      <c r="E61" s="62">
        <v>20.099365234375</v>
      </c>
      <c r="F61" s="62">
        <v>23.57373046875</v>
      </c>
      <c r="G61" s="62">
        <v>132.967529296875</v>
      </c>
      <c r="H61" s="62">
        <v>132.967529296875</v>
      </c>
      <c r="I61" s="62">
        <v>132.967529296875</v>
      </c>
      <c r="J61" s="62">
        <v>132.967529296875</v>
      </c>
      <c r="K61" s="62">
        <v>132.967529296875</v>
      </c>
      <c r="L61" s="62">
        <v>132.967529296875</v>
      </c>
      <c r="M61" s="65">
        <v>30</v>
      </c>
      <c r="N61" s="62">
        <v>2.1484375</v>
      </c>
      <c r="O61" s="64">
        <v>60</v>
      </c>
      <c r="P61" s="63">
        <v>2.38037109375</v>
      </c>
      <c r="Q61" s="62">
        <v>1</v>
      </c>
      <c r="R61" s="61" t="str">
        <f t="shared" si="43"/>
        <v>Countercurrent</v>
      </c>
      <c r="S61" s="60" t="s">
        <v>185</v>
      </c>
      <c r="T61" s="59">
        <f t="shared" si="44"/>
        <v>4.1805478981634199</v>
      </c>
      <c r="U61" s="59">
        <f t="shared" si="45"/>
        <v>4.1805783082515369</v>
      </c>
      <c r="V61" s="53">
        <f t="shared" si="46"/>
        <v>50.427001953125</v>
      </c>
      <c r="W61" s="58">
        <f t="shared" si="47"/>
        <v>987.83297101579024</v>
      </c>
      <c r="X61" s="53">
        <f t="shared" si="48"/>
        <v>21.8365478515625</v>
      </c>
      <c r="Y61" s="58">
        <f t="shared" si="49"/>
        <v>997.81693042178608</v>
      </c>
      <c r="Z61" s="57">
        <f t="shared" si="50"/>
        <v>4.35107421875</v>
      </c>
      <c r="AA61" s="57">
        <f t="shared" si="51"/>
        <v>3.474365234375</v>
      </c>
      <c r="AB61" s="56">
        <f t="shared" si="52"/>
        <v>3.537162331111228E-2</v>
      </c>
      <c r="AC61" s="56">
        <f t="shared" si="53"/>
        <v>3.9586242967172912E-2</v>
      </c>
      <c r="AD61" s="56"/>
      <c r="AE61" s="55">
        <f t="shared" si="54"/>
        <v>643.40537756966057</v>
      </c>
      <c r="AF61" s="55">
        <f t="shared" si="55"/>
        <v>574.98447605745753</v>
      </c>
      <c r="AG61" s="55">
        <f t="shared" si="56"/>
        <v>68.420901512203045</v>
      </c>
      <c r="AH61" s="55">
        <f t="shared" si="57"/>
        <v>89.36581758600623</v>
      </c>
      <c r="AI61" s="55">
        <f t="shared" si="58"/>
        <v>8.2716049382716061</v>
      </c>
      <c r="AJ61" s="55">
        <f t="shared" si="59"/>
        <v>14.738292011019283</v>
      </c>
      <c r="AK61" s="55">
        <f t="shared" si="60"/>
        <v>11.504948474645445</v>
      </c>
      <c r="AL61" s="53"/>
      <c r="AM61" s="55">
        <f t="shared" si="61"/>
        <v>28.588213648540133</v>
      </c>
      <c r="AN61" s="55">
        <f t="shared" si="62"/>
        <v>579.89824413500901</v>
      </c>
      <c r="AO61" s="54" t="str">
        <f t="shared" ref="AO61:AO81" si="76">IF(ISNUMBER(A61),IF(ROW(A61)=2,1-(A61/13),""),"")</f>
        <v/>
      </c>
      <c r="AP61" s="53">
        <f t="shared" si="63"/>
        <v>1380.003009483758</v>
      </c>
      <c r="AQ61" s="53">
        <f t="shared" si="64"/>
        <v>1000.1956703155521</v>
      </c>
      <c r="AR61" s="52">
        <f t="shared" si="73"/>
        <v>5.4332778320312499E-4</v>
      </c>
      <c r="AS61" s="52">
        <f t="shared" si="65"/>
        <v>16095.184804072996</v>
      </c>
      <c r="AT61" s="52">
        <f t="shared" si="74"/>
        <v>3.5243798828124997</v>
      </c>
      <c r="AU61" s="52">
        <f t="shared" si="75"/>
        <v>0.64442700195312497</v>
      </c>
      <c r="AV61" s="52">
        <f t="shared" si="66"/>
        <v>87.803061841361369</v>
      </c>
      <c r="AW61" s="52">
        <f t="shared" si="67"/>
        <v>165.49338865373804</v>
      </c>
      <c r="AX61" s="52">
        <f t="shared" si="68"/>
        <v>147.87276548789865</v>
      </c>
      <c r="AY61" s="52">
        <f t="shared" si="69"/>
        <v>4806.3342010987335</v>
      </c>
      <c r="AZ61" s="52">
        <f t="shared" si="70"/>
        <v>0.13386613386613386</v>
      </c>
      <c r="BA61" s="52">
        <f t="shared" si="71"/>
        <v>0.89352672448621473</v>
      </c>
      <c r="BB61" s="52">
        <f t="shared" si="34"/>
        <v>5.7357671372580916E-2</v>
      </c>
      <c r="BC61" s="52">
        <f t="shared" si="72"/>
        <v>3108.9375771831501</v>
      </c>
      <c r="BD61" s="1">
        <f t="shared" si="35"/>
        <v>0.1068931068931069</v>
      </c>
      <c r="BE61" s="1">
        <f t="shared" si="36"/>
        <v>6.3955990974929683E-2</v>
      </c>
      <c r="BF61" s="1">
        <f t="shared" si="37"/>
        <v>0.89352672448621473</v>
      </c>
      <c r="BG61" s="1">
        <f t="shared" si="38"/>
        <v>2.6499694115852197E-2</v>
      </c>
    </row>
    <row r="62" spans="1:59" ht="12.75" customHeight="1" x14ac:dyDescent="0.2">
      <c r="A62" s="5">
        <v>1E-3</v>
      </c>
      <c r="B62" s="50" t="s">
        <v>133</v>
      </c>
      <c r="C62" s="48">
        <v>50.97900390625</v>
      </c>
      <c r="D62" s="48">
        <v>48.4462890625</v>
      </c>
      <c r="E62" s="48">
        <v>20.1318359375</v>
      </c>
      <c r="F62" s="48">
        <v>25.034912109375</v>
      </c>
      <c r="G62" s="48">
        <v>132.967529296875</v>
      </c>
      <c r="H62" s="48">
        <v>132.967529296875</v>
      </c>
      <c r="I62" s="48">
        <v>132.967529296875</v>
      </c>
      <c r="J62" s="48">
        <v>132.967529296875</v>
      </c>
      <c r="K62" s="48">
        <v>132.967529296875</v>
      </c>
      <c r="L62" s="48">
        <v>132.967529296875</v>
      </c>
      <c r="M62" s="51">
        <v>60</v>
      </c>
      <c r="N62" s="48">
        <v>5.31005859375</v>
      </c>
      <c r="O62" s="50">
        <v>60</v>
      </c>
      <c r="P62" s="49">
        <v>2.25830078125</v>
      </c>
      <c r="Q62" s="48">
        <v>1</v>
      </c>
      <c r="R62" s="47" t="str">
        <f t="shared" si="43"/>
        <v>Countercurrent</v>
      </c>
      <c r="S62" s="46" t="s">
        <v>185</v>
      </c>
      <c r="T62" s="45">
        <f t="shared" si="44"/>
        <v>4.1803342642513748</v>
      </c>
      <c r="U62" s="45">
        <f t="shared" si="45"/>
        <v>4.1802340528444333</v>
      </c>
      <c r="V62" s="39">
        <f t="shared" si="46"/>
        <v>49.712646484375</v>
      </c>
      <c r="W62" s="44">
        <f t="shared" si="47"/>
        <v>988.1558052590409</v>
      </c>
      <c r="X62" s="39">
        <f t="shared" si="48"/>
        <v>22.5833740234375</v>
      </c>
      <c r="Y62" s="44">
        <f t="shared" si="49"/>
        <v>997.64614040320748</v>
      </c>
      <c r="Z62" s="43">
        <f t="shared" si="50"/>
        <v>2.53271484375</v>
      </c>
      <c r="AA62" s="43">
        <f t="shared" si="51"/>
        <v>4.903076171875</v>
      </c>
      <c r="AB62" s="42">
        <f t="shared" si="52"/>
        <v>8.7452753761328689E-2</v>
      </c>
      <c r="AC62" s="42">
        <f t="shared" si="53"/>
        <v>3.7549750971393514E-2</v>
      </c>
      <c r="AD62" s="42"/>
      <c r="AE62" s="41">
        <f t="shared" si="54"/>
        <v>925.91430723083795</v>
      </c>
      <c r="AF62" s="41">
        <f t="shared" si="55"/>
        <v>769.61992035813603</v>
      </c>
      <c r="AG62" s="41">
        <f t="shared" si="56"/>
        <v>156.29438687270192</v>
      </c>
      <c r="AH62" s="41">
        <f t="shared" si="57"/>
        <v>83.119994404219042</v>
      </c>
      <c r="AI62" s="41">
        <f t="shared" si="58"/>
        <v>4.9681528662420389</v>
      </c>
      <c r="AJ62" s="41">
        <f t="shared" si="59"/>
        <v>19.584954604409859</v>
      </c>
      <c r="AK62" s="41">
        <f t="shared" si="60"/>
        <v>12.276553735325949</v>
      </c>
      <c r="AL62" s="39"/>
      <c r="AM62" s="41">
        <f t="shared" si="61"/>
        <v>27.112004903665159</v>
      </c>
      <c r="AN62" s="41">
        <f t="shared" si="62"/>
        <v>843.22452102293357</v>
      </c>
      <c r="AO62" s="40" t="str">
        <f t="shared" si="76"/>
        <v/>
      </c>
      <c r="AP62" s="39">
        <f t="shared" si="63"/>
        <v>2094.0715988162142</v>
      </c>
      <c r="AQ62" s="39">
        <f t="shared" si="64"/>
        <v>1411.661387109503</v>
      </c>
      <c r="AR62" s="38">
        <f>0.000569+((V62-45)*(0.000547-0.000569))/5</f>
        <v>5.4826435546874994E-4</v>
      </c>
      <c r="AS62" s="38">
        <f t="shared" si="65"/>
        <v>39435.410604373799</v>
      </c>
      <c r="AT62" s="38">
        <f>3.91+((V62-45)*(3.55-3.91))/5</f>
        <v>3.570689453125</v>
      </c>
      <c r="AU62" s="38">
        <f>0.637+((V62-45)*(0.644-0.637))/5</f>
        <v>0.64359770507812497</v>
      </c>
      <c r="AV62" s="38">
        <f t="shared" si="66"/>
        <v>191.79069201154724</v>
      </c>
      <c r="AW62" s="38">
        <f t="shared" si="67"/>
        <v>365.58174305162061</v>
      </c>
      <c r="AX62" s="38">
        <f t="shared" si="68"/>
        <v>156.96674768644749</v>
      </c>
      <c r="AY62" s="38">
        <f t="shared" si="69"/>
        <v>4841.9796313922461</v>
      </c>
      <c r="AZ62" s="38">
        <f t="shared" si="70"/>
        <v>0.19122639451595622</v>
      </c>
      <c r="BA62" s="38">
        <f t="shared" si="71"/>
        <v>0.4293615604986149</v>
      </c>
      <c r="BB62" s="38">
        <f t="shared" si="34"/>
        <v>0.1022621456176373</v>
      </c>
      <c r="BC62" s="38">
        <f t="shared" si="72"/>
        <v>6782.2005073613882</v>
      </c>
      <c r="BD62" s="1">
        <f t="shared" si="35"/>
        <v>0.15894736842105264</v>
      </c>
      <c r="BE62" s="1">
        <f t="shared" si="36"/>
        <v>8.7609903368794081E-2</v>
      </c>
      <c r="BF62" s="1">
        <f t="shared" si="37"/>
        <v>0.4293615604986149</v>
      </c>
      <c r="BG62" s="1">
        <f t="shared" si="38"/>
        <v>3.7841724517921956E-2</v>
      </c>
    </row>
    <row r="63" spans="1:59" ht="12.75" customHeight="1" x14ac:dyDescent="0.2">
      <c r="A63" s="5">
        <v>1E-3</v>
      </c>
      <c r="B63" s="50" t="s">
        <v>134</v>
      </c>
      <c r="C63" s="48">
        <v>51.141357421875</v>
      </c>
      <c r="D63" s="48">
        <v>48.51123046875</v>
      </c>
      <c r="E63" s="48">
        <v>20.1318359375</v>
      </c>
      <c r="F63" s="48">
        <v>25.00244140625</v>
      </c>
      <c r="G63" s="48">
        <v>132.967529296875</v>
      </c>
      <c r="H63" s="48">
        <v>132.967529296875</v>
      </c>
      <c r="I63" s="48">
        <v>132.967529296875</v>
      </c>
      <c r="J63" s="48">
        <v>132.967529296875</v>
      </c>
      <c r="K63" s="48">
        <v>132.967529296875</v>
      </c>
      <c r="L63" s="48">
        <v>132.967529296875</v>
      </c>
      <c r="M63" s="51">
        <v>60</v>
      </c>
      <c r="N63" s="48">
        <v>5.4443359375</v>
      </c>
      <c r="O63" s="50">
        <v>60</v>
      </c>
      <c r="P63" s="49">
        <v>2.30712890625</v>
      </c>
      <c r="Q63" s="48">
        <v>1</v>
      </c>
      <c r="R63" s="47" t="str">
        <f t="shared" si="43"/>
        <v>Countercurrent</v>
      </c>
      <c r="S63" s="46" t="s">
        <v>185</v>
      </c>
      <c r="T63" s="45">
        <f t="shared" si="44"/>
        <v>4.1803677113714013</v>
      </c>
      <c r="U63" s="45">
        <f t="shared" si="45"/>
        <v>4.1802412079106839</v>
      </c>
      <c r="V63" s="39">
        <f t="shared" si="46"/>
        <v>49.8262939453125</v>
      </c>
      <c r="W63" s="44">
        <f t="shared" si="47"/>
        <v>988.10466346972498</v>
      </c>
      <c r="X63" s="39">
        <f t="shared" si="48"/>
        <v>22.567138671875</v>
      </c>
      <c r="Y63" s="44">
        <f t="shared" si="49"/>
        <v>997.64991447420789</v>
      </c>
      <c r="Z63" s="43">
        <f t="shared" si="50"/>
        <v>2.630126953125</v>
      </c>
      <c r="AA63" s="43">
        <f t="shared" si="51"/>
        <v>4.87060546875</v>
      </c>
      <c r="AB63" s="42">
        <f t="shared" si="52"/>
        <v>8.9659562155659442E-2</v>
      </c>
      <c r="AC63" s="42">
        <f t="shared" si="53"/>
        <v>3.8361782600021418E-2</v>
      </c>
      <c r="AD63" s="42"/>
      <c r="AE63" s="41">
        <f t="shared" si="54"/>
        <v>985.79772194569091</v>
      </c>
      <c r="AF63" s="41">
        <f t="shared" si="55"/>
        <v>781.05762047088274</v>
      </c>
      <c r="AG63" s="41">
        <f t="shared" si="56"/>
        <v>204.74010147480817</v>
      </c>
      <c r="AH63" s="41">
        <f t="shared" si="57"/>
        <v>79.231023067216256</v>
      </c>
      <c r="AI63" s="41">
        <f t="shared" si="58"/>
        <v>5.1428571428571423</v>
      </c>
      <c r="AJ63" s="41">
        <f t="shared" si="59"/>
        <v>19.480519480519483</v>
      </c>
      <c r="AK63" s="41">
        <f t="shared" si="60"/>
        <v>12.311688311688313</v>
      </c>
      <c r="AL63" s="39"/>
      <c r="AM63" s="41">
        <f t="shared" si="61"/>
        <v>27.243802612859291</v>
      </c>
      <c r="AN63" s="41">
        <f t="shared" si="62"/>
        <v>867.96872481839284</v>
      </c>
      <c r="AO63" s="40" t="str">
        <f t="shared" si="76"/>
        <v/>
      </c>
      <c r="AP63" s="39">
        <f t="shared" si="63"/>
        <v>2218.719760399465</v>
      </c>
      <c r="AQ63" s="39">
        <f t="shared" si="64"/>
        <v>1425.7100756801219</v>
      </c>
      <c r="AR63" s="38">
        <f>0.000569+((V63-45)*(0.000547-0.000569))/5</f>
        <v>5.4776430664062496E-4</v>
      </c>
      <c r="AS63" s="38">
        <f t="shared" si="65"/>
        <v>40467.443953458656</v>
      </c>
      <c r="AT63" s="38">
        <f>3.91+((V63-45)*(3.55-3.91))/5</f>
        <v>3.5625068359374996</v>
      </c>
      <c r="AU63" s="38">
        <f>0.637+((V63-45)*(0.644-0.637))/5</f>
        <v>0.64375681152343756</v>
      </c>
      <c r="AV63" s="38">
        <f t="shared" si="66"/>
        <v>195.98490695013561</v>
      </c>
      <c r="AW63" s="38">
        <f t="shared" si="67"/>
        <v>374.80993865121599</v>
      </c>
      <c r="AX63" s="38">
        <f t="shared" si="68"/>
        <v>160.36150443352059</v>
      </c>
      <c r="AY63" s="38">
        <f t="shared" si="69"/>
        <v>4972.7335169979533</v>
      </c>
      <c r="AZ63" s="38">
        <f t="shared" si="70"/>
        <v>0.19824060922951256</v>
      </c>
      <c r="BA63" s="38">
        <f t="shared" si="71"/>
        <v>0.42784752456296782</v>
      </c>
      <c r="BB63" s="38">
        <f t="shared" si="34"/>
        <v>0.10671699479401051</v>
      </c>
      <c r="BC63" s="38">
        <f t="shared" si="72"/>
        <v>6932.2318024690603</v>
      </c>
      <c r="BD63" s="1">
        <f t="shared" si="35"/>
        <v>0.15706806282722513</v>
      </c>
      <c r="BE63" s="1">
        <f t="shared" si="36"/>
        <v>8.8271719914177232E-2</v>
      </c>
      <c r="BF63" s="1">
        <f t="shared" si="37"/>
        <v>0.42784752456296782</v>
      </c>
      <c r="BG63" s="1">
        <f t="shared" si="38"/>
        <v>3.8138254661804954E-2</v>
      </c>
    </row>
    <row r="64" spans="1:59" ht="12.75" customHeight="1" x14ac:dyDescent="0.2">
      <c r="A64" s="5">
        <v>1E-3</v>
      </c>
      <c r="B64" s="50" t="s">
        <v>135</v>
      </c>
      <c r="C64" s="48">
        <v>51.23876953125</v>
      </c>
      <c r="D64" s="48">
        <v>48.64111328125</v>
      </c>
      <c r="E64" s="48">
        <v>20.1318359375</v>
      </c>
      <c r="F64" s="48">
        <v>25.034912109375</v>
      </c>
      <c r="G64" s="48">
        <v>132.967529296875</v>
      </c>
      <c r="H64" s="48">
        <v>132.967529296875</v>
      </c>
      <c r="I64" s="48">
        <v>132.967529296875</v>
      </c>
      <c r="J64" s="48">
        <v>132.967529296875</v>
      </c>
      <c r="K64" s="48">
        <v>132.967529296875</v>
      </c>
      <c r="L64" s="48">
        <v>132.967529296875</v>
      </c>
      <c r="M64" s="51">
        <v>60</v>
      </c>
      <c r="N64" s="48">
        <v>5.3466796875</v>
      </c>
      <c r="O64" s="50">
        <v>60</v>
      </c>
      <c r="P64" s="49">
        <v>2.28271484375</v>
      </c>
      <c r="Q64" s="48">
        <v>1</v>
      </c>
      <c r="R64" s="47" t="str">
        <f t="shared" si="43"/>
        <v>Countercurrent</v>
      </c>
      <c r="S64" s="46" t="s">
        <v>185</v>
      </c>
      <c r="T64" s="45">
        <f t="shared" si="44"/>
        <v>4.1804013634528765</v>
      </c>
      <c r="U64" s="45">
        <f t="shared" si="45"/>
        <v>4.1802340528444333</v>
      </c>
      <c r="V64" s="39">
        <f t="shared" si="46"/>
        <v>49.93994140625</v>
      </c>
      <c r="W64" s="44">
        <f t="shared" si="47"/>
        <v>988.05343897851174</v>
      </c>
      <c r="X64" s="39">
        <f t="shared" si="48"/>
        <v>22.5833740234375</v>
      </c>
      <c r="Y64" s="44">
        <f t="shared" si="49"/>
        <v>997.64614040320748</v>
      </c>
      <c r="Z64" s="43">
        <f t="shared" si="50"/>
        <v>2.59765625</v>
      </c>
      <c r="AA64" s="43">
        <f t="shared" si="51"/>
        <v>4.903076171875</v>
      </c>
      <c r="AB64" s="42">
        <f t="shared" si="52"/>
        <v>8.8046754205848829E-2</v>
      </c>
      <c r="AC64" s="42">
        <f t="shared" si="53"/>
        <v>3.7955694225138309E-2</v>
      </c>
      <c r="AD64" s="42"/>
      <c r="AE64" s="41">
        <f t="shared" si="54"/>
        <v>956.12133958699576</v>
      </c>
      <c r="AF64" s="41">
        <f t="shared" si="55"/>
        <v>777.94013571335904</v>
      </c>
      <c r="AG64" s="41">
        <f t="shared" si="56"/>
        <v>178.18120387363672</v>
      </c>
      <c r="AH64" s="41">
        <f t="shared" si="57"/>
        <v>81.364164097560717</v>
      </c>
      <c r="AI64" s="41">
        <f t="shared" si="58"/>
        <v>5.0697084917617232</v>
      </c>
      <c r="AJ64" s="41">
        <f t="shared" si="59"/>
        <v>19.584954604409859</v>
      </c>
      <c r="AK64" s="41">
        <f t="shared" si="60"/>
        <v>12.327331548085791</v>
      </c>
      <c r="AL64" s="39"/>
      <c r="AM64" s="41">
        <f t="shared" si="61"/>
        <v>27.34036932294719</v>
      </c>
      <c r="AN64" s="41">
        <f t="shared" si="62"/>
        <v>852.47234973855836</v>
      </c>
      <c r="AO64" s="40" t="str">
        <f t="shared" si="76"/>
        <v/>
      </c>
      <c r="AP64" s="39">
        <f t="shared" si="63"/>
        <v>2144.3269337761699</v>
      </c>
      <c r="AQ64" s="39">
        <f t="shared" si="64"/>
        <v>1415.0040123948108</v>
      </c>
      <c r="AR64" s="38">
        <f>0.000569+((V64-45)*(0.000547-0.000569))/5</f>
        <v>5.4726425781249997E-4</v>
      </c>
      <c r="AS64" s="38">
        <f t="shared" si="65"/>
        <v>39775.82123930411</v>
      </c>
      <c r="AT64" s="38">
        <f>3.91+((V64-45)*(3.55-3.91))/5</f>
        <v>3.5543242187499997</v>
      </c>
      <c r="AU64" s="38">
        <f>0.637+((V64-45)*(0.644-0.637))/5</f>
        <v>0.64391591796875003</v>
      </c>
      <c r="AV64" s="38">
        <f t="shared" si="66"/>
        <v>192.92958943257136</v>
      </c>
      <c r="AW64" s="38">
        <f t="shared" si="67"/>
        <v>368.07077132973069</v>
      </c>
      <c r="AX64" s="38">
        <f t="shared" si="68"/>
        <v>158.66368549927395</v>
      </c>
      <c r="AY64" s="38">
        <f t="shared" si="69"/>
        <v>4935.5407285655492</v>
      </c>
      <c r="AZ64" s="38">
        <f t="shared" si="70"/>
        <v>0.19372169984399662</v>
      </c>
      <c r="BA64" s="38">
        <f t="shared" si="71"/>
        <v>0.43106841905992438</v>
      </c>
      <c r="BB64" s="38">
        <f t="shared" si="34"/>
        <v>0.10378299272299907</v>
      </c>
      <c r="BC64" s="38">
        <f t="shared" si="72"/>
        <v>6825.8480045499027</v>
      </c>
      <c r="BD64" s="1">
        <f t="shared" si="35"/>
        <v>0.15762004175365343</v>
      </c>
      <c r="BE64" s="1">
        <f t="shared" si="36"/>
        <v>8.7623459794754194E-2</v>
      </c>
      <c r="BF64" s="1">
        <f t="shared" si="37"/>
        <v>0.43106841905992438</v>
      </c>
      <c r="BG64" s="1">
        <f t="shared" si="38"/>
        <v>3.7835206632848603E-2</v>
      </c>
    </row>
    <row r="65" spans="1:59" ht="12.75" customHeight="1" x14ac:dyDescent="0.2">
      <c r="A65" s="5">
        <v>1E-3</v>
      </c>
      <c r="B65" s="50" t="s">
        <v>136</v>
      </c>
      <c r="C65" s="48">
        <v>51.206298828125</v>
      </c>
      <c r="D65" s="48">
        <v>48.608642578125</v>
      </c>
      <c r="E65" s="48">
        <v>20.1318359375</v>
      </c>
      <c r="F65" s="48">
        <v>25.00244140625</v>
      </c>
      <c r="G65" s="48">
        <v>132.967529296875</v>
      </c>
      <c r="H65" s="48">
        <v>132.967529296875</v>
      </c>
      <c r="I65" s="48">
        <v>132.967529296875</v>
      </c>
      <c r="J65" s="48">
        <v>132.967529296875</v>
      </c>
      <c r="K65" s="48">
        <v>132.967529296875</v>
      </c>
      <c r="L65" s="48">
        <v>132.967529296875</v>
      </c>
      <c r="M65" s="51">
        <v>60</v>
      </c>
      <c r="N65" s="48">
        <v>5.28564453125</v>
      </c>
      <c r="O65" s="50">
        <v>60</v>
      </c>
      <c r="P65" s="49">
        <v>2.35595703125</v>
      </c>
      <c r="Q65" s="48">
        <v>1</v>
      </c>
      <c r="R65" s="47" t="str">
        <f t="shared" si="43"/>
        <v>Countercurrent</v>
      </c>
      <c r="S65" s="46" t="s">
        <v>185</v>
      </c>
      <c r="T65" s="45">
        <f t="shared" si="44"/>
        <v>4.1803917276827587</v>
      </c>
      <c r="U65" s="45">
        <f t="shared" si="45"/>
        <v>4.1802412079106839</v>
      </c>
      <c r="V65" s="39">
        <f t="shared" si="46"/>
        <v>49.907470703125</v>
      </c>
      <c r="W65" s="44">
        <f t="shared" si="47"/>
        <v>988.06808298069473</v>
      </c>
      <c r="X65" s="39">
        <f t="shared" si="48"/>
        <v>22.567138671875</v>
      </c>
      <c r="Y65" s="44">
        <f t="shared" si="49"/>
        <v>997.64991447420789</v>
      </c>
      <c r="Z65" s="43">
        <f t="shared" si="50"/>
        <v>2.59765625</v>
      </c>
      <c r="AA65" s="43">
        <f t="shared" si="51"/>
        <v>4.87060546875</v>
      </c>
      <c r="AB65" s="42">
        <f t="shared" si="52"/>
        <v>8.704294432182634E-2</v>
      </c>
      <c r="AC65" s="42">
        <f t="shared" si="53"/>
        <v>3.9173672178857852E-2</v>
      </c>
      <c r="AD65" s="42"/>
      <c r="AE65" s="41">
        <f t="shared" si="54"/>
        <v>945.21854266959235</v>
      </c>
      <c r="AF65" s="41">
        <f t="shared" si="55"/>
        <v>797.58794048084849</v>
      </c>
      <c r="AG65" s="41">
        <f t="shared" si="56"/>
        <v>147.63060218874386</v>
      </c>
      <c r="AH65" s="41">
        <f t="shared" si="57"/>
        <v>84.3813260611891</v>
      </c>
      <c r="AI65" s="41">
        <f t="shared" si="58"/>
        <v>5.0729232720355109</v>
      </c>
      <c r="AJ65" s="41">
        <f t="shared" si="59"/>
        <v>19.480519480519483</v>
      </c>
      <c r="AK65" s="41">
        <f t="shared" si="60"/>
        <v>12.276721376277496</v>
      </c>
      <c r="AL65" s="39"/>
      <c r="AM65" s="41">
        <f t="shared" si="61"/>
        <v>27.324577892036313</v>
      </c>
      <c r="AN65" s="41">
        <f t="shared" si="62"/>
        <v>861.80300656993438</v>
      </c>
      <c r="AO65" s="40" t="str">
        <f t="shared" si="76"/>
        <v/>
      </c>
      <c r="AP65" s="39">
        <f t="shared" si="63"/>
        <v>2121.0999668353588</v>
      </c>
      <c r="AQ65" s="39">
        <f t="shared" si="64"/>
        <v>1451.5800373795994</v>
      </c>
      <c r="AR65" s="38">
        <f>0.000569+((V65-45)*(0.000547-0.000569))/5</f>
        <v>5.4740712890625001E-4</v>
      </c>
      <c r="AS65" s="38">
        <f t="shared" si="65"/>
        <v>39312.079167636897</v>
      </c>
      <c r="AT65" s="38">
        <f>3.91+((V65-45)*(3.55-3.91))/5</f>
        <v>3.5566621093749999</v>
      </c>
      <c r="AU65" s="38">
        <f>0.637+((V65-45)*(0.644-0.637))/5</f>
        <v>0.643870458984375</v>
      </c>
      <c r="AV65" s="38">
        <f t="shared" si="66"/>
        <v>191.01975144251358</v>
      </c>
      <c r="AW65" s="38">
        <f t="shared" si="67"/>
        <v>363.87360439611376</v>
      </c>
      <c r="AX65" s="38">
        <f t="shared" si="68"/>
        <v>163.75539870724589</v>
      </c>
      <c r="AY65" s="38">
        <f t="shared" si="69"/>
        <v>5088.6110602678136</v>
      </c>
      <c r="AZ65" s="38">
        <f t="shared" si="70"/>
        <v>0.18575177616735469</v>
      </c>
      <c r="BA65" s="38">
        <f t="shared" si="71"/>
        <v>0.45003373899300847</v>
      </c>
      <c r="BB65" s="38">
        <f t="shared" si="34"/>
        <v>9.8331427392164092E-2</v>
      </c>
      <c r="BC65" s="38">
        <f t="shared" si="72"/>
        <v>6757.8008261743098</v>
      </c>
      <c r="BD65" s="1">
        <f t="shared" si="35"/>
        <v>0.15673981191222572</v>
      </c>
      <c r="BE65" s="1">
        <f t="shared" si="36"/>
        <v>8.5828201464317688E-2</v>
      </c>
      <c r="BF65" s="1">
        <f t="shared" si="37"/>
        <v>0.45003373899300847</v>
      </c>
      <c r="BG65" s="1">
        <f t="shared" si="38"/>
        <v>3.6931012211744052E-2</v>
      </c>
    </row>
    <row r="66" spans="1:59" ht="12.75" customHeight="1" x14ac:dyDescent="0.2">
      <c r="A66" s="5">
        <v>1E-3</v>
      </c>
      <c r="B66" s="50" t="s">
        <v>137</v>
      </c>
      <c r="C66" s="48">
        <v>51.336181640625</v>
      </c>
      <c r="D66" s="48">
        <v>48.803466796875</v>
      </c>
      <c r="E66" s="48">
        <v>20.1318359375</v>
      </c>
      <c r="F66" s="48">
        <v>25.099853515625</v>
      </c>
      <c r="G66" s="48">
        <v>132.967529296875</v>
      </c>
      <c r="H66" s="48">
        <v>132.967529296875</v>
      </c>
      <c r="I66" s="48">
        <v>132.967529296875</v>
      </c>
      <c r="J66" s="48">
        <v>132.967529296875</v>
      </c>
      <c r="K66" s="48">
        <v>132.967529296875</v>
      </c>
      <c r="L66" s="48">
        <v>132.967529296875</v>
      </c>
      <c r="M66" s="51">
        <v>60</v>
      </c>
      <c r="N66" s="48">
        <v>5.38330078125</v>
      </c>
      <c r="O66" s="50">
        <v>60</v>
      </c>
      <c r="P66" s="49">
        <v>2.28271484375</v>
      </c>
      <c r="Q66" s="48">
        <v>1</v>
      </c>
      <c r="R66" s="47" t="str">
        <f t="shared" ref="R66:R87" si="77">IF(ISNUMBER(Q66),IF(Q66=1,"Countercurrent","Cocurrent"),"")</f>
        <v>Countercurrent</v>
      </c>
      <c r="S66" s="46" t="s">
        <v>185</v>
      </c>
      <c r="T66" s="45">
        <f t="shared" ref="T66:T87" si="78">IF(ISNUMBER(C66),1.15290498E-12*(V66^6)-3.5879038802E-10*(V66^5)+4.710833256816E-08*(V66^4)-3.38194190874219E-06*(V66^3)+0.000148978977392744*(V66^2)-0.00373903643230733*(V66)+4.21734712411944,"")</f>
        <v>4.1804400734047347</v>
      </c>
      <c r="U66" s="45">
        <f t="shared" ref="U66:U81" si="79">IF(ISNUMBER(D66),1.15290498E-12*(X66^6)-3.5879038802E-10*(X66^5)+4.710833256816E-08*(X66^4)-3.38194190874219E-06*(X66^3)+0.000148978977392744*(X66^2)-0.00373903643230733*(X66)+4.21734712411944,"")</f>
        <v>4.1802197856794896</v>
      </c>
      <c r="V66" s="39">
        <f t="shared" ref="V66:V81" si="80">IF(ISNUMBER(C66),AVERAGE(C66,D66),"")</f>
        <v>50.06982421875</v>
      </c>
      <c r="W66" s="44">
        <f t="shared" ref="W66:W81" si="81">IF(ISNUMBER(F66),-0.0000002301*(V66^4)+0.0000569866*(V66^3)-0.0082923226*(V66^2)+0.0654036947*V66+999.8017570756,"")</f>
        <v>987.99479556028018</v>
      </c>
      <c r="X66" s="39">
        <f t="shared" ref="X66:X81" si="82">IF(ISNUMBER(E66),AVERAGE(E66,F66),"")</f>
        <v>22.6158447265625</v>
      </c>
      <c r="Y66" s="44">
        <f t="shared" ref="Y66:Y87" si="83">IF(ISNUMBER(F66),-0.0000002301*(X66^4)+0.0000569866*(X66^3)-0.0082923226*(X66^2)+0.0654036947*X66+999.8017570756,"")</f>
        <v>997.63858414009576</v>
      </c>
      <c r="Z66" s="43">
        <f t="shared" ref="Z66:Z87" si="84">IF(ISNUMBER(C66),IF(R66="Countercurrent",C66-D66,D66-C66),"")</f>
        <v>2.53271484375</v>
      </c>
      <c r="AA66" s="43">
        <f t="shared" ref="AA66:AA87" si="85">IF(ISNUMBER(E66),F66-E66,"")</f>
        <v>4.968017578125</v>
      </c>
      <c r="AB66" s="42">
        <f t="shared" ref="AB66:AB87" si="86">IF(ISNUMBER(N66),N66*W66/(1000*60),"")</f>
        <v>8.8644552580176506E-2</v>
      </c>
      <c r="AC66" s="42">
        <f t="shared" ref="AC66:AC81" si="87">IF(ISNUMBER(P66),P66*Y66/(1000*60),"")</f>
        <v>3.7955406745238833E-2</v>
      </c>
      <c r="AD66" s="42"/>
      <c r="AE66" s="41">
        <f t="shared" ref="AE66:AE81" si="88">AB66*T66*1000*(C66-D66)</f>
        <v>938.5563453791101</v>
      </c>
      <c r="AF66" s="41">
        <f t="shared" ref="AF66:AF81" si="89">AC66*U66*1000*(F66-E66)</f>
        <v>788.23531807725556</v>
      </c>
      <c r="AG66" s="41">
        <f t="shared" ref="AG66:AG81" si="90">AE66-AF66</f>
        <v>150.32102730185454</v>
      </c>
      <c r="AH66" s="41">
        <f t="shared" ref="AH66:AH81" si="91">AF66/AE66*100</f>
        <v>83.983803631828252</v>
      </c>
      <c r="AI66" s="41">
        <f t="shared" ref="AI66:AI81" si="92">(C66-D66)/C66*100</f>
        <v>4.9335863377609108</v>
      </c>
      <c r="AJ66" s="41">
        <f t="shared" ref="AJ66:AJ81" si="93">(F66-E66)/F66*100</f>
        <v>19.79301423027167</v>
      </c>
      <c r="AK66" s="41">
        <f t="shared" ref="AK66:AK81" si="94">(AI66+AJ66)/2</f>
        <v>12.36330028401629</v>
      </c>
      <c r="AL66" s="39"/>
      <c r="AM66" s="41">
        <f t="shared" ref="AM66:AM81" si="95">((C66-F66)-(D66-E66))/(LN((C66-F66)/(D66-E66)))</f>
        <v>27.435968097000551</v>
      </c>
      <c r="AN66" s="41">
        <f t="shared" ref="AN66:AN81" si="96">1/((1/AP66)+(1/AQ66))</f>
        <v>849.86621261981429</v>
      </c>
      <c r="AO66" s="40" t="str">
        <f t="shared" si="76"/>
        <v/>
      </c>
      <c r="AP66" s="39">
        <f t="shared" ref="AP66:AP81" si="97">AE66/($AI$87*AM66)</f>
        <v>2097.5988062545439</v>
      </c>
      <c r="AQ66" s="39">
        <f t="shared" ref="AQ66:AQ81" si="98">AF66/($AJ$87*AM66)</f>
        <v>1428.7342994497963</v>
      </c>
      <c r="AR66" s="38">
        <f t="shared" ref="AR66:AR81" si="99">0.000547+((V66-50)*(0.000504-0.000547))/5</f>
        <v>5.4639951171874999E-4</v>
      </c>
      <c r="AS66" s="38">
        <f t="shared" ref="AS66:AS81" si="100">(4*AB66)/(AR66*PI()*0.00515)</f>
        <v>40109.25906236114</v>
      </c>
      <c r="AT66" s="38">
        <f t="shared" ref="AT66:AT81" si="101">3.55+((V66-50)*(3.25-3.55))/5</f>
        <v>3.5458105468749999</v>
      </c>
      <c r="AU66" s="38">
        <f t="shared" ref="AU66:AU81" si="102">0.644+((V66-50)*(0.649-0.644))/5</f>
        <v>0.64406982421875003</v>
      </c>
      <c r="AV66" s="38">
        <f t="shared" ref="AV66:AV81" si="103">0.013*(AS66^0.867)*(AT66^(1/3))</f>
        <v>194.1757377000863</v>
      </c>
      <c r="AW66" s="38">
        <f t="shared" ref="AW66:AW81" si="104">IF(AB66*T66&gt;AC66*U66,AB66*T66*1000,AC66*U66*1000)</f>
        <v>370.5732398952029</v>
      </c>
      <c r="AX66" s="38">
        <f t="shared" ref="AX66:AX81" si="105">IF(AB66*T66&lt;AC66*U66,AB66*T66*1000,AC66*U66*1000)</f>
        <v>158.66194224996013</v>
      </c>
      <c r="AY66" s="38">
        <f t="shared" ref="AY66:AY81" si="106">AX66*(C66-E66)</f>
        <v>4950.9420958970104</v>
      </c>
      <c r="AZ66" s="38">
        <f t="shared" ref="AZ66:AZ81" si="107">AE66/AY66</f>
        <v>0.18957126284246367</v>
      </c>
      <c r="BA66" s="38">
        <f t="shared" ref="BA66:BA81" si="108">AX66/AW66</f>
        <v>0.42815272439755581</v>
      </c>
      <c r="BB66" s="38">
        <f t="shared" si="34"/>
        <v>0.101258783920625</v>
      </c>
      <c r="BC66" s="38">
        <f t="shared" ref="BC66:BC81" si="109">AV66*AU66/0.0182</f>
        <v>6871.5787498923455</v>
      </c>
      <c r="BD66" s="1">
        <f t="shared" si="35"/>
        <v>0.15920915712799166</v>
      </c>
      <c r="BE66" s="1">
        <f t="shared" si="36"/>
        <v>8.7356541396212878E-2</v>
      </c>
      <c r="BF66" s="1">
        <f t="shared" si="37"/>
        <v>0.42815272439755581</v>
      </c>
      <c r="BG66" s="1">
        <f t="shared" si="38"/>
        <v>3.7741224661554391E-2</v>
      </c>
    </row>
    <row r="67" spans="1:59" ht="12.75" customHeight="1" x14ac:dyDescent="0.2">
      <c r="A67" s="5">
        <v>1E-3</v>
      </c>
      <c r="B67" s="50" t="s">
        <v>138</v>
      </c>
      <c r="C67" s="48">
        <v>51.3037109375</v>
      </c>
      <c r="D67" s="48">
        <v>48.77099609375</v>
      </c>
      <c r="E67" s="48">
        <v>20.1318359375</v>
      </c>
      <c r="F67" s="48">
        <v>25.034912109375</v>
      </c>
      <c r="G67" s="48">
        <v>132.967529296875</v>
      </c>
      <c r="H67" s="48">
        <v>132.967529296875</v>
      </c>
      <c r="I67" s="48">
        <v>132.967529296875</v>
      </c>
      <c r="J67" s="48">
        <v>132.967529296875</v>
      </c>
      <c r="K67" s="48">
        <v>132.967529296875</v>
      </c>
      <c r="L67" s="48">
        <v>132.967529296875</v>
      </c>
      <c r="M67" s="51">
        <v>60</v>
      </c>
      <c r="N67" s="48">
        <v>5.40771484375</v>
      </c>
      <c r="O67" s="50">
        <v>60</v>
      </c>
      <c r="P67" s="49">
        <v>2.44140625</v>
      </c>
      <c r="Q67" s="48">
        <v>1</v>
      </c>
      <c r="R67" s="47" t="str">
        <f t="shared" si="77"/>
        <v>Countercurrent</v>
      </c>
      <c r="S67" s="46" t="s">
        <v>185</v>
      </c>
      <c r="T67" s="45">
        <f t="shared" si="78"/>
        <v>4.1804303709057002</v>
      </c>
      <c r="U67" s="45">
        <f t="shared" si="79"/>
        <v>4.1802340528444333</v>
      </c>
      <c r="V67" s="39">
        <f t="shared" si="80"/>
        <v>50.037353515625</v>
      </c>
      <c r="W67" s="44">
        <f t="shared" si="81"/>
        <v>988.00946652175332</v>
      </c>
      <c r="X67" s="39">
        <f t="shared" si="82"/>
        <v>22.5833740234375</v>
      </c>
      <c r="Y67" s="44">
        <f t="shared" si="83"/>
        <v>997.64614040320748</v>
      </c>
      <c r="Z67" s="43">
        <f t="shared" si="84"/>
        <v>2.53271484375</v>
      </c>
      <c r="AA67" s="43">
        <f t="shared" si="85"/>
        <v>4.903076171875</v>
      </c>
      <c r="AB67" s="42">
        <f t="shared" si="86"/>
        <v>8.9047890964586734E-2</v>
      </c>
      <c r="AC67" s="42">
        <f t="shared" si="87"/>
        <v>4.0594325374479469E-2</v>
      </c>
      <c r="AD67" s="42"/>
      <c r="AE67" s="41">
        <f t="shared" si="88"/>
        <v>942.82464855267824</v>
      </c>
      <c r="AF67" s="41">
        <f t="shared" si="89"/>
        <v>832.02153552230902</v>
      </c>
      <c r="AG67" s="41">
        <f t="shared" si="90"/>
        <v>110.80311303036922</v>
      </c>
      <c r="AH67" s="41">
        <f t="shared" si="91"/>
        <v>88.247749653081073</v>
      </c>
      <c r="AI67" s="41">
        <f t="shared" si="92"/>
        <v>4.9367088607594933</v>
      </c>
      <c r="AJ67" s="41">
        <f t="shared" si="93"/>
        <v>19.584954604409859</v>
      </c>
      <c r="AK67" s="41">
        <f t="shared" si="94"/>
        <v>12.260831732584677</v>
      </c>
      <c r="AL67" s="39"/>
      <c r="AM67" s="41">
        <f t="shared" si="95"/>
        <v>27.436916368364596</v>
      </c>
      <c r="AN67" s="41">
        <f t="shared" si="96"/>
        <v>878.96428984058446</v>
      </c>
      <c r="AO67" s="40" t="str">
        <f t="shared" si="76"/>
        <v/>
      </c>
      <c r="AP67" s="39">
        <f t="shared" si="97"/>
        <v>2107.0652978185076</v>
      </c>
      <c r="AQ67" s="39">
        <f t="shared" si="98"/>
        <v>1508.0479057615735</v>
      </c>
      <c r="AR67" s="38">
        <f t="shared" si="99"/>
        <v>5.4667875976562497E-4</v>
      </c>
      <c r="AS67" s="38">
        <f t="shared" si="100"/>
        <v>40271.177391976074</v>
      </c>
      <c r="AT67" s="38">
        <f t="shared" si="101"/>
        <v>3.5477587890624998</v>
      </c>
      <c r="AU67" s="38">
        <f t="shared" si="102"/>
        <v>0.64403735351562497</v>
      </c>
      <c r="AV67" s="38">
        <f t="shared" si="103"/>
        <v>194.890855540876</v>
      </c>
      <c r="AW67" s="38">
        <f t="shared" si="104"/>
        <v>372.25850785345767</v>
      </c>
      <c r="AX67" s="38">
        <f t="shared" si="105"/>
        <v>169.69378128264592</v>
      </c>
      <c r="AY67" s="38">
        <f t="shared" si="106"/>
        <v>5289.6733384199779</v>
      </c>
      <c r="AZ67" s="38">
        <f t="shared" si="107"/>
        <v>0.17823872822254452</v>
      </c>
      <c r="BA67" s="38">
        <f t="shared" si="108"/>
        <v>0.4558493028437301</v>
      </c>
      <c r="BB67" s="38">
        <f t="shared" ref="BB67:BB81" si="110">(-1/((1+BA67^2))*0.5)*LN(((2/AZ67)-1-BA67-(1+BA67^2)^0.5)/((2/AZ67)-1-BA67+(1+BA67^2)^0.5))</f>
        <v>9.357756355366055E-2</v>
      </c>
      <c r="BC67" s="38">
        <f t="shared" si="109"/>
        <v>6896.5379575242714</v>
      </c>
      <c r="BD67" s="1">
        <f t="shared" ref="BD67:BD81" si="111">(F67-E67)/(C67-E67)</f>
        <v>0.15729166666666666</v>
      </c>
      <c r="BE67" s="1">
        <f t="shared" ref="BE67:BE81" si="112">AN67*$AI$87/AX67</f>
        <v>8.4473976366136128E-2</v>
      </c>
      <c r="BF67" s="1">
        <f t="shared" ref="BF67:BF81" si="113">AX67/AW67</f>
        <v>0.4558493028437301</v>
      </c>
      <c r="BG67" s="1">
        <f t="shared" ref="BG67:BG81" si="114">2*((1+BF67+(1+BF67^2)^0.5)*((1+EXP(-BE67*(1+BF67^2)^0.5))/((1-EXP(-BE67*(1+BF67^2)^0.5)))))^-1</f>
        <v>3.6311428215766731E-2</v>
      </c>
    </row>
    <row r="68" spans="1:59" ht="12.75" customHeight="1" x14ac:dyDescent="0.2">
      <c r="A68" s="5">
        <v>1E-3</v>
      </c>
      <c r="B68" s="50" t="s">
        <v>139</v>
      </c>
      <c r="C68" s="48">
        <v>51.336181640625</v>
      </c>
      <c r="D68" s="48">
        <v>48.803466796875</v>
      </c>
      <c r="E68" s="48">
        <v>20.1318359375</v>
      </c>
      <c r="F68" s="48">
        <v>25.0673828125</v>
      </c>
      <c r="G68" s="48">
        <v>132.967529296875</v>
      </c>
      <c r="H68" s="48">
        <v>132.967529296875</v>
      </c>
      <c r="I68" s="48">
        <v>132.967529296875</v>
      </c>
      <c r="J68" s="48">
        <v>132.967529296875</v>
      </c>
      <c r="K68" s="48">
        <v>132.967529296875</v>
      </c>
      <c r="L68" s="48">
        <v>132.967529296875</v>
      </c>
      <c r="M68" s="51">
        <v>60</v>
      </c>
      <c r="N68" s="48">
        <v>5.56640625</v>
      </c>
      <c r="O68" s="50">
        <v>60</v>
      </c>
      <c r="P68" s="49">
        <v>2.34375</v>
      </c>
      <c r="Q68" s="48">
        <v>1</v>
      </c>
      <c r="R68" s="47" t="str">
        <f t="shared" si="77"/>
        <v>Countercurrent</v>
      </c>
      <c r="S68" s="46" t="s">
        <v>185</v>
      </c>
      <c r="T68" s="45">
        <f t="shared" si="78"/>
        <v>4.1804400734047347</v>
      </c>
      <c r="U68" s="45">
        <f t="shared" si="79"/>
        <v>4.18022691210661</v>
      </c>
      <c r="V68" s="39">
        <f t="shared" si="80"/>
        <v>50.06982421875</v>
      </c>
      <c r="W68" s="44">
        <f t="shared" si="81"/>
        <v>987.99479556028018</v>
      </c>
      <c r="X68" s="39">
        <f t="shared" si="82"/>
        <v>22.599609375</v>
      </c>
      <c r="Y68" s="44">
        <f t="shared" si="83"/>
        <v>997.64236362486031</v>
      </c>
      <c r="Z68" s="43">
        <f t="shared" si="84"/>
        <v>2.53271484375</v>
      </c>
      <c r="AA68" s="43">
        <f t="shared" si="85"/>
        <v>4.935546875</v>
      </c>
      <c r="AB68" s="42">
        <f t="shared" si="86"/>
        <v>9.1659673416236931E-2</v>
      </c>
      <c r="AC68" s="42">
        <f t="shared" si="87"/>
        <v>3.8970404829096104E-2</v>
      </c>
      <c r="AD68" s="42"/>
      <c r="AE68" s="41">
        <f t="shared" si="88"/>
        <v>970.48003059608675</v>
      </c>
      <c r="AF68" s="41">
        <f t="shared" si="89"/>
        <v>804.02593017936283</v>
      </c>
      <c r="AG68" s="41">
        <f t="shared" si="90"/>
        <v>166.45410041672392</v>
      </c>
      <c r="AH68" s="41">
        <f t="shared" si="91"/>
        <v>82.848271456499248</v>
      </c>
      <c r="AI68" s="41">
        <f t="shared" si="92"/>
        <v>4.9335863377609108</v>
      </c>
      <c r="AJ68" s="41">
        <f t="shared" si="93"/>
        <v>19.689119170984455</v>
      </c>
      <c r="AK68" s="41">
        <f t="shared" si="94"/>
        <v>12.311352754372683</v>
      </c>
      <c r="AL68" s="39"/>
      <c r="AM68" s="41">
        <f t="shared" si="95"/>
        <v>27.452691167925238</v>
      </c>
      <c r="AN68" s="41">
        <f t="shared" si="96"/>
        <v>871.13558361857258</v>
      </c>
      <c r="AO68" s="40" t="str">
        <f t="shared" si="76"/>
        <v/>
      </c>
      <c r="AP68" s="39">
        <f t="shared" si="97"/>
        <v>2167.6244702849749</v>
      </c>
      <c r="AQ68" s="39">
        <f t="shared" si="98"/>
        <v>1456.4681791009255</v>
      </c>
      <c r="AR68" s="38">
        <f t="shared" si="99"/>
        <v>5.4639951171874999E-4</v>
      </c>
      <c r="AS68" s="38">
        <f t="shared" si="100"/>
        <v>41473.519574686354</v>
      </c>
      <c r="AT68" s="38">
        <f t="shared" si="101"/>
        <v>3.5458105468749999</v>
      </c>
      <c r="AU68" s="38">
        <f t="shared" si="102"/>
        <v>0.64406982421875003</v>
      </c>
      <c r="AV68" s="38">
        <f t="shared" si="103"/>
        <v>199.88915187716256</v>
      </c>
      <c r="AW68" s="38">
        <f t="shared" si="104"/>
        <v>383.17777186442754</v>
      </c>
      <c r="AX68" s="38">
        <f t="shared" si="105"/>
        <v>162.90513504227692</v>
      </c>
      <c r="AY68" s="38">
        <f t="shared" si="106"/>
        <v>5083.3481506734715</v>
      </c>
      <c r="AZ68" s="38">
        <f t="shared" si="107"/>
        <v>0.19091354788821849</v>
      </c>
      <c r="BA68" s="38">
        <f t="shared" si="108"/>
        <v>0.42514244563203557</v>
      </c>
      <c r="BB68" s="38">
        <f t="shared" si="110"/>
        <v>0.10217258586266116</v>
      </c>
      <c r="BC68" s="38">
        <f t="shared" si="109"/>
        <v>7073.7676325691809</v>
      </c>
      <c r="BD68" s="1">
        <f t="shared" si="111"/>
        <v>0.15816857440166493</v>
      </c>
      <c r="BE68" s="1">
        <f t="shared" si="112"/>
        <v>8.7210467290881569E-2</v>
      </c>
      <c r="BF68" s="1">
        <f t="shared" si="113"/>
        <v>0.42514244563203557</v>
      </c>
      <c r="BG68" s="1">
        <f t="shared" si="114"/>
        <v>3.7700162822245309E-2</v>
      </c>
    </row>
    <row r="69" spans="1:59" ht="12.75" customHeight="1" x14ac:dyDescent="0.2">
      <c r="A69" s="5">
        <v>1E-3</v>
      </c>
      <c r="B69" s="50" t="s">
        <v>140</v>
      </c>
      <c r="C69" s="48">
        <v>51.531005859375</v>
      </c>
      <c r="D69" s="48">
        <v>48.868408203125</v>
      </c>
      <c r="E69" s="48">
        <v>20.1318359375</v>
      </c>
      <c r="F69" s="48">
        <v>25.0673828125</v>
      </c>
      <c r="G69" s="48">
        <v>132.967529296875</v>
      </c>
      <c r="H69" s="48">
        <v>132.967529296875</v>
      </c>
      <c r="I69" s="48">
        <v>132.967529296875</v>
      </c>
      <c r="J69" s="48">
        <v>132.967529296875</v>
      </c>
      <c r="K69" s="48">
        <v>132.967529296875</v>
      </c>
      <c r="L69" s="48">
        <v>132.967529296875</v>
      </c>
      <c r="M69" s="51">
        <v>60</v>
      </c>
      <c r="N69" s="48">
        <v>5.3955078125</v>
      </c>
      <c r="O69" s="50">
        <v>60</v>
      </c>
      <c r="P69" s="49">
        <v>2.28271484375</v>
      </c>
      <c r="Q69" s="48">
        <v>1</v>
      </c>
      <c r="R69" s="47" t="str">
        <f t="shared" si="77"/>
        <v>Countercurrent</v>
      </c>
      <c r="S69" s="46" t="s">
        <v>185</v>
      </c>
      <c r="T69" s="45">
        <f t="shared" si="78"/>
        <v>4.1804790498805247</v>
      </c>
      <c r="U69" s="45">
        <f t="shared" si="79"/>
        <v>4.18022691210661</v>
      </c>
      <c r="V69" s="39">
        <f t="shared" si="80"/>
        <v>50.19970703125</v>
      </c>
      <c r="W69" s="44">
        <f t="shared" si="81"/>
        <v>987.93604439471255</v>
      </c>
      <c r="X69" s="39">
        <f t="shared" si="82"/>
        <v>22.599609375</v>
      </c>
      <c r="Y69" s="44">
        <f t="shared" si="83"/>
        <v>997.64236362486031</v>
      </c>
      <c r="Z69" s="43">
        <f t="shared" si="84"/>
        <v>2.66259765625</v>
      </c>
      <c r="AA69" s="43">
        <f t="shared" si="85"/>
        <v>4.935546875</v>
      </c>
      <c r="AB69" s="42">
        <f t="shared" si="86"/>
        <v>8.8840277429700312E-2</v>
      </c>
      <c r="AC69" s="42">
        <f t="shared" si="87"/>
        <v>3.7955550536671726E-2</v>
      </c>
      <c r="AD69" s="42"/>
      <c r="AE69" s="41">
        <f t="shared" si="88"/>
        <v>988.87523975542786</v>
      </c>
      <c r="AF69" s="41">
        <f t="shared" si="89"/>
        <v>783.08775491427537</v>
      </c>
      <c r="AG69" s="41">
        <f t="shared" si="90"/>
        <v>205.78748484115249</v>
      </c>
      <c r="AH69" s="41">
        <f t="shared" si="91"/>
        <v>79.189742389338363</v>
      </c>
      <c r="AI69" s="41">
        <f t="shared" si="92"/>
        <v>5.1669817265280402</v>
      </c>
      <c r="AJ69" s="41">
        <f t="shared" si="93"/>
        <v>19.689119170984455</v>
      </c>
      <c r="AK69" s="41">
        <f t="shared" si="94"/>
        <v>12.428050448756247</v>
      </c>
      <c r="AL69" s="39"/>
      <c r="AM69" s="41">
        <f t="shared" si="95"/>
        <v>27.584491926184025</v>
      </c>
      <c r="AN69" s="41">
        <f t="shared" si="96"/>
        <v>859.65204334202099</v>
      </c>
      <c r="AO69" s="40" t="str">
        <f t="shared" si="76"/>
        <v/>
      </c>
      <c r="AP69" s="39">
        <f t="shared" si="97"/>
        <v>2198.1578694700293</v>
      </c>
      <c r="AQ69" s="39">
        <f t="shared" si="98"/>
        <v>1411.7614336760735</v>
      </c>
      <c r="AR69" s="38">
        <f t="shared" si="99"/>
        <v>5.4528251953124996E-4</v>
      </c>
      <c r="AS69" s="38">
        <f t="shared" si="100"/>
        <v>40280.163083585277</v>
      </c>
      <c r="AT69" s="38">
        <f t="shared" si="101"/>
        <v>3.5380175781249998</v>
      </c>
      <c r="AU69" s="38">
        <f t="shared" si="102"/>
        <v>0.64419970703125007</v>
      </c>
      <c r="AV69" s="38">
        <f t="shared" si="103"/>
        <v>194.74998624899405</v>
      </c>
      <c r="AW69" s="38">
        <f t="shared" si="104"/>
        <v>371.39491858043579</v>
      </c>
      <c r="AX69" s="38">
        <f t="shared" si="105"/>
        <v>158.66281381721765</v>
      </c>
      <c r="AY69" s="38">
        <f t="shared" si="106"/>
        <v>4981.880651329634</v>
      </c>
      <c r="AZ69" s="38">
        <f t="shared" si="107"/>
        <v>0.19849436567524012</v>
      </c>
      <c r="BA69" s="38">
        <f t="shared" si="108"/>
        <v>0.42720782078458852</v>
      </c>
      <c r="BB69" s="38">
        <f t="shared" si="110"/>
        <v>0.1068943117055022</v>
      </c>
      <c r="BC69" s="38">
        <f t="shared" si="109"/>
        <v>6893.2903343924145</v>
      </c>
      <c r="BD69" s="1">
        <f t="shared" si="111"/>
        <v>0.15718717683557393</v>
      </c>
      <c r="BE69" s="1">
        <f t="shared" si="112"/>
        <v>8.8361927649908106E-2</v>
      </c>
      <c r="BF69" s="1">
        <f t="shared" si="113"/>
        <v>0.42720782078458852</v>
      </c>
      <c r="BG69" s="1">
        <f t="shared" si="114"/>
        <v>3.8181883152428514E-2</v>
      </c>
    </row>
    <row r="70" spans="1:59" ht="12.75" customHeight="1" x14ac:dyDescent="0.2">
      <c r="A70" s="5">
        <v>1E-3</v>
      </c>
      <c r="B70" s="50" t="s">
        <v>141</v>
      </c>
      <c r="C70" s="48">
        <v>51.595947265625</v>
      </c>
      <c r="D70" s="48">
        <v>49.063232421875</v>
      </c>
      <c r="E70" s="48">
        <v>20.1318359375</v>
      </c>
      <c r="F70" s="48">
        <v>25.0673828125</v>
      </c>
      <c r="G70" s="48">
        <v>132.967529296875</v>
      </c>
      <c r="H70" s="48">
        <v>132.967529296875</v>
      </c>
      <c r="I70" s="48">
        <v>132.967529296875</v>
      </c>
      <c r="J70" s="48">
        <v>132.967529296875</v>
      </c>
      <c r="K70" s="48">
        <v>132.967529296875</v>
      </c>
      <c r="L70" s="48">
        <v>132.967529296875</v>
      </c>
      <c r="M70" s="51">
        <v>60</v>
      </c>
      <c r="N70" s="48">
        <v>5.43212890625</v>
      </c>
      <c r="O70" s="50">
        <v>60</v>
      </c>
      <c r="P70" s="49">
        <v>2.45361328125</v>
      </c>
      <c r="Q70" s="48">
        <v>1</v>
      </c>
      <c r="R70" s="47" t="str">
        <f t="shared" si="77"/>
        <v>Countercurrent</v>
      </c>
      <c r="S70" s="46" t="s">
        <v>185</v>
      </c>
      <c r="T70" s="45">
        <f t="shared" si="78"/>
        <v>4.1805182922567417</v>
      </c>
      <c r="U70" s="45">
        <f t="shared" si="79"/>
        <v>4.18022691210661</v>
      </c>
      <c r="V70" s="39">
        <f t="shared" si="80"/>
        <v>50.32958984375</v>
      </c>
      <c r="W70" s="44">
        <f t="shared" si="81"/>
        <v>987.87718562434918</v>
      </c>
      <c r="X70" s="39">
        <f t="shared" si="82"/>
        <v>22.599609375</v>
      </c>
      <c r="Y70" s="44">
        <f t="shared" si="83"/>
        <v>997.64236362486031</v>
      </c>
      <c r="Z70" s="43">
        <f t="shared" si="84"/>
        <v>2.53271484375</v>
      </c>
      <c r="AA70" s="43">
        <f t="shared" si="85"/>
        <v>4.935546875</v>
      </c>
      <c r="AB70" s="42">
        <f t="shared" si="86"/>
        <v>8.9437936930915396E-2</v>
      </c>
      <c r="AC70" s="42">
        <f t="shared" si="87"/>
        <v>4.0797142555459992E-2</v>
      </c>
      <c r="AD70" s="42"/>
      <c r="AE70" s="41">
        <f t="shared" si="88"/>
        <v>946.97430809158413</v>
      </c>
      <c r="AF70" s="41">
        <f t="shared" si="89"/>
        <v>841.7146456565207</v>
      </c>
      <c r="AG70" s="41">
        <f t="shared" si="90"/>
        <v>105.25966243506343</v>
      </c>
      <c r="AH70" s="41">
        <f t="shared" si="91"/>
        <v>88.884633771407067</v>
      </c>
      <c r="AI70" s="41">
        <f t="shared" si="92"/>
        <v>4.9087476400251733</v>
      </c>
      <c r="AJ70" s="41">
        <f t="shared" si="93"/>
        <v>19.689119170984455</v>
      </c>
      <c r="AK70" s="41">
        <f t="shared" si="94"/>
        <v>12.298933405504814</v>
      </c>
      <c r="AL70" s="39"/>
      <c r="AM70" s="41">
        <f t="shared" si="95"/>
        <v>27.712621114500251</v>
      </c>
      <c r="AN70" s="41">
        <f t="shared" si="96"/>
        <v>877.7154219996695</v>
      </c>
      <c r="AO70" s="40" t="str">
        <f t="shared" si="76"/>
        <v/>
      </c>
      <c r="AP70" s="39">
        <f t="shared" si="97"/>
        <v>2095.2842985479151</v>
      </c>
      <c r="AQ70" s="39">
        <f t="shared" si="98"/>
        <v>1510.4388570796325</v>
      </c>
      <c r="AR70" s="38">
        <f t="shared" si="99"/>
        <v>5.4416552734374993E-4</v>
      </c>
      <c r="AS70" s="38">
        <f t="shared" si="100"/>
        <v>40634.379882920883</v>
      </c>
      <c r="AT70" s="38">
        <f t="shared" si="101"/>
        <v>3.5302246093749998</v>
      </c>
      <c r="AU70" s="38">
        <f t="shared" si="102"/>
        <v>0.64432958984374999</v>
      </c>
      <c r="AV70" s="38">
        <f t="shared" si="103"/>
        <v>196.08975976266967</v>
      </c>
      <c r="AW70" s="38">
        <f t="shared" si="104"/>
        <v>373.89693136139664</v>
      </c>
      <c r="AX70" s="38">
        <f t="shared" si="105"/>
        <v>170.5413132473837</v>
      </c>
      <c r="AY70" s="38">
        <f t="shared" si="106"/>
        <v>5365.9308660603192</v>
      </c>
      <c r="AZ70" s="38">
        <f t="shared" si="107"/>
        <v>0.17647903629941009</v>
      </c>
      <c r="BA70" s="38">
        <f t="shared" si="108"/>
        <v>0.45611851540590476</v>
      </c>
      <c r="BB70" s="38">
        <f t="shared" si="110"/>
        <v>9.2501851578489405E-2</v>
      </c>
      <c r="BC70" s="38">
        <f t="shared" si="109"/>
        <v>6942.1117846395837</v>
      </c>
      <c r="BD70" s="1">
        <f t="shared" si="111"/>
        <v>0.15686274509803921</v>
      </c>
      <c r="BE70" s="1">
        <f t="shared" si="112"/>
        <v>8.3934742064683404E-2</v>
      </c>
      <c r="BF70" s="1">
        <f t="shared" si="113"/>
        <v>0.45611851540590476</v>
      </c>
      <c r="BG70" s="1">
        <f t="shared" si="114"/>
        <v>3.6078248664830566E-2</v>
      </c>
    </row>
    <row r="71" spans="1:59" ht="12.75" customHeight="1" x14ac:dyDescent="0.2">
      <c r="A71" s="5">
        <v>1E-3</v>
      </c>
      <c r="B71" s="50" t="s">
        <v>142</v>
      </c>
      <c r="C71" s="48">
        <v>51.660888671875</v>
      </c>
      <c r="D71" s="48">
        <v>49.095703125</v>
      </c>
      <c r="E71" s="48">
        <v>20.1318359375</v>
      </c>
      <c r="F71" s="48">
        <v>25.164794921875</v>
      </c>
      <c r="G71" s="48">
        <v>132.967529296875</v>
      </c>
      <c r="H71" s="48">
        <v>132.967529296875</v>
      </c>
      <c r="I71" s="48">
        <v>132.967529296875</v>
      </c>
      <c r="J71" s="48">
        <v>132.967529296875</v>
      </c>
      <c r="K71" s="48">
        <v>132.967529296875</v>
      </c>
      <c r="L71" s="48">
        <v>132.967529296875</v>
      </c>
      <c r="M71" s="51">
        <v>60</v>
      </c>
      <c r="N71" s="48">
        <v>5.43212890625</v>
      </c>
      <c r="O71" s="50">
        <v>60</v>
      </c>
      <c r="P71" s="49">
        <v>2.35595703125</v>
      </c>
      <c r="Q71" s="48">
        <v>1</v>
      </c>
      <c r="R71" s="47" t="str">
        <f t="shared" si="77"/>
        <v>Countercurrent</v>
      </c>
      <c r="S71" s="46" t="s">
        <v>185</v>
      </c>
      <c r="T71" s="45">
        <f t="shared" si="78"/>
        <v>4.1805330765737638</v>
      </c>
      <c r="U71" s="45">
        <f t="shared" si="79"/>
        <v>4.1802055756865917</v>
      </c>
      <c r="V71" s="39">
        <f t="shared" si="80"/>
        <v>50.3782958984375</v>
      </c>
      <c r="W71" s="44">
        <f t="shared" si="81"/>
        <v>987.85508587242373</v>
      </c>
      <c r="X71" s="39">
        <f t="shared" si="82"/>
        <v>22.6483154296875</v>
      </c>
      <c r="Y71" s="44">
        <f t="shared" si="83"/>
        <v>997.63101705502982</v>
      </c>
      <c r="Z71" s="43">
        <f t="shared" si="84"/>
        <v>2.565185546875</v>
      </c>
      <c r="AA71" s="43">
        <f t="shared" si="85"/>
        <v>5.032958984375</v>
      </c>
      <c r="AB71" s="42">
        <f t="shared" si="86"/>
        <v>8.9435936119227816E-2</v>
      </c>
      <c r="AC71" s="42">
        <f t="shared" si="87"/>
        <v>3.9172930153731439E-2</v>
      </c>
      <c r="AD71" s="42"/>
      <c r="AE71" s="41">
        <f t="shared" si="88"/>
        <v>959.09693984920682</v>
      </c>
      <c r="AF71" s="41">
        <f t="shared" si="89"/>
        <v>824.15156861196931</v>
      </c>
      <c r="AG71" s="41">
        <f t="shared" si="90"/>
        <v>134.94537123723751</v>
      </c>
      <c r="AH71" s="41">
        <f t="shared" si="91"/>
        <v>85.929954978434793</v>
      </c>
      <c r="AI71" s="41">
        <f t="shared" si="92"/>
        <v>4.9654305468258952</v>
      </c>
      <c r="AJ71" s="41">
        <f t="shared" si="93"/>
        <v>20</v>
      </c>
      <c r="AK71" s="41">
        <f t="shared" si="94"/>
        <v>12.482715273412948</v>
      </c>
      <c r="AL71" s="39"/>
      <c r="AM71" s="41">
        <f t="shared" si="95"/>
        <v>27.711669587820985</v>
      </c>
      <c r="AN71" s="41">
        <f t="shared" si="96"/>
        <v>871.56721763701478</v>
      </c>
      <c r="AO71" s="40" t="str">
        <f t="shared" si="76"/>
        <v/>
      </c>
      <c r="AP71" s="39">
        <f t="shared" si="97"/>
        <v>2122.179814180075</v>
      </c>
      <c r="AQ71" s="39">
        <f t="shared" si="98"/>
        <v>1478.9730737424891</v>
      </c>
      <c r="AR71" s="38">
        <f t="shared" si="99"/>
        <v>5.4374665527343752E-4</v>
      </c>
      <c r="AS71" s="38">
        <f t="shared" si="100"/>
        <v>40664.772610919681</v>
      </c>
      <c r="AT71" s="38">
        <f t="shared" si="101"/>
        <v>3.52730224609375</v>
      </c>
      <c r="AU71" s="38">
        <f t="shared" si="102"/>
        <v>0.64437829589843754</v>
      </c>
      <c r="AV71" s="38">
        <f t="shared" si="103"/>
        <v>196.16275476762891</v>
      </c>
      <c r="AW71" s="38">
        <f t="shared" si="104"/>
        <v>373.88988918077007</v>
      </c>
      <c r="AX71" s="38">
        <f t="shared" si="105"/>
        <v>163.75090104460958</v>
      </c>
      <c r="AY71" s="38">
        <f t="shared" si="106"/>
        <v>5162.9107943369172</v>
      </c>
      <c r="AZ71" s="38">
        <f t="shared" si="107"/>
        <v>0.18576670759084565</v>
      </c>
      <c r="BA71" s="38">
        <f t="shared" si="108"/>
        <v>0.43796557698686128</v>
      </c>
      <c r="BB71" s="38">
        <f t="shared" si="110"/>
        <v>9.8648698583480729E-2</v>
      </c>
      <c r="BC71" s="38">
        <f t="shared" si="109"/>
        <v>6945.2209690059235</v>
      </c>
      <c r="BD71" s="1">
        <f t="shared" si="111"/>
        <v>0.1596292481977343</v>
      </c>
      <c r="BE71" s="1">
        <f t="shared" si="112"/>
        <v>8.6803017402923191E-2</v>
      </c>
      <c r="BF71" s="1">
        <f t="shared" si="113"/>
        <v>0.43796557698686128</v>
      </c>
      <c r="BG71" s="1">
        <f t="shared" si="114"/>
        <v>3.7432661466549701E-2</v>
      </c>
    </row>
    <row r="72" spans="1:59" ht="12.75" customHeight="1" x14ac:dyDescent="0.2">
      <c r="A72" s="5">
        <v>1E-3</v>
      </c>
      <c r="B72" s="36" t="s">
        <v>143</v>
      </c>
      <c r="C72" s="34">
        <v>52.310302734375</v>
      </c>
      <c r="D72" s="34">
        <v>50.297119140625</v>
      </c>
      <c r="E72" s="34">
        <v>20.26171875</v>
      </c>
      <c r="F72" s="34">
        <v>28.314453125</v>
      </c>
      <c r="G72" s="34">
        <v>132.967529296875</v>
      </c>
      <c r="H72" s="34">
        <v>132.967529296875</v>
      </c>
      <c r="I72" s="34">
        <v>132.967529296875</v>
      </c>
      <c r="J72" s="34">
        <v>132.967529296875</v>
      </c>
      <c r="K72" s="34">
        <v>132.967529296875</v>
      </c>
      <c r="L72" s="34">
        <v>132.967529296875</v>
      </c>
      <c r="M72" s="37">
        <v>60</v>
      </c>
      <c r="N72" s="34">
        <v>5.09033203125</v>
      </c>
      <c r="O72" s="36">
        <v>30</v>
      </c>
      <c r="P72" s="35">
        <v>0.9033203125</v>
      </c>
      <c r="Q72" s="34">
        <v>1</v>
      </c>
      <c r="R72" s="33" t="str">
        <f t="shared" si="77"/>
        <v>Countercurrent</v>
      </c>
      <c r="S72" s="32" t="s">
        <v>185</v>
      </c>
      <c r="T72" s="31">
        <f t="shared" si="78"/>
        <v>4.1808210238483969</v>
      </c>
      <c r="U72" s="31">
        <f t="shared" si="79"/>
        <v>4.1795592141354581</v>
      </c>
      <c r="V72" s="25">
        <f t="shared" si="80"/>
        <v>51.3037109375</v>
      </c>
      <c r="W72" s="30">
        <f t="shared" si="81"/>
        <v>987.43232891503658</v>
      </c>
      <c r="X72" s="25">
        <f t="shared" si="82"/>
        <v>24.2880859375</v>
      </c>
      <c r="Y72" s="30">
        <f t="shared" si="83"/>
        <v>997.23497394222318</v>
      </c>
      <c r="Z72" s="29">
        <f t="shared" si="84"/>
        <v>2.01318359375</v>
      </c>
      <c r="AA72" s="29">
        <f t="shared" si="85"/>
        <v>8.052734375</v>
      </c>
      <c r="AB72" s="28">
        <f t="shared" si="86"/>
        <v>8.3772640209466606E-2</v>
      </c>
      <c r="AC72" s="28">
        <f t="shared" si="87"/>
        <v>1.5013710138290306E-2</v>
      </c>
      <c r="AD72" s="28"/>
      <c r="AE72" s="27">
        <f t="shared" si="88"/>
        <v>705.09423180647389</v>
      </c>
      <c r="AF72" s="27">
        <f t="shared" si="89"/>
        <v>505.31464282160806</v>
      </c>
      <c r="AG72" s="27">
        <f t="shared" si="90"/>
        <v>199.77958898486582</v>
      </c>
      <c r="AH72" s="27">
        <f t="shared" si="91"/>
        <v>71.666256796198127</v>
      </c>
      <c r="AI72" s="27">
        <f t="shared" si="92"/>
        <v>3.8485412787088764</v>
      </c>
      <c r="AJ72" s="27">
        <f t="shared" si="93"/>
        <v>28.440366972477065</v>
      </c>
      <c r="AK72" s="27">
        <f t="shared" si="94"/>
        <v>16.144454125592972</v>
      </c>
      <c r="AL72" s="25"/>
      <c r="AM72" s="27">
        <f t="shared" si="95"/>
        <v>26.902731969271315</v>
      </c>
      <c r="AN72" s="27">
        <f t="shared" si="96"/>
        <v>590.72622055975637</v>
      </c>
      <c r="AO72" s="26" t="str">
        <f t="shared" si="76"/>
        <v/>
      </c>
      <c r="AP72" s="25">
        <f t="shared" si="97"/>
        <v>1607.0638914772144</v>
      </c>
      <c r="AQ72" s="25">
        <f t="shared" si="98"/>
        <v>934.07418220896557</v>
      </c>
      <c r="AR72" s="24">
        <f t="shared" si="99"/>
        <v>5.357880859375E-4</v>
      </c>
      <c r="AS72" s="24">
        <f t="shared" si="100"/>
        <v>38655.566338495926</v>
      </c>
      <c r="AT72" s="24">
        <f t="shared" si="101"/>
        <v>3.4717773437499999</v>
      </c>
      <c r="AU72" s="24">
        <f t="shared" si="102"/>
        <v>0.64530371093750005</v>
      </c>
      <c r="AV72" s="24">
        <f t="shared" si="103"/>
        <v>186.74120043886123</v>
      </c>
      <c r="AW72" s="24">
        <f t="shared" si="104"/>
        <v>350.23841541102558</v>
      </c>
      <c r="AX72" s="24">
        <f t="shared" si="105"/>
        <v>62.750690546850187</v>
      </c>
      <c r="AY72" s="24">
        <f t="shared" si="106"/>
        <v>2011.0707760682546</v>
      </c>
      <c r="AZ72" s="24">
        <f t="shared" si="107"/>
        <v>0.35060637357824315</v>
      </c>
      <c r="BA72" s="24">
        <f t="shared" si="108"/>
        <v>0.17916564199049531</v>
      </c>
      <c r="BB72" s="24">
        <f t="shared" si="110"/>
        <v>0.22128829603013694</v>
      </c>
      <c r="BC72" s="24">
        <f t="shared" si="109"/>
        <v>6621.1422872593766</v>
      </c>
      <c r="BD72" s="1">
        <f t="shared" si="111"/>
        <v>0.25126646403242148</v>
      </c>
      <c r="BE72" s="1">
        <f t="shared" si="112"/>
        <v>0.15352721531519542</v>
      </c>
      <c r="BF72" s="1">
        <f t="shared" si="113"/>
        <v>0.17916564199049531</v>
      </c>
      <c r="BG72" s="1">
        <f t="shared" si="114"/>
        <v>7.0911228116150762E-2</v>
      </c>
    </row>
    <row r="73" spans="1:59" ht="12.75" customHeight="1" x14ac:dyDescent="0.2">
      <c r="A73" s="5">
        <v>1E-3</v>
      </c>
      <c r="B73" s="36" t="s">
        <v>144</v>
      </c>
      <c r="C73" s="34">
        <v>52.375244140625</v>
      </c>
      <c r="D73" s="34">
        <v>50.362060546875</v>
      </c>
      <c r="E73" s="34">
        <v>20.26171875</v>
      </c>
      <c r="F73" s="34">
        <v>28.50927734375</v>
      </c>
      <c r="G73" s="34">
        <v>132.967529296875</v>
      </c>
      <c r="H73" s="34">
        <v>132.967529296875</v>
      </c>
      <c r="I73" s="34">
        <v>132.967529296875</v>
      </c>
      <c r="J73" s="34">
        <v>132.967529296875</v>
      </c>
      <c r="K73" s="34">
        <v>132.967529296875</v>
      </c>
      <c r="L73" s="34">
        <v>132.967529296875</v>
      </c>
      <c r="M73" s="37">
        <v>60</v>
      </c>
      <c r="N73" s="34">
        <v>5.40771484375</v>
      </c>
      <c r="O73" s="36">
        <v>30</v>
      </c>
      <c r="P73" s="35">
        <v>0.9765625</v>
      </c>
      <c r="Q73" s="34">
        <v>1</v>
      </c>
      <c r="R73" s="33" t="str">
        <f t="shared" si="77"/>
        <v>Countercurrent</v>
      </c>
      <c r="S73" s="32" t="s">
        <v>185</v>
      </c>
      <c r="T73" s="31">
        <f t="shared" si="78"/>
        <v>4.180841730265981</v>
      </c>
      <c r="U73" s="31">
        <f t="shared" si="79"/>
        <v>4.179525022245933</v>
      </c>
      <c r="V73" s="25">
        <f t="shared" si="80"/>
        <v>51.36865234375</v>
      </c>
      <c r="W73" s="30">
        <f t="shared" si="81"/>
        <v>987.40245827503702</v>
      </c>
      <c r="X73" s="25">
        <f t="shared" si="82"/>
        <v>24.385498046875</v>
      </c>
      <c r="Y73" s="30">
        <f t="shared" si="83"/>
        <v>997.21059908276459</v>
      </c>
      <c r="Z73" s="29">
        <f t="shared" si="84"/>
        <v>2.01318359375</v>
      </c>
      <c r="AA73" s="29">
        <f t="shared" si="85"/>
        <v>8.24755859375</v>
      </c>
      <c r="AB73" s="28">
        <f t="shared" si="86"/>
        <v>8.8993182172819291E-2</v>
      </c>
      <c r="AC73" s="28">
        <f t="shared" si="87"/>
        <v>1.6230641261112705E-2</v>
      </c>
      <c r="AD73" s="28"/>
      <c r="AE73" s="27">
        <f t="shared" si="88"/>
        <v>749.03799186856827</v>
      </c>
      <c r="AF73" s="27">
        <f t="shared" si="89"/>
        <v>559.48444690200688</v>
      </c>
      <c r="AG73" s="27">
        <f t="shared" si="90"/>
        <v>189.55354496656139</v>
      </c>
      <c r="AH73" s="27">
        <f t="shared" si="91"/>
        <v>74.693734226524811</v>
      </c>
      <c r="AI73" s="27">
        <f t="shared" si="92"/>
        <v>3.8437693738375698</v>
      </c>
      <c r="AJ73" s="27">
        <f t="shared" si="93"/>
        <v>28.929384965831435</v>
      </c>
      <c r="AK73" s="27">
        <f t="shared" si="94"/>
        <v>16.386577169834503</v>
      </c>
      <c r="AL73" s="25"/>
      <c r="AM73" s="27">
        <f t="shared" si="95"/>
        <v>26.862687993431521</v>
      </c>
      <c r="AN73" s="27">
        <f t="shared" si="96"/>
        <v>645.01132528920868</v>
      </c>
      <c r="AO73" s="26" t="str">
        <f t="shared" si="76"/>
        <v/>
      </c>
      <c r="AP73" s="25">
        <f t="shared" si="97"/>
        <v>1709.7662670029765</v>
      </c>
      <c r="AQ73" s="25">
        <f t="shared" si="98"/>
        <v>1035.7487555205332</v>
      </c>
      <c r="AR73" s="24">
        <f t="shared" si="99"/>
        <v>5.3522958984374993E-4</v>
      </c>
      <c r="AS73" s="24">
        <f t="shared" si="100"/>
        <v>41107.352844955305</v>
      </c>
      <c r="AT73" s="24">
        <f t="shared" si="101"/>
        <v>3.4678808593749997</v>
      </c>
      <c r="AU73" s="24">
        <f t="shared" si="102"/>
        <v>0.64536865234375007</v>
      </c>
      <c r="AV73" s="24">
        <f t="shared" si="103"/>
        <v>196.89421568642038</v>
      </c>
      <c r="AW73" s="24">
        <f t="shared" si="104"/>
        <v>372.06640973728543</v>
      </c>
      <c r="AX73" s="24">
        <f t="shared" si="105"/>
        <v>67.836371277917834</v>
      </c>
      <c r="AY73" s="24">
        <f t="shared" si="106"/>
        <v>2178.4650314412788</v>
      </c>
      <c r="AZ73" s="24">
        <f t="shared" si="107"/>
        <v>0.34383750992459244</v>
      </c>
      <c r="BA73" s="24">
        <f t="shared" si="108"/>
        <v>0.18232328826947</v>
      </c>
      <c r="BB73" s="24">
        <f t="shared" si="110"/>
        <v>0.21578516455128149</v>
      </c>
      <c r="BC73" s="24">
        <f t="shared" si="109"/>
        <v>6981.8326720782843</v>
      </c>
      <c r="BD73" s="1">
        <f t="shared" si="111"/>
        <v>0.25682507583417591</v>
      </c>
      <c r="BE73" s="1">
        <f t="shared" si="112"/>
        <v>0.15506806425654834</v>
      </c>
      <c r="BF73" s="1">
        <f t="shared" si="113"/>
        <v>0.18232328826947</v>
      </c>
      <c r="BG73" s="1">
        <f t="shared" si="114"/>
        <v>7.1538213737114761E-2</v>
      </c>
    </row>
    <row r="74" spans="1:59" ht="12.75" customHeight="1" x14ac:dyDescent="0.2">
      <c r="A74" s="5">
        <v>1E-3</v>
      </c>
      <c r="B74" s="36" t="s">
        <v>145</v>
      </c>
      <c r="C74" s="34">
        <v>52.699951171875</v>
      </c>
      <c r="D74" s="34">
        <v>50.491943359375</v>
      </c>
      <c r="E74" s="34">
        <v>20.26171875</v>
      </c>
      <c r="F74" s="34">
        <v>28.346923828125</v>
      </c>
      <c r="G74" s="34">
        <v>132.967529296875</v>
      </c>
      <c r="H74" s="34">
        <v>132.967529296875</v>
      </c>
      <c r="I74" s="34">
        <v>132.967529296875</v>
      </c>
      <c r="J74" s="34">
        <v>132.967529296875</v>
      </c>
      <c r="K74" s="34">
        <v>132.967529296875</v>
      </c>
      <c r="L74" s="34">
        <v>132.967529296875</v>
      </c>
      <c r="M74" s="37">
        <v>60</v>
      </c>
      <c r="N74" s="34">
        <v>5.3955078125</v>
      </c>
      <c r="O74" s="36">
        <v>30</v>
      </c>
      <c r="P74" s="35">
        <v>0.9033203125</v>
      </c>
      <c r="Q74" s="34">
        <v>1</v>
      </c>
      <c r="R74" s="33" t="str">
        <f t="shared" si="77"/>
        <v>Countercurrent</v>
      </c>
      <c r="S74" s="32" t="s">
        <v>185</v>
      </c>
      <c r="T74" s="31">
        <f t="shared" si="78"/>
        <v>4.1809147150658799</v>
      </c>
      <c r="U74" s="31">
        <f t="shared" si="79"/>
        <v>4.1795534840691602</v>
      </c>
      <c r="V74" s="25">
        <f t="shared" si="80"/>
        <v>51.595947265625</v>
      </c>
      <c r="W74" s="30">
        <f t="shared" si="81"/>
        <v>987.29770167881452</v>
      </c>
      <c r="X74" s="25">
        <f t="shared" si="82"/>
        <v>24.3043212890625</v>
      </c>
      <c r="Y74" s="30">
        <f t="shared" si="83"/>
        <v>997.23091799012025</v>
      </c>
      <c r="Z74" s="29">
        <f t="shared" si="84"/>
        <v>2.2080078125</v>
      </c>
      <c r="AA74" s="29">
        <f t="shared" si="85"/>
        <v>8.085205078125</v>
      </c>
      <c r="AB74" s="28">
        <f t="shared" si="86"/>
        <v>8.8782874377855633E-2</v>
      </c>
      <c r="AC74" s="28">
        <f t="shared" si="87"/>
        <v>1.5013649074558287E-2</v>
      </c>
      <c r="AD74" s="28"/>
      <c r="AE74" s="27">
        <f t="shared" si="88"/>
        <v>819.59842600854904</v>
      </c>
      <c r="AF74" s="27">
        <f t="shared" si="89"/>
        <v>507.34944279961536</v>
      </c>
      <c r="AG74" s="27">
        <f t="shared" si="90"/>
        <v>312.24898320893368</v>
      </c>
      <c r="AH74" s="27">
        <f t="shared" si="91"/>
        <v>61.902198283909748</v>
      </c>
      <c r="AI74" s="27">
        <f t="shared" si="92"/>
        <v>4.1897720271102896</v>
      </c>
      <c r="AJ74" s="27">
        <f t="shared" si="93"/>
        <v>28.522336769759448</v>
      </c>
      <c r="AK74" s="27">
        <f t="shared" si="94"/>
        <v>16.356054398434868</v>
      </c>
      <c r="AL74" s="25"/>
      <c r="AM74" s="27">
        <f t="shared" si="95"/>
        <v>27.185827677634567</v>
      </c>
      <c r="AN74" s="27">
        <f t="shared" si="96"/>
        <v>617.87209305285944</v>
      </c>
      <c r="AO74" s="26" t="str">
        <f t="shared" si="76"/>
        <v/>
      </c>
      <c r="AP74" s="25">
        <f t="shared" si="97"/>
        <v>1848.5913738096249</v>
      </c>
      <c r="AQ74" s="25">
        <f t="shared" si="98"/>
        <v>928.06949496467075</v>
      </c>
      <c r="AR74" s="24">
        <f t="shared" si="99"/>
        <v>5.3327485351562496E-4</v>
      </c>
      <c r="AS74" s="24">
        <f t="shared" si="100"/>
        <v>41160.532614475858</v>
      </c>
      <c r="AT74" s="24">
        <f t="shared" si="101"/>
        <v>3.4542431640625</v>
      </c>
      <c r="AU74" s="24">
        <f t="shared" si="102"/>
        <v>0.64559594726562497</v>
      </c>
      <c r="AV74" s="24">
        <f t="shared" si="103"/>
        <v>196.85630811095336</v>
      </c>
      <c r="AW74" s="24">
        <f t="shared" si="104"/>
        <v>371.19362593222212</v>
      </c>
      <c r="AX74" s="24">
        <f t="shared" si="105"/>
        <v>62.750349298161808</v>
      </c>
      <c r="AY74" s="24">
        <f t="shared" si="106"/>
        <v>2035.5104150876134</v>
      </c>
      <c r="AZ74" s="24">
        <f t="shared" si="107"/>
        <v>0.40265007731403402</v>
      </c>
      <c r="BA74" s="24">
        <f t="shared" si="108"/>
        <v>0.16905018005244429</v>
      </c>
      <c r="BB74" s="24">
        <f t="shared" si="110"/>
        <v>0.26605883054711038</v>
      </c>
      <c r="BC74" s="24">
        <f t="shared" si="109"/>
        <v>6982.9469620936634</v>
      </c>
      <c r="BD74" s="1">
        <f t="shared" si="111"/>
        <v>0.24924924924924924</v>
      </c>
      <c r="BE74" s="1">
        <f t="shared" si="112"/>
        <v>0.16058318461932428</v>
      </c>
      <c r="BF74" s="1">
        <f t="shared" si="113"/>
        <v>0.16905018005244429</v>
      </c>
      <c r="BG74" s="1">
        <f t="shared" si="114"/>
        <v>7.4431889179637653E-2</v>
      </c>
    </row>
    <row r="75" spans="1:59" ht="12.75" customHeight="1" x14ac:dyDescent="0.2">
      <c r="A75" s="5">
        <v>1E-3</v>
      </c>
      <c r="B75" s="36" t="s">
        <v>146</v>
      </c>
      <c r="C75" s="34">
        <v>52.764892578125</v>
      </c>
      <c r="D75" s="34">
        <v>50.686767578125</v>
      </c>
      <c r="E75" s="34">
        <v>20.294189453125</v>
      </c>
      <c r="F75" s="34">
        <v>28.37939453125</v>
      </c>
      <c r="G75" s="34">
        <v>132.967529296875</v>
      </c>
      <c r="H75" s="34">
        <v>132.967529296875</v>
      </c>
      <c r="I75" s="34">
        <v>132.967529296875</v>
      </c>
      <c r="J75" s="34">
        <v>132.967529296875</v>
      </c>
      <c r="K75" s="34">
        <v>132.967529296875</v>
      </c>
      <c r="L75" s="34">
        <v>132.967529296875</v>
      </c>
      <c r="M75" s="37">
        <v>60</v>
      </c>
      <c r="N75" s="34">
        <v>5.322265625</v>
      </c>
      <c r="O75" s="36">
        <v>30</v>
      </c>
      <c r="P75" s="35">
        <v>0.9765625</v>
      </c>
      <c r="Q75" s="34">
        <v>1</v>
      </c>
      <c r="R75" s="33" t="str">
        <f t="shared" si="77"/>
        <v>Countercurrent</v>
      </c>
      <c r="S75" s="32" t="s">
        <v>185</v>
      </c>
      <c r="T75" s="31">
        <f t="shared" si="78"/>
        <v>4.1809567776254291</v>
      </c>
      <c r="U75" s="31">
        <f t="shared" si="79"/>
        <v>4.1795420616836036</v>
      </c>
      <c r="V75" s="25">
        <f t="shared" si="80"/>
        <v>51.725830078125</v>
      </c>
      <c r="W75" s="30">
        <f t="shared" si="81"/>
        <v>987.23769473738741</v>
      </c>
      <c r="X75" s="25">
        <f t="shared" si="82"/>
        <v>24.3367919921875</v>
      </c>
      <c r="Y75" s="30">
        <f t="shared" si="83"/>
        <v>997.22279825388159</v>
      </c>
      <c r="Z75" s="29">
        <f t="shared" si="84"/>
        <v>2.078125</v>
      </c>
      <c r="AA75" s="29">
        <f t="shared" si="85"/>
        <v>8.085205078125</v>
      </c>
      <c r="AB75" s="28">
        <f t="shared" si="86"/>
        <v>8.7572354106750683E-2</v>
      </c>
      <c r="AC75" s="28">
        <f t="shared" si="87"/>
        <v>1.6230839815330106E-2</v>
      </c>
      <c r="AD75" s="28"/>
      <c r="AE75" s="27">
        <f t="shared" si="88"/>
        <v>760.8768476388442</v>
      </c>
      <c r="AF75" s="27">
        <f t="shared" si="89"/>
        <v>548.47991922459403</v>
      </c>
      <c r="AG75" s="27">
        <f t="shared" si="90"/>
        <v>212.39692841425017</v>
      </c>
      <c r="AH75" s="27">
        <f t="shared" si="91"/>
        <v>72.085242299938415</v>
      </c>
      <c r="AI75" s="27">
        <f t="shared" si="92"/>
        <v>3.9384615384615387</v>
      </c>
      <c r="AJ75" s="27">
        <f t="shared" si="93"/>
        <v>28.489702517162474</v>
      </c>
      <c r="AK75" s="27">
        <f t="shared" si="94"/>
        <v>16.214082027812005</v>
      </c>
      <c r="AL75" s="25"/>
      <c r="AM75" s="27">
        <f t="shared" si="95"/>
        <v>27.278892238080516</v>
      </c>
      <c r="AN75" s="27">
        <f t="shared" si="96"/>
        <v>630.98996448674279</v>
      </c>
      <c r="AO75" s="26" t="str">
        <f t="shared" si="76"/>
        <v/>
      </c>
      <c r="AP75" s="25">
        <f t="shared" si="97"/>
        <v>1710.2909802079298</v>
      </c>
      <c r="AQ75" s="25">
        <f t="shared" si="98"/>
        <v>999.88458191368818</v>
      </c>
      <c r="AR75" s="24">
        <f t="shared" si="99"/>
        <v>5.3215786132812493E-4</v>
      </c>
      <c r="AS75" s="24">
        <f t="shared" si="100"/>
        <v>40684.54205331624</v>
      </c>
      <c r="AT75" s="24">
        <f t="shared" si="101"/>
        <v>3.4464501953125</v>
      </c>
      <c r="AU75" s="24">
        <f t="shared" si="102"/>
        <v>0.64572583007812501</v>
      </c>
      <c r="AV75" s="24">
        <f t="shared" si="103"/>
        <v>194.73439788668179</v>
      </c>
      <c r="AW75" s="24">
        <f t="shared" si="104"/>
        <v>366.13622743523331</v>
      </c>
      <c r="AX75" s="24">
        <f t="shared" si="105"/>
        <v>67.837477704621108</v>
      </c>
      <c r="AY75" s="24">
        <f t="shared" si="106"/>
        <v>2202.7305992955585</v>
      </c>
      <c r="AZ75" s="24">
        <f t="shared" si="107"/>
        <v>0.34542437821591776</v>
      </c>
      <c r="BA75" s="24">
        <f t="shared" si="108"/>
        <v>0.18527933763839591</v>
      </c>
      <c r="BB75" s="24">
        <f t="shared" si="110"/>
        <v>0.2171126801661166</v>
      </c>
      <c r="BC75" s="24">
        <f t="shared" si="109"/>
        <v>6909.0676219857951</v>
      </c>
      <c r="BD75" s="1">
        <f t="shared" si="111"/>
        <v>0.249</v>
      </c>
      <c r="BE75" s="1">
        <f t="shared" si="112"/>
        <v>0.15169469535038987</v>
      </c>
      <c r="BF75" s="1">
        <f t="shared" si="113"/>
        <v>0.18527933763839591</v>
      </c>
      <c r="BG75" s="1">
        <f t="shared" si="114"/>
        <v>6.9913846639351768E-2</v>
      </c>
    </row>
    <row r="76" spans="1:59" ht="12.75" customHeight="1" x14ac:dyDescent="0.2">
      <c r="A76" s="5">
        <v>1E-3</v>
      </c>
      <c r="B76" s="36" t="s">
        <v>147</v>
      </c>
      <c r="C76" s="34">
        <v>52.505126953125</v>
      </c>
      <c r="D76" s="34">
        <v>50.556884765625</v>
      </c>
      <c r="E76" s="34">
        <v>20.26171875</v>
      </c>
      <c r="F76" s="34">
        <v>28.4443359375</v>
      </c>
      <c r="G76" s="34">
        <v>132.967529296875</v>
      </c>
      <c r="H76" s="34">
        <v>132.967529296875</v>
      </c>
      <c r="I76" s="34">
        <v>132.967529296875</v>
      </c>
      <c r="J76" s="34">
        <v>132.967529296875</v>
      </c>
      <c r="K76" s="34">
        <v>132.967529296875</v>
      </c>
      <c r="L76" s="34">
        <v>132.967529296875</v>
      </c>
      <c r="M76" s="37">
        <v>60</v>
      </c>
      <c r="N76" s="34">
        <v>5.37109375</v>
      </c>
      <c r="O76" s="36">
        <v>30</v>
      </c>
      <c r="P76" s="35">
        <v>0.9765625</v>
      </c>
      <c r="Q76" s="34">
        <v>1</v>
      </c>
      <c r="R76" s="33" t="str">
        <f t="shared" si="77"/>
        <v>Countercurrent</v>
      </c>
      <c r="S76" s="32" t="s">
        <v>185</v>
      </c>
      <c r="T76" s="31">
        <f t="shared" si="78"/>
        <v>4.1808937810483684</v>
      </c>
      <c r="U76" s="31">
        <f t="shared" si="79"/>
        <v>4.1795363693340635</v>
      </c>
      <c r="V76" s="25">
        <f t="shared" si="80"/>
        <v>51.531005859375</v>
      </c>
      <c r="W76" s="30">
        <f t="shared" si="81"/>
        <v>987.32766534294149</v>
      </c>
      <c r="X76" s="25">
        <f t="shared" si="82"/>
        <v>24.35302734375</v>
      </c>
      <c r="Y76" s="30">
        <f t="shared" si="83"/>
        <v>997.21873447152257</v>
      </c>
      <c r="Z76" s="29">
        <f t="shared" si="84"/>
        <v>1.9482421875</v>
      </c>
      <c r="AA76" s="29">
        <f t="shared" si="85"/>
        <v>8.1826171875</v>
      </c>
      <c r="AB76" s="28">
        <f t="shared" si="86"/>
        <v>8.8383824208759412E-2</v>
      </c>
      <c r="AC76" s="28">
        <f t="shared" si="87"/>
        <v>1.6230773673039104E-2</v>
      </c>
      <c r="AD76" s="28"/>
      <c r="AE76" s="27">
        <f t="shared" si="88"/>
        <v>719.92104009223692</v>
      </c>
      <c r="AF76" s="27">
        <f t="shared" si="89"/>
        <v>555.08509298094327</v>
      </c>
      <c r="AG76" s="27">
        <f t="shared" si="90"/>
        <v>164.83594711129365</v>
      </c>
      <c r="AH76" s="27">
        <f t="shared" si="91"/>
        <v>77.103607488652543</v>
      </c>
      <c r="AI76" s="27">
        <f t="shared" si="92"/>
        <v>3.710575139146568</v>
      </c>
      <c r="AJ76" s="27">
        <f t="shared" si="93"/>
        <v>28.767123287671232</v>
      </c>
      <c r="AK76" s="27">
        <f t="shared" si="94"/>
        <v>16.238849213408901</v>
      </c>
      <c r="AL76" s="25"/>
      <c r="AM76" s="27">
        <f t="shared" si="95"/>
        <v>27.058381914004428</v>
      </c>
      <c r="AN76" s="27">
        <f t="shared" si="96"/>
        <v>627.67158614479251</v>
      </c>
      <c r="AO76" s="26" t="str">
        <f t="shared" si="76"/>
        <v/>
      </c>
      <c r="AP76" s="25">
        <f t="shared" si="97"/>
        <v>1631.4186024297614</v>
      </c>
      <c r="AQ76" s="25">
        <f t="shared" si="98"/>
        <v>1020.1724988864042</v>
      </c>
      <c r="AR76" s="24">
        <f t="shared" si="99"/>
        <v>5.3383334960937492E-4</v>
      </c>
      <c r="AS76" s="24">
        <f t="shared" si="100"/>
        <v>40932.660824580766</v>
      </c>
      <c r="AT76" s="24">
        <f t="shared" si="101"/>
        <v>3.4581396484374998</v>
      </c>
      <c r="AU76" s="24">
        <f t="shared" si="102"/>
        <v>0.64553100585937506</v>
      </c>
      <c r="AV76" s="24">
        <f t="shared" si="103"/>
        <v>195.98471330815531</v>
      </c>
      <c r="AW76" s="24">
        <f t="shared" si="104"/>
        <v>369.52338097967447</v>
      </c>
      <c r="AX76" s="24">
        <f t="shared" si="105"/>
        <v>67.837108868896749</v>
      </c>
      <c r="AY76" s="24">
        <f t="shared" si="106"/>
        <v>2187.299592579669</v>
      </c>
      <c r="AZ76" s="24">
        <f t="shared" si="107"/>
        <v>0.32913691500448394</v>
      </c>
      <c r="BA76" s="24">
        <f t="shared" si="108"/>
        <v>0.18358001783012509</v>
      </c>
      <c r="BB76" s="24">
        <f t="shared" si="110"/>
        <v>0.20398825585560312</v>
      </c>
      <c r="BC76" s="24">
        <f t="shared" si="109"/>
        <v>6951.3301711469639</v>
      </c>
      <c r="BD76" s="1">
        <f t="shared" si="111"/>
        <v>0.25377643504531722</v>
      </c>
      <c r="BE76" s="1">
        <f t="shared" si="112"/>
        <v>0.15089775287673951</v>
      </c>
      <c r="BF76" s="1">
        <f t="shared" si="113"/>
        <v>0.18358001783012509</v>
      </c>
      <c r="BG76" s="1">
        <f t="shared" si="114"/>
        <v>6.9590431043120626E-2</v>
      </c>
    </row>
    <row r="77" spans="1:59" ht="12.75" customHeight="1" x14ac:dyDescent="0.2">
      <c r="A77" s="5">
        <v>1E-3</v>
      </c>
      <c r="B77" s="36" t="s">
        <v>148</v>
      </c>
      <c r="C77" s="34">
        <v>52.310302734375</v>
      </c>
      <c r="D77" s="34">
        <v>50.362060546875</v>
      </c>
      <c r="E77" s="34">
        <v>20.294189453125</v>
      </c>
      <c r="F77" s="34">
        <v>28.346923828125</v>
      </c>
      <c r="G77" s="34">
        <v>132.967529296875</v>
      </c>
      <c r="H77" s="34">
        <v>132.967529296875</v>
      </c>
      <c r="I77" s="34">
        <v>132.967529296875</v>
      </c>
      <c r="J77" s="34">
        <v>132.967529296875</v>
      </c>
      <c r="K77" s="34">
        <v>132.967529296875</v>
      </c>
      <c r="L77" s="34">
        <v>132.967529296875</v>
      </c>
      <c r="M77" s="37">
        <v>60</v>
      </c>
      <c r="N77" s="34">
        <v>5.4931640625</v>
      </c>
      <c r="O77" s="36">
        <v>30</v>
      </c>
      <c r="P77" s="35">
        <v>0.9521484375</v>
      </c>
      <c r="Q77" s="34">
        <v>1</v>
      </c>
      <c r="R77" s="33" t="str">
        <f t="shared" si="77"/>
        <v>Countercurrent</v>
      </c>
      <c r="S77" s="32" t="s">
        <v>185</v>
      </c>
      <c r="T77" s="31">
        <f t="shared" si="78"/>
        <v>4.1808313689126875</v>
      </c>
      <c r="U77" s="31">
        <f t="shared" si="79"/>
        <v>4.1795477665902592</v>
      </c>
      <c r="V77" s="25">
        <f t="shared" si="80"/>
        <v>51.336181640625</v>
      </c>
      <c r="W77" s="30">
        <f t="shared" si="81"/>
        <v>987.41739692080182</v>
      </c>
      <c r="X77" s="25">
        <f t="shared" si="82"/>
        <v>24.320556640625</v>
      </c>
      <c r="Y77" s="30">
        <f t="shared" si="83"/>
        <v>997.22685942704356</v>
      </c>
      <c r="Z77" s="29">
        <f t="shared" si="84"/>
        <v>1.9482421875</v>
      </c>
      <c r="AA77" s="29">
        <f t="shared" si="85"/>
        <v>8.052734375</v>
      </c>
      <c r="AB77" s="28">
        <f t="shared" si="86"/>
        <v>9.0400762657544112E-2</v>
      </c>
      <c r="AC77" s="28">
        <f t="shared" si="87"/>
        <v>1.582513326727486E-2</v>
      </c>
      <c r="AD77" s="28"/>
      <c r="AE77" s="27">
        <f t="shared" si="88"/>
        <v>736.33880553039137</v>
      </c>
      <c r="AF77" s="27">
        <f t="shared" si="89"/>
        <v>532.6231550049315</v>
      </c>
      <c r="AG77" s="27">
        <f t="shared" si="90"/>
        <v>203.71565052545986</v>
      </c>
      <c r="AH77" s="27">
        <f t="shared" si="91"/>
        <v>72.33397873432439</v>
      </c>
      <c r="AI77" s="27">
        <f t="shared" si="92"/>
        <v>3.7243947858472999</v>
      </c>
      <c r="AJ77" s="27">
        <f t="shared" si="93"/>
        <v>28.407789232531499</v>
      </c>
      <c r="AK77" s="27">
        <f t="shared" si="94"/>
        <v>16.066092009189401</v>
      </c>
      <c r="AL77" s="25"/>
      <c r="AM77" s="27">
        <f t="shared" si="95"/>
        <v>26.900282717818527</v>
      </c>
      <c r="AN77" s="27">
        <f t="shared" si="96"/>
        <v>620.58192435934291</v>
      </c>
      <c r="AO77" s="26" t="str">
        <f t="shared" si="76"/>
        <v/>
      </c>
      <c r="AP77" s="25">
        <f t="shared" si="97"/>
        <v>1678.4299111440057</v>
      </c>
      <c r="AQ77" s="25">
        <f t="shared" si="98"/>
        <v>984.64361342312452</v>
      </c>
      <c r="AR77" s="24">
        <f t="shared" si="99"/>
        <v>5.3550883789062502E-4</v>
      </c>
      <c r="AS77" s="24">
        <f t="shared" si="100"/>
        <v>41735.761435520799</v>
      </c>
      <c r="AT77" s="24">
        <f t="shared" si="101"/>
        <v>3.4698291015625</v>
      </c>
      <c r="AU77" s="24">
        <f t="shared" si="102"/>
        <v>0.64533618164062501</v>
      </c>
      <c r="AV77" s="24">
        <f t="shared" si="103"/>
        <v>199.53853495450988</v>
      </c>
      <c r="AW77" s="24">
        <f t="shared" si="104"/>
        <v>377.95034429229111</v>
      </c>
      <c r="AX77" s="24">
        <f t="shared" si="105"/>
        <v>66.141900403231858</v>
      </c>
      <c r="AY77" s="24">
        <f t="shared" si="106"/>
        <v>2117.6065759470262</v>
      </c>
      <c r="AZ77" s="24">
        <f t="shared" si="107"/>
        <v>0.34772219443127173</v>
      </c>
      <c r="BA77" s="24">
        <f t="shared" si="108"/>
        <v>0.17500156145401063</v>
      </c>
      <c r="BB77" s="24">
        <f t="shared" si="110"/>
        <v>0.21886435918196961</v>
      </c>
      <c r="BC77" s="24">
        <f t="shared" si="109"/>
        <v>7075.2437493246034</v>
      </c>
      <c r="BD77" s="1">
        <f t="shared" si="111"/>
        <v>0.25152129817444219</v>
      </c>
      <c r="BE77" s="1">
        <f t="shared" si="112"/>
        <v>0.1530171421804345</v>
      </c>
      <c r="BF77" s="1">
        <f t="shared" si="113"/>
        <v>0.17500156145401063</v>
      </c>
      <c r="BG77" s="1">
        <f t="shared" si="114"/>
        <v>7.0783963369774869E-2</v>
      </c>
    </row>
    <row r="78" spans="1:59" ht="12.75" customHeight="1" x14ac:dyDescent="0.2">
      <c r="A78" s="5">
        <v>1E-3</v>
      </c>
      <c r="B78" s="36" t="s">
        <v>149</v>
      </c>
      <c r="C78" s="34">
        <v>52.050537109375</v>
      </c>
      <c r="D78" s="34">
        <v>50.102294921875</v>
      </c>
      <c r="E78" s="34">
        <v>20.26171875</v>
      </c>
      <c r="F78" s="34">
        <v>28.476806640625</v>
      </c>
      <c r="G78" s="34">
        <v>132.967529296875</v>
      </c>
      <c r="H78" s="34">
        <v>132.967529296875</v>
      </c>
      <c r="I78" s="34">
        <v>132.967529296875</v>
      </c>
      <c r="J78" s="34">
        <v>132.967529296875</v>
      </c>
      <c r="K78" s="34">
        <v>132.967529296875</v>
      </c>
      <c r="L78" s="34">
        <v>132.967529296875</v>
      </c>
      <c r="M78" s="37">
        <v>60</v>
      </c>
      <c r="N78" s="34">
        <v>5.31005859375</v>
      </c>
      <c r="O78" s="36">
        <v>30</v>
      </c>
      <c r="P78" s="35">
        <v>0.91552734375</v>
      </c>
      <c r="Q78" s="34">
        <v>1</v>
      </c>
      <c r="R78" s="33" t="str">
        <f t="shared" si="77"/>
        <v>Countercurrent</v>
      </c>
      <c r="S78" s="32" t="s">
        <v>185</v>
      </c>
      <c r="T78" s="31">
        <f t="shared" si="78"/>
        <v>4.180749065260974</v>
      </c>
      <c r="U78" s="31">
        <f t="shared" si="79"/>
        <v>4.1795306895265343</v>
      </c>
      <c r="V78" s="25">
        <f t="shared" si="80"/>
        <v>51.076416015625</v>
      </c>
      <c r="W78" s="30">
        <f t="shared" si="81"/>
        <v>987.53666646280203</v>
      </c>
      <c r="X78" s="25">
        <f t="shared" si="82"/>
        <v>24.3692626953125</v>
      </c>
      <c r="Y78" s="30">
        <f t="shared" si="83"/>
        <v>997.21466808085438</v>
      </c>
      <c r="Z78" s="29">
        <f t="shared" si="84"/>
        <v>1.9482421875</v>
      </c>
      <c r="AA78" s="29">
        <f t="shared" si="85"/>
        <v>8.215087890625</v>
      </c>
      <c r="AB78" s="28">
        <f t="shared" si="86"/>
        <v>8.7397959373233816E-2</v>
      </c>
      <c r="AC78" s="28">
        <f t="shared" si="87"/>
        <v>1.5216288270276709E-2</v>
      </c>
      <c r="AD78" s="28"/>
      <c r="AE78" s="27">
        <f t="shared" si="88"/>
        <v>711.86614182221763</v>
      </c>
      <c r="AF78" s="27">
        <f t="shared" si="89"/>
        <v>522.45448294392759</v>
      </c>
      <c r="AG78" s="27">
        <f t="shared" si="90"/>
        <v>189.41165887829004</v>
      </c>
      <c r="AH78" s="27">
        <f t="shared" si="91"/>
        <v>73.39223658068093</v>
      </c>
      <c r="AI78" s="27">
        <f t="shared" si="92"/>
        <v>3.7429819089207736</v>
      </c>
      <c r="AJ78" s="27">
        <f t="shared" si="93"/>
        <v>28.848346636259976</v>
      </c>
      <c r="AK78" s="27">
        <f t="shared" si="94"/>
        <v>16.295664272590376</v>
      </c>
      <c r="AL78" s="25"/>
      <c r="AM78" s="27">
        <f t="shared" si="95"/>
        <v>26.584157042229048</v>
      </c>
      <c r="AN78" s="27">
        <f t="shared" si="96"/>
        <v>612.65865052345316</v>
      </c>
      <c r="AO78" s="26" t="str">
        <f t="shared" si="76"/>
        <v/>
      </c>
      <c r="AP78" s="25">
        <f t="shared" si="97"/>
        <v>1641.9419908767893</v>
      </c>
      <c r="AQ78" s="25">
        <f t="shared" si="98"/>
        <v>977.33046376038646</v>
      </c>
      <c r="AR78" s="24">
        <f t="shared" si="99"/>
        <v>5.3774282226562496E-4</v>
      </c>
      <c r="AS78" s="24">
        <f t="shared" si="100"/>
        <v>40181.815940141212</v>
      </c>
      <c r="AT78" s="24">
        <f t="shared" si="101"/>
        <v>3.4854150390625001</v>
      </c>
      <c r="AU78" s="24">
        <f t="shared" si="102"/>
        <v>0.64507641601562504</v>
      </c>
      <c r="AV78" s="24">
        <f t="shared" si="103"/>
        <v>193.36972564829344</v>
      </c>
      <c r="AW78" s="24">
        <f t="shared" si="104"/>
        <v>365.38893695536382</v>
      </c>
      <c r="AX78" s="24">
        <f t="shared" si="105"/>
        <v>63.596943806304125</v>
      </c>
      <c r="AY78" s="24">
        <f t="shared" si="106"/>
        <v>2021.6716948699807</v>
      </c>
      <c r="AZ78" s="24">
        <f t="shared" si="107"/>
        <v>0.3521175785507546</v>
      </c>
      <c r="BA78" s="24">
        <f t="shared" si="108"/>
        <v>0.17405273497394688</v>
      </c>
      <c r="BB78" s="24">
        <f t="shared" si="110"/>
        <v>0.22246100450788298</v>
      </c>
      <c r="BC78" s="24">
        <f t="shared" si="109"/>
        <v>6853.7499773146055</v>
      </c>
      <c r="BD78" s="1">
        <f t="shared" si="111"/>
        <v>0.25842696629213485</v>
      </c>
      <c r="BE78" s="1">
        <f t="shared" si="112"/>
        <v>0.15710859976724287</v>
      </c>
      <c r="BF78" s="1">
        <f t="shared" si="113"/>
        <v>0.17405273497394688</v>
      </c>
      <c r="BG78" s="1">
        <f t="shared" si="114"/>
        <v>7.2694006443757925E-2</v>
      </c>
    </row>
    <row r="79" spans="1:59" ht="12.75" customHeight="1" x14ac:dyDescent="0.2">
      <c r="A79" s="5">
        <v>1E-3</v>
      </c>
      <c r="B79" s="36" t="s">
        <v>150</v>
      </c>
      <c r="C79" s="34">
        <v>51.88818359375</v>
      </c>
      <c r="D79" s="34">
        <v>49.972412109375</v>
      </c>
      <c r="E79" s="34">
        <v>20.294189453125</v>
      </c>
      <c r="F79" s="34">
        <v>28.346923828125</v>
      </c>
      <c r="G79" s="34">
        <v>132.967529296875</v>
      </c>
      <c r="H79" s="34">
        <v>132.967529296875</v>
      </c>
      <c r="I79" s="34">
        <v>132.967529296875</v>
      </c>
      <c r="J79" s="34">
        <v>132.967529296875</v>
      </c>
      <c r="K79" s="34">
        <v>132.967529296875</v>
      </c>
      <c r="L79" s="34">
        <v>132.967529296875</v>
      </c>
      <c r="M79" s="37">
        <v>60</v>
      </c>
      <c r="N79" s="34">
        <v>5.40771484375</v>
      </c>
      <c r="O79" s="36">
        <v>30</v>
      </c>
      <c r="P79" s="35">
        <v>1.01318359375</v>
      </c>
      <c r="Q79" s="34">
        <v>1</v>
      </c>
      <c r="R79" s="33" t="str">
        <f t="shared" si="77"/>
        <v>Countercurrent</v>
      </c>
      <c r="S79" s="32" t="s">
        <v>185</v>
      </c>
      <c r="T79" s="31">
        <f t="shared" si="78"/>
        <v>4.1807032293537603</v>
      </c>
      <c r="U79" s="31">
        <f t="shared" si="79"/>
        <v>4.1795477665902592</v>
      </c>
      <c r="V79" s="25">
        <f t="shared" si="80"/>
        <v>50.9302978515625</v>
      </c>
      <c r="W79" s="30">
        <f t="shared" si="81"/>
        <v>987.60356811691508</v>
      </c>
      <c r="X79" s="25">
        <f t="shared" si="82"/>
        <v>24.320556640625</v>
      </c>
      <c r="Y79" s="30">
        <f t="shared" si="83"/>
        <v>997.22685942704356</v>
      </c>
      <c r="Z79" s="29">
        <f t="shared" si="84"/>
        <v>1.915771484375</v>
      </c>
      <c r="AA79" s="29">
        <f t="shared" si="85"/>
        <v>8.052734375</v>
      </c>
      <c r="AB79" s="28">
        <f t="shared" si="86"/>
        <v>8.9011307917438429E-2</v>
      </c>
      <c r="AC79" s="28">
        <f t="shared" si="87"/>
        <v>1.6839564886971966E-2</v>
      </c>
      <c r="AD79" s="28"/>
      <c r="AE79" s="27">
        <f t="shared" si="88"/>
        <v>712.91577898417972</v>
      </c>
      <c r="AF79" s="27">
        <f t="shared" si="89"/>
        <v>566.76566494114502</v>
      </c>
      <c r="AG79" s="27">
        <f t="shared" si="90"/>
        <v>146.1501140430347</v>
      </c>
      <c r="AH79" s="27">
        <f t="shared" si="91"/>
        <v>79.49966625072021</v>
      </c>
      <c r="AI79" s="27">
        <f t="shared" si="92"/>
        <v>3.6921151439299122</v>
      </c>
      <c r="AJ79" s="27">
        <f t="shared" si="93"/>
        <v>28.407789232531499</v>
      </c>
      <c r="AK79" s="27">
        <f t="shared" si="94"/>
        <v>16.049952188230705</v>
      </c>
      <c r="AL79" s="25"/>
      <c r="AM79" s="27">
        <f t="shared" si="95"/>
        <v>26.491373527553232</v>
      </c>
      <c r="AN79" s="27">
        <f t="shared" si="96"/>
        <v>646.86269733773759</v>
      </c>
      <c r="AO79" s="26" t="str">
        <f t="shared" si="76"/>
        <v/>
      </c>
      <c r="AP79" s="25">
        <f t="shared" si="97"/>
        <v>1650.1222374752003</v>
      </c>
      <c r="AQ79" s="25">
        <f t="shared" si="98"/>
        <v>1063.9345839900409</v>
      </c>
      <c r="AR79" s="24">
        <f t="shared" si="99"/>
        <v>5.3899943847656243E-4</v>
      </c>
      <c r="AS79" s="24">
        <f t="shared" si="100"/>
        <v>40828.155425475634</v>
      </c>
      <c r="AT79" s="24">
        <f t="shared" si="101"/>
        <v>3.49418212890625</v>
      </c>
      <c r="AU79" s="24">
        <f t="shared" si="102"/>
        <v>0.64493029785156253</v>
      </c>
      <c r="AV79" s="24">
        <f t="shared" si="103"/>
        <v>196.22784892399233</v>
      </c>
      <c r="AW79" s="24">
        <f t="shared" si="104"/>
        <v>372.12986245943677</v>
      </c>
      <c r="AX79" s="24">
        <f t="shared" si="105"/>
        <v>70.381765813695424</v>
      </c>
      <c r="AY79" s="24">
        <f t="shared" si="106"/>
        <v>2223.6410967247343</v>
      </c>
      <c r="AZ79" s="24">
        <f t="shared" si="107"/>
        <v>0.3206073947968735</v>
      </c>
      <c r="BA79" s="24">
        <f t="shared" si="108"/>
        <v>0.18913227051582629</v>
      </c>
      <c r="BB79" s="24">
        <f t="shared" si="110"/>
        <v>0.19730970928226887</v>
      </c>
      <c r="BC79" s="24">
        <f t="shared" si="109"/>
        <v>6953.4772007319661</v>
      </c>
      <c r="BD79" s="1">
        <f t="shared" si="111"/>
        <v>0.25488180883864336</v>
      </c>
      <c r="BE79" s="1">
        <f t="shared" si="112"/>
        <v>0.14988893800446976</v>
      </c>
      <c r="BF79" s="1">
        <f t="shared" si="113"/>
        <v>0.18913227051582629</v>
      </c>
      <c r="BG79" s="1">
        <f t="shared" si="114"/>
        <v>6.8989899384060166E-2</v>
      </c>
    </row>
    <row r="80" spans="1:59" ht="12.75" customHeight="1" x14ac:dyDescent="0.2">
      <c r="A80" s="5">
        <v>1E-3</v>
      </c>
      <c r="B80" s="36" t="s">
        <v>151</v>
      </c>
      <c r="C80" s="34">
        <v>51.660888671875</v>
      </c>
      <c r="D80" s="34">
        <v>49.7451171875</v>
      </c>
      <c r="E80" s="34">
        <v>20.294189453125</v>
      </c>
      <c r="F80" s="34">
        <v>28.24951171875</v>
      </c>
      <c r="G80" s="34">
        <v>132.967529296875</v>
      </c>
      <c r="H80" s="34">
        <v>132.967529296875</v>
      </c>
      <c r="I80" s="34">
        <v>132.967529296875</v>
      </c>
      <c r="J80" s="34">
        <v>132.967529296875</v>
      </c>
      <c r="K80" s="34">
        <v>132.967529296875</v>
      </c>
      <c r="L80" s="34">
        <v>132.967529296875</v>
      </c>
      <c r="M80" s="37">
        <v>60</v>
      </c>
      <c r="N80" s="34">
        <v>5.40771484375</v>
      </c>
      <c r="O80" s="36">
        <v>30</v>
      </c>
      <c r="P80" s="35">
        <v>1.0009765625</v>
      </c>
      <c r="Q80" s="34">
        <v>1</v>
      </c>
      <c r="R80" s="33" t="str">
        <f t="shared" si="77"/>
        <v>Countercurrent</v>
      </c>
      <c r="S80" s="32" t="s">
        <v>185</v>
      </c>
      <c r="T80" s="31">
        <f t="shared" si="78"/>
        <v>4.180632589650207</v>
      </c>
      <c r="U80" s="31">
        <f t="shared" si="79"/>
        <v>4.1795649568043274</v>
      </c>
      <c r="V80" s="25">
        <f t="shared" si="80"/>
        <v>50.7030029296875</v>
      </c>
      <c r="W80" s="30">
        <f t="shared" si="81"/>
        <v>987.70736853656456</v>
      </c>
      <c r="X80" s="25">
        <f t="shared" si="82"/>
        <v>24.2718505859375</v>
      </c>
      <c r="Y80" s="30">
        <f t="shared" si="83"/>
        <v>997.23902728246298</v>
      </c>
      <c r="Z80" s="29">
        <f t="shared" si="84"/>
        <v>1.915771484375</v>
      </c>
      <c r="AA80" s="29">
        <f t="shared" si="85"/>
        <v>7.955322265625</v>
      </c>
      <c r="AB80" s="28">
        <f t="shared" si="86"/>
        <v>8.9020663301940542E-2</v>
      </c>
      <c r="AC80" s="28">
        <f t="shared" si="87"/>
        <v>1.6636881558667393E-2</v>
      </c>
      <c r="AD80" s="28"/>
      <c r="AE80" s="27">
        <f t="shared" si="88"/>
        <v>712.97866167911479</v>
      </c>
      <c r="AF80" s="27">
        <f t="shared" si="89"/>
        <v>553.1727542197516</v>
      </c>
      <c r="AG80" s="27">
        <f t="shared" si="90"/>
        <v>159.8059074593632</v>
      </c>
      <c r="AH80" s="27">
        <f t="shared" si="91"/>
        <v>77.586158457672624</v>
      </c>
      <c r="AI80" s="27">
        <f t="shared" si="92"/>
        <v>3.7083595223130108</v>
      </c>
      <c r="AJ80" s="27">
        <f t="shared" si="93"/>
        <v>28.160919540229884</v>
      </c>
      <c r="AK80" s="27">
        <f t="shared" si="94"/>
        <v>15.934639531271447</v>
      </c>
      <c r="AL80" s="25"/>
      <c r="AM80" s="27">
        <f t="shared" si="95"/>
        <v>26.315745540975005</v>
      </c>
      <c r="AN80" s="27">
        <f t="shared" si="96"/>
        <v>641.61625261503309</v>
      </c>
      <c r="AO80" s="26" t="str">
        <f t="shared" si="76"/>
        <v/>
      </c>
      <c r="AP80" s="25">
        <f t="shared" si="97"/>
        <v>1661.2814667265675</v>
      </c>
      <c r="AQ80" s="25">
        <f t="shared" si="98"/>
        <v>1045.3481931799174</v>
      </c>
      <c r="AR80" s="24">
        <f t="shared" si="99"/>
        <v>5.409541748046875E-4</v>
      </c>
      <c r="AS80" s="24">
        <f t="shared" si="100"/>
        <v>40684.898674062497</v>
      </c>
      <c r="AT80" s="24">
        <f t="shared" si="101"/>
        <v>3.5078198242187497</v>
      </c>
      <c r="AU80" s="24">
        <f t="shared" si="102"/>
        <v>0.64470300292968752</v>
      </c>
      <c r="AV80" s="24">
        <f t="shared" si="103"/>
        <v>195.88494680472834</v>
      </c>
      <c r="AW80" s="24">
        <f t="shared" si="104"/>
        <v>372.16268615237084</v>
      </c>
      <c r="AX80" s="24">
        <f t="shared" si="105"/>
        <v>69.534927153110402</v>
      </c>
      <c r="AY80" s="24">
        <f t="shared" si="106"/>
        <v>2181.0811452093062</v>
      </c>
      <c r="AZ80" s="24">
        <f t="shared" si="107"/>
        <v>0.32689231358730314</v>
      </c>
      <c r="BA80" s="24">
        <f t="shared" si="108"/>
        <v>0.18684013669398714</v>
      </c>
      <c r="BB80" s="24">
        <f t="shared" si="110"/>
        <v>0.20223555018446832</v>
      </c>
      <c r="BC80" s="24">
        <f t="shared" si="109"/>
        <v>6938.8798589961789</v>
      </c>
      <c r="BD80" s="1">
        <f t="shared" si="111"/>
        <v>0.25362318840579712</v>
      </c>
      <c r="BE80" s="1">
        <f t="shared" si="112"/>
        <v>0.15048388205704982</v>
      </c>
      <c r="BF80" s="1">
        <f t="shared" si="113"/>
        <v>0.18684013669398714</v>
      </c>
      <c r="BG80" s="1">
        <f t="shared" si="114"/>
        <v>6.9319262653627048E-2</v>
      </c>
    </row>
    <row r="81" spans="1:59" ht="12.75" customHeight="1" x14ac:dyDescent="0.2">
      <c r="A81" s="5">
        <v>1E-3</v>
      </c>
      <c r="B81" s="36" t="s">
        <v>152</v>
      </c>
      <c r="C81" s="34">
        <v>51.466064453125</v>
      </c>
      <c r="D81" s="34">
        <v>49.55029296875</v>
      </c>
      <c r="E81" s="34">
        <v>20.26171875</v>
      </c>
      <c r="F81" s="34">
        <v>28.37939453125</v>
      </c>
      <c r="G81" s="34">
        <v>132.967529296875</v>
      </c>
      <c r="H81" s="34">
        <v>132.967529296875</v>
      </c>
      <c r="I81" s="34">
        <v>132.967529296875</v>
      </c>
      <c r="J81" s="34">
        <v>132.967529296875</v>
      </c>
      <c r="K81" s="34">
        <v>132.967529296875</v>
      </c>
      <c r="L81" s="34">
        <v>132.967529296875</v>
      </c>
      <c r="M81" s="37">
        <v>60</v>
      </c>
      <c r="N81" s="34">
        <v>5.3466796875</v>
      </c>
      <c r="O81" s="36">
        <v>30</v>
      </c>
      <c r="P81" s="35">
        <v>0.93994140625</v>
      </c>
      <c r="Q81" s="34">
        <v>1</v>
      </c>
      <c r="R81" s="33" t="str">
        <f t="shared" si="77"/>
        <v>Countercurrent</v>
      </c>
      <c r="S81" s="32" t="s">
        <v>185</v>
      </c>
      <c r="T81" s="31">
        <f t="shared" si="78"/>
        <v>4.180572683552926</v>
      </c>
      <c r="U81" s="31">
        <f t="shared" si="79"/>
        <v>4.1795477665902592</v>
      </c>
      <c r="V81" s="25">
        <f t="shared" si="80"/>
        <v>50.5081787109375</v>
      </c>
      <c r="W81" s="30">
        <f t="shared" si="81"/>
        <v>987.79607937532137</v>
      </c>
      <c r="X81" s="25">
        <f t="shared" si="82"/>
        <v>24.320556640625</v>
      </c>
      <c r="Y81" s="30">
        <f t="shared" si="83"/>
        <v>997.22685942704356</v>
      </c>
      <c r="Z81" s="29">
        <f t="shared" si="84"/>
        <v>1.915771484375</v>
      </c>
      <c r="AA81" s="29">
        <f t="shared" si="85"/>
        <v>8.11767578125</v>
      </c>
      <c r="AB81" s="28">
        <f t="shared" si="86"/>
        <v>8.8023820549802803E-2</v>
      </c>
      <c r="AC81" s="28">
        <f t="shared" si="87"/>
        <v>1.562224694333544E-2</v>
      </c>
      <c r="AD81" s="28"/>
      <c r="AE81" s="27">
        <f t="shared" si="88"/>
        <v>704.98470963057002</v>
      </c>
      <c r="AF81" s="27">
        <f t="shared" si="89"/>
        <v>530.03493247750896</v>
      </c>
      <c r="AG81" s="27">
        <f t="shared" si="90"/>
        <v>174.94977715306106</v>
      </c>
      <c r="AH81" s="27">
        <f t="shared" si="91"/>
        <v>75.183890549237702</v>
      </c>
      <c r="AI81" s="27">
        <f t="shared" si="92"/>
        <v>3.722397476340694</v>
      </c>
      <c r="AJ81" s="27">
        <f t="shared" si="93"/>
        <v>28.604118993135014</v>
      </c>
      <c r="AK81" s="27">
        <f t="shared" si="94"/>
        <v>16.163258234737853</v>
      </c>
      <c r="AL81" s="25"/>
      <c r="AM81" s="27">
        <f t="shared" si="95"/>
        <v>26.064763447754235</v>
      </c>
      <c r="AN81" s="27">
        <f t="shared" si="96"/>
        <v>628.21121180454656</v>
      </c>
      <c r="AO81" s="26" t="str">
        <f t="shared" si="76"/>
        <v/>
      </c>
      <c r="AP81" s="25">
        <f t="shared" si="97"/>
        <v>1658.4725053268705</v>
      </c>
      <c r="AQ81" s="25">
        <f t="shared" si="98"/>
        <v>1011.268722669275</v>
      </c>
      <c r="AR81" s="24">
        <f t="shared" si="99"/>
        <v>5.4262966308593749E-4</v>
      </c>
      <c r="AS81" s="24">
        <f t="shared" si="100"/>
        <v>40105.097195386363</v>
      </c>
      <c r="AT81" s="24">
        <f t="shared" si="101"/>
        <v>3.51950927734375</v>
      </c>
      <c r="AU81" s="24">
        <f t="shared" si="102"/>
        <v>0.64450817871093746</v>
      </c>
      <c r="AV81" s="24">
        <f t="shared" si="103"/>
        <v>193.67701679232019</v>
      </c>
      <c r="AW81" s="24">
        <f t="shared" si="104"/>
        <v>367.98997969247034</v>
      </c>
      <c r="AX81" s="24">
        <f t="shared" si="105"/>
        <v>65.293927321139151</v>
      </c>
      <c r="AY81" s="24">
        <f t="shared" si="106"/>
        <v>2037.4542804435446</v>
      </c>
      <c r="AZ81" s="24">
        <f t="shared" si="107"/>
        <v>0.34601252965396506</v>
      </c>
      <c r="BA81" s="24">
        <f t="shared" si="108"/>
        <v>0.17743398169620098</v>
      </c>
      <c r="BB81" s="24">
        <f t="shared" si="110"/>
        <v>0.21749929350591909</v>
      </c>
      <c r="BC81" s="24">
        <f t="shared" si="109"/>
        <v>6858.5945797245022</v>
      </c>
      <c r="BD81" s="1">
        <f t="shared" si="111"/>
        <v>0.26014568158168572</v>
      </c>
      <c r="BE81" s="1">
        <f t="shared" si="112"/>
        <v>0.15690996496390208</v>
      </c>
      <c r="BF81" s="1">
        <f t="shared" si="113"/>
        <v>0.17743398169620098</v>
      </c>
      <c r="BG81" s="1">
        <f t="shared" si="114"/>
        <v>7.2512782151591987E-2</v>
      </c>
    </row>
    <row r="82" spans="1:59" ht="12.75" customHeight="1" x14ac:dyDescent="0.2">
      <c r="A82" s="1">
        <v>1E-3</v>
      </c>
      <c r="B82" s="1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5"/>
      <c r="N82" s="12"/>
      <c r="O82" s="14"/>
      <c r="P82" s="13"/>
      <c r="Q82" s="12"/>
      <c r="R82" s="11" t="str">
        <f t="shared" si="77"/>
        <v/>
      </c>
      <c r="T82" s="10" t="str">
        <f t="shared" si="78"/>
        <v/>
      </c>
      <c r="U82" s="23"/>
      <c r="V82" s="22"/>
      <c r="W82" s="22"/>
      <c r="X82" s="22"/>
      <c r="Y82" s="9" t="str">
        <f t="shared" si="83"/>
        <v/>
      </c>
      <c r="Z82" s="8" t="str">
        <f t="shared" si="84"/>
        <v/>
      </c>
      <c r="AA82" s="8" t="str">
        <f t="shared" si="85"/>
        <v/>
      </c>
      <c r="AB82" s="7" t="str">
        <f t="shared" si="86"/>
        <v/>
      </c>
    </row>
    <row r="83" spans="1:59" ht="12.75" customHeight="1" x14ac:dyDescent="0.2">
      <c r="A83" s="1">
        <v>1E-3</v>
      </c>
      <c r="B83" s="1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5"/>
      <c r="N83" s="12"/>
      <c r="O83" s="14"/>
      <c r="P83" s="13"/>
      <c r="Q83" s="12"/>
      <c r="R83" s="11" t="str">
        <f t="shared" si="77"/>
        <v/>
      </c>
      <c r="T83" s="10" t="str">
        <f t="shared" si="78"/>
        <v/>
      </c>
      <c r="U83" s="10" t="str">
        <f>IF(ISNUMBER(D83),1.15290498E-12*(X83^6)-3.5879038802E-10*(X83^5)+4.710833256816E-08*(X83^4)-3.38194190874219E-06*(X83^3)+0.000148978977392744*(X83^2)-0.00373903643230733*(X83)+4.21734712411944,"")</f>
        <v/>
      </c>
      <c r="V83" s="5" t="str">
        <f>IF(ISNUMBER(C83),AVERAGE(C83,D83),"")</f>
        <v/>
      </c>
      <c r="W83" s="9" t="str">
        <f>IF(ISNUMBER(F83),-0.0000002301*(V83^4)+0.0000569866*(V83^3)-0.0082923226*(V83^2)+0.0654036947*V83+999.8017570756,"")</f>
        <v/>
      </c>
      <c r="X83" s="5" t="str">
        <f>IF(ISNUMBER(E83),AVERAGE(E83,F83),"")</f>
        <v/>
      </c>
      <c r="Y83" s="9" t="str">
        <f t="shared" si="83"/>
        <v/>
      </c>
      <c r="Z83" s="8" t="str">
        <f t="shared" si="84"/>
        <v/>
      </c>
      <c r="AA83" s="8" t="str">
        <f t="shared" si="85"/>
        <v/>
      </c>
      <c r="AB83" s="7" t="str">
        <f t="shared" si="86"/>
        <v/>
      </c>
      <c r="AC83" s="21" t="s">
        <v>186</v>
      </c>
      <c r="AD83" s="21"/>
      <c r="AE83" s="20">
        <f t="shared" ref="AE83:AN83" si="115">AVERAGE(AE2:AE81)</f>
        <v>655.4526907645519</v>
      </c>
      <c r="AF83" s="20">
        <f t="shared" si="115"/>
        <v>510.9273055620755</v>
      </c>
      <c r="AG83" s="20">
        <f t="shared" si="115"/>
        <v>144.52538520247643</v>
      </c>
      <c r="AH83" s="20">
        <f t="shared" si="115"/>
        <v>77.122350913758837</v>
      </c>
      <c r="AI83" s="20">
        <f t="shared" si="115"/>
        <v>5.7545077095205324</v>
      </c>
      <c r="AJ83" s="20">
        <f t="shared" si="115"/>
        <v>20.038101861904856</v>
      </c>
      <c r="AK83" s="20">
        <f t="shared" si="115"/>
        <v>12.896304785712697</v>
      </c>
      <c r="AL83" s="20" t="e">
        <f t="shared" si="115"/>
        <v>#DIV/0!</v>
      </c>
      <c r="AM83" s="20">
        <f t="shared" si="115"/>
        <v>25.309199884536206</v>
      </c>
      <c r="AN83" s="20">
        <f t="shared" si="115"/>
        <v>617.06526179385946</v>
      </c>
      <c r="AO83" s="20"/>
      <c r="AP83" s="18">
        <f t="shared" ref="AP83:AX83" si="116">AVERAGE(AP2:AP81)</f>
        <v>1597.2987889733595</v>
      </c>
      <c r="AQ83" s="18">
        <f t="shared" si="116"/>
        <v>1009.4339751583632</v>
      </c>
      <c r="AR83" s="19">
        <f t="shared" si="116"/>
        <v>5.6221405029296858E-4</v>
      </c>
      <c r="AS83" s="18">
        <f t="shared" si="116"/>
        <v>27181.808069240215</v>
      </c>
      <c r="AT83" s="18">
        <f t="shared" si="116"/>
        <v>3.690958865356444</v>
      </c>
      <c r="AU83" s="18">
        <f t="shared" si="116"/>
        <v>0.64130790893554668</v>
      </c>
      <c r="AV83" s="18">
        <f t="shared" si="116"/>
        <v>139.19805716847787</v>
      </c>
      <c r="AW83" s="18">
        <f t="shared" si="116"/>
        <v>262.7714398725999</v>
      </c>
      <c r="AX83" s="18">
        <f t="shared" si="116"/>
        <v>109.57434701590076</v>
      </c>
      <c r="AY83" s="18"/>
      <c r="AZ83" s="18">
        <f>AVERAGE(AZ2:AZ81)</f>
        <v>0.23890351861190781</v>
      </c>
      <c r="BA83" s="18">
        <f>AVERAGE(BA2:BA81)</f>
        <v>0.48270554254710241</v>
      </c>
      <c r="BB83" s="18">
        <f>AVERAGE(BB2:BB81)</f>
        <v>0.13631491401204218</v>
      </c>
      <c r="BC83" s="17">
        <f>AVERAGE(BC2:BC81)</f>
        <v>4902.3460427763466</v>
      </c>
    </row>
    <row r="84" spans="1:59" ht="12.75" customHeight="1" x14ac:dyDescent="0.2">
      <c r="A84" s="1">
        <v>1E-3</v>
      </c>
      <c r="B84" s="1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5"/>
      <c r="N84" s="12"/>
      <c r="O84" s="14"/>
      <c r="P84" s="13"/>
      <c r="Q84" s="12"/>
      <c r="R84" s="11" t="str">
        <f t="shared" si="77"/>
        <v/>
      </c>
      <c r="T84" s="10" t="str">
        <f t="shared" si="78"/>
        <v/>
      </c>
      <c r="U84" s="10" t="str">
        <f>IF(ISNUMBER(D84),1.15290498E-12*(X84^6)-3.5879038802E-10*(X84^5)+4.710833256816E-08*(X84^4)-3.38194190874219E-06*(X84^3)+0.000148978977392744*(X84^2)-0.00373903643230733*(X84)+4.21734712411944,"")</f>
        <v/>
      </c>
      <c r="V84" s="5" t="str">
        <f>IF(ISNUMBER(C84),AVERAGE(C84,D84),"")</f>
        <v/>
      </c>
      <c r="W84" s="9" t="str">
        <f>IF(ISNUMBER(F84),-0.0000002301*(V84^4)+0.0000569866*(V84^3)-0.0082923226*(V84^2)+0.0654036947*V84+999.8017570756,"")</f>
        <v/>
      </c>
      <c r="X84" s="5" t="str">
        <f>IF(ISNUMBER(E84),AVERAGE(E84,F84),"")</f>
        <v/>
      </c>
      <c r="Y84" s="9" t="str">
        <f t="shared" si="83"/>
        <v/>
      </c>
      <c r="Z84" s="8" t="str">
        <f t="shared" si="84"/>
        <v/>
      </c>
      <c r="AA84" s="8" t="str">
        <f t="shared" si="85"/>
        <v/>
      </c>
      <c r="AB84" s="7" t="str">
        <f t="shared" si="86"/>
        <v/>
      </c>
      <c r="AC84" s="7"/>
      <c r="AD84" s="7"/>
      <c r="AE84" s="6" t="str">
        <f>IF(SUM($A$1:$A$1000)=0,IF(ROW($A84)=6,"Hidden",""),IF(ISNUMBER(AB84),AB84*T84*ABS(Z84)*1000,""))</f>
        <v/>
      </c>
      <c r="AF84" s="6" t="str">
        <f>IF(SUM($A$1:$A$1000)=0,IF(ROW($A84)=6,"Hidden",""),IF(ISNUMBER(AC84),AC84*U84*AA84*1000,""))</f>
        <v/>
      </c>
      <c r="AG84" s="6" t="str">
        <f>IF(SUM($A$1:$A$1000)=0,IF(ROW($A84)=6,"Hidden",""),IF(ISNUMBER(AE84),AE84-AF84,""))</f>
        <v/>
      </c>
      <c r="AH84" s="6" t="str">
        <f>IF(SUM($A$1:$A$1000)=0,IF(ROW($A84)=6,"Hidden",""),IF(ISNUMBER(AE84),IF(AE84=0,0,AF84*100/AE84),""))</f>
        <v/>
      </c>
      <c r="AI84" s="6" t="str">
        <f>IF(SUM($A$1:$A$1000)=0,IF(ROW($A84)=6,"Hidden",""),IF(ISNUMBER(C84),IF(R84="cocurrent",IF((D84=E84),0,(D84-C84)*100/(D84-E84)),IF((C84=E84),0,(C84-D84)*100/(C84-E84))),""))</f>
        <v/>
      </c>
      <c r="AJ84" s="6" t="str">
        <f>IF(SUM($A$1:$A$1000)=0,IF(ROW($A84)=6,"Hidden",""),IF(ISNUMBER(C84),IF(R84="cocurrent",IF(C84=E84,0,(F84-E84)*100/(D84-E84)),IF(C84=E84,0,(F84-E84)*100/(C84-E84))),""))</f>
        <v/>
      </c>
      <c r="AK84" s="6" t="str">
        <f>IF(SUM($A$1:$A$1000)=0,IF(ROW($A84)=6,"Hidden",""),IF(ISNUMBER(AI84),(AI84+AJ84)/2,""))</f>
        <v/>
      </c>
      <c r="AL84" s="5">
        <f>IF(C84=F84,0,(D84-E84)/(C84-F84))</f>
        <v>0</v>
      </c>
      <c r="AM84" s="4" t="str">
        <f>IF(ISNUMBER(F84),IF(OR(AL84&lt;=0,AL84=1),0,((D84-E84)-(C84-F84))/LN(AL84)),"")</f>
        <v/>
      </c>
      <c r="AN84" s="4" t="str">
        <f>IF(ISNUMBER(AM84),IF(AM84=0,0,(AB84*T84*Z84*1000)/(PI()*0.006*1.008*AM84)),"")</f>
        <v/>
      </c>
      <c r="AO84" s="3" t="str">
        <f>IF(ISNUMBER(A84),IF(ROW(A84)=2,1-(A84/13),""),"")</f>
        <v/>
      </c>
      <c r="AP84" s="3"/>
      <c r="AQ84" s="3"/>
      <c r="BC84" s="2"/>
    </row>
    <row r="85" spans="1:59" ht="12.75" customHeight="1" x14ac:dyDescent="0.2">
      <c r="A85" s="1">
        <v>1E-3</v>
      </c>
      <c r="B85" s="1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5"/>
      <c r="N85" s="12"/>
      <c r="O85" s="14"/>
      <c r="P85" s="13"/>
      <c r="Q85" s="12"/>
      <c r="R85" s="11" t="str">
        <f t="shared" si="77"/>
        <v/>
      </c>
      <c r="T85" s="10" t="str">
        <f t="shared" si="78"/>
        <v/>
      </c>
      <c r="U85" s="10" t="str">
        <f>IF(ISNUMBER(D85),1.15290498E-12*(X85^6)-3.5879038802E-10*(X85^5)+4.710833256816E-08*(X85^4)-3.38194190874219E-06*(X85^3)+0.000148978977392744*(X85^2)-0.00373903643230733*(X85)+4.21734712411944,"")</f>
        <v/>
      </c>
      <c r="V85" s="5" t="str">
        <f>IF(ISNUMBER(C85),AVERAGE(C85,D85),"")</f>
        <v/>
      </c>
      <c r="W85" s="9" t="str">
        <f>IF(ISNUMBER(F85),-0.0000002301*(V85^4)+0.0000569866*(V85^3)-0.0082923226*(V85^2)+0.0654036947*V85+999.8017570756,"")</f>
        <v/>
      </c>
      <c r="X85" s="5" t="str">
        <f>IF(ISNUMBER(E85),AVERAGE(E85,F85),"")</f>
        <v/>
      </c>
      <c r="Y85" s="9" t="str">
        <f t="shared" si="83"/>
        <v/>
      </c>
      <c r="Z85" s="8" t="str">
        <f t="shared" si="84"/>
        <v/>
      </c>
      <c r="AA85" s="8" t="str">
        <f t="shared" si="85"/>
        <v/>
      </c>
      <c r="AB85" s="7" t="str">
        <f t="shared" si="86"/>
        <v/>
      </c>
      <c r="AC85" s="7" t="str">
        <f>IF(ISNUMBER(P85),P85*Y85/(1000*60),"")</f>
        <v/>
      </c>
      <c r="AD85" s="7"/>
      <c r="AE85" s="6" t="str">
        <f>IF(SUM($A$1:$A$1000)=0,IF(ROW($A85)=6,"Hidden",""),IF(ISNUMBER(AB85),AB85*T85*ABS(Z85)*1000,""))</f>
        <v/>
      </c>
      <c r="AF85" s="6" t="str">
        <f>IF(SUM($A$1:$A$1000)=0,IF(ROW($A85)=6,"Hidden",""),IF(ISNUMBER(AC85),AC85*U85*AA85*1000,""))</f>
        <v/>
      </c>
      <c r="AG85" s="6" t="str">
        <f>IF(SUM($A$1:$A$1000)=0,IF(ROW($A85)=6,"Hidden",""),IF(ISNUMBER(AE85),AE85-AF85,""))</f>
        <v/>
      </c>
      <c r="AH85" s="6" t="str">
        <f>IF(SUM($A$1:$A$1000)=0,IF(ROW($A85)=6,"Hidden",""),IF(ISNUMBER(AE85),IF(AE85=0,0,AF85*100/AE85),""))</f>
        <v/>
      </c>
      <c r="AI85" s="6" t="str">
        <f>IF(SUM($A$1:$A$1000)=0,IF(ROW($A85)=6,"Hidden",""),IF(ISNUMBER(C85),IF(R85="cocurrent",IF((D85=E85),0,(D85-C85)*100/(D85-E85)),IF((C85=E85),0,(C85-D85)*100/(C85-E85))),""))</f>
        <v/>
      </c>
      <c r="AJ85" s="6" t="str">
        <f>IF(SUM($A$1:$A$1000)=0,IF(ROW($A85)=6,"Hidden",""),IF(ISNUMBER(C85),IF(R85="cocurrent",IF(C85=E85,0,(F85-E85)*100/(D85-E85)),IF(C85=E85,0,(F85-E85)*100/(C85-E85))),""))</f>
        <v/>
      </c>
      <c r="AK85" s="6" t="str">
        <f>IF(SUM($A$1:$A$1000)=0,IF(ROW($A85)=6,"Hidden",""),IF(ISNUMBER(AI85),(AI85+AJ85)/2,""))</f>
        <v/>
      </c>
      <c r="AL85" s="5">
        <f>IF(C85=F85,0,(D85-E85)/(C85-F85))</f>
        <v>0</v>
      </c>
      <c r="AM85" s="4" t="str">
        <f>IF(ISNUMBER(F85),IF(OR(AL85&lt;=0,AL85=1),0,((D85-E85)-(C85-F85))/LN(AL85)),"")</f>
        <v/>
      </c>
      <c r="AN85" s="4" t="str">
        <f>IF(ISNUMBER(AM85),IF(AM85=0,0,(AB85*T85*Z85*1000)/(PI()*0.006*1.008*AM85)),"")</f>
        <v/>
      </c>
      <c r="AO85" s="3" t="str">
        <f>IF(ISNUMBER(A85),IF(ROW(A85)=2,1-(A85/13),""),"")</f>
        <v/>
      </c>
      <c r="AP85" s="3"/>
      <c r="AQ85" s="3"/>
      <c r="BC85" s="2"/>
    </row>
    <row r="86" spans="1:59" ht="12.75" customHeight="1" x14ac:dyDescent="0.2">
      <c r="A86" s="1">
        <v>1E-3</v>
      </c>
      <c r="B86" s="1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5"/>
      <c r="N86" s="12"/>
      <c r="O86" s="14"/>
      <c r="P86" s="13"/>
      <c r="Q86" s="12"/>
      <c r="R86" s="11" t="str">
        <f t="shared" si="77"/>
        <v/>
      </c>
      <c r="T86" s="10" t="str">
        <f t="shared" si="78"/>
        <v/>
      </c>
      <c r="U86" s="10" t="str">
        <f>IF(ISNUMBER(D86),1.15290498E-12*(X86^6)-3.5879038802E-10*(X86^5)+4.710833256816E-08*(X86^4)-3.38194190874219E-06*(X86^3)+0.000148978977392744*(X86^2)-0.00373903643230733*(X86)+4.21734712411944,"")</f>
        <v/>
      </c>
      <c r="V86" s="5" t="str">
        <f>IF(ISNUMBER(C86),AVERAGE(C86,D86),"")</f>
        <v/>
      </c>
      <c r="W86" s="9" t="str">
        <f>IF(ISNUMBER(F86),-0.0000002301*(V86^4)+0.0000569866*(V86^3)-0.0082923226*(V86^2)+0.0654036947*V86+999.8017570756,"")</f>
        <v/>
      </c>
      <c r="X86" s="5" t="str">
        <f>IF(ISNUMBER(E86),AVERAGE(E86,F86),"")</f>
        <v/>
      </c>
      <c r="Y86" s="9" t="str">
        <f t="shared" si="83"/>
        <v/>
      </c>
      <c r="Z86" s="8" t="str">
        <f t="shared" si="84"/>
        <v/>
      </c>
      <c r="AA86" s="8" t="str">
        <f t="shared" si="85"/>
        <v/>
      </c>
      <c r="AB86" s="7" t="str">
        <f t="shared" si="86"/>
        <v/>
      </c>
      <c r="AC86" s="7" t="str">
        <f>IF(ISNUMBER(P86),P86*Y86/(1000*60),"")</f>
        <v/>
      </c>
      <c r="AD86" s="7"/>
      <c r="AE86" s="6" t="str">
        <f>IF(SUM($A$1:$A$1000)=0,IF(ROW($A86)=6,"Hidden",""),IF(ISNUMBER(AB86),AB86*T86*ABS(Z86)*1000,""))</f>
        <v/>
      </c>
      <c r="AF86" s="6" t="str">
        <f>IF(SUM($A$1:$A$1000)=0,IF(ROW($A86)=6,"Hidden",""),IF(ISNUMBER(AC86),AC86*U86*AA86*1000,""))</f>
        <v/>
      </c>
      <c r="AG86" s="6" t="str">
        <f>IF(SUM($A$1:$A$1000)=0,IF(ROW($A86)=6,"Hidden",""),IF(ISNUMBER(AE86),AE86-AF86,""))</f>
        <v/>
      </c>
      <c r="AH86" s="6" t="str">
        <f>IF(SUM($A$1:$A$1000)=0,IF(ROW($A86)=6,"Hidden",""),IF(ISNUMBER(AE86),IF(AE86=0,0,AF86*100/AE86),""))</f>
        <v/>
      </c>
      <c r="AI86" s="16" t="s">
        <v>187</v>
      </c>
      <c r="AJ86" s="16" t="s">
        <v>188</v>
      </c>
      <c r="AK86" s="6" t="str">
        <f>IF(SUM($A$1:$A$1000)=0,IF(ROW($A86)=6,"Hidden",""),IF(ISNUMBER(#REF!),(#REF!+#REF!)/2,""))</f>
        <v/>
      </c>
      <c r="AL86" s="5">
        <f>IF(C86=F86,0,(D86-E86)/(C86-F86))</f>
        <v>0</v>
      </c>
      <c r="AM86" s="4" t="str">
        <f>IF(ISNUMBER(F86),IF(OR(AL86&lt;=0,AL86=1),0,((D86-E86)-(C86-F86))/LN(AL86)),"")</f>
        <v/>
      </c>
      <c r="AN86" s="4" t="str">
        <f>IF(ISNUMBER(AM86),IF(AM86=0,0,(AB86*T86*Z86*1000)/(PI()*0.006*1.008*AM86)),"")</f>
        <v/>
      </c>
      <c r="AO86" s="3" t="str">
        <f>IF(ISNUMBER(A86),IF(ROW(A86)=2,1-(A86/13),""),"")</f>
        <v/>
      </c>
      <c r="AP86" s="3"/>
      <c r="AQ86" s="3"/>
      <c r="BC86" s="2"/>
    </row>
    <row r="87" spans="1:59" ht="12.75" customHeight="1" x14ac:dyDescent="0.2">
      <c r="A87" s="1">
        <v>1E-3</v>
      </c>
      <c r="B87" s="1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5"/>
      <c r="N87" s="12"/>
      <c r="O87" s="14"/>
      <c r="P87" s="13"/>
      <c r="Q87" s="12"/>
      <c r="R87" s="11" t="str">
        <f t="shared" si="77"/>
        <v/>
      </c>
      <c r="T87" s="10" t="str">
        <f t="shared" si="78"/>
        <v/>
      </c>
      <c r="U87" s="10" t="str">
        <f>IF(ISNUMBER(D87),1.15290498E-12*(X87^6)-3.5879038802E-10*(X87^5)+4.710833256816E-08*(X87^4)-3.38194190874219E-06*(X87^3)+0.000148978977392744*(X87^2)-0.00373903643230733*(X87)+4.21734712411944,"")</f>
        <v/>
      </c>
      <c r="V87" s="5" t="str">
        <f>IF(ISNUMBER(C87),AVERAGE(C87,D87),"")</f>
        <v/>
      </c>
      <c r="W87" s="9" t="str">
        <f>IF(ISNUMBER(F87),-0.0000002301*(V87^4)+0.0000569866*(V87^3)-0.0082923226*(V87^2)+0.0654036947*V87+999.8017570756,"")</f>
        <v/>
      </c>
      <c r="X87" s="5" t="str">
        <f>IF(ISNUMBER(E87),AVERAGE(E87,F87),"")</f>
        <v/>
      </c>
      <c r="Y87" s="9" t="str">
        <f t="shared" si="83"/>
        <v/>
      </c>
      <c r="Z87" s="8" t="str">
        <f t="shared" si="84"/>
        <v/>
      </c>
      <c r="AA87" s="8" t="str">
        <f t="shared" si="85"/>
        <v/>
      </c>
      <c r="AB87" s="7" t="str">
        <f t="shared" si="86"/>
        <v/>
      </c>
      <c r="AC87" s="7" t="str">
        <f>IF(ISNUMBER(P87),P87*Y87/(1000*60),"")</f>
        <v/>
      </c>
      <c r="AD87" s="7"/>
      <c r="AE87" s="6" t="str">
        <f>IF(SUM($A$1:$A$1000)=0,IF(ROW($A87)=6,"Hidden",""),IF(ISNUMBER(AB87),AB87*T87*ABS(Z87)*1000,""))</f>
        <v/>
      </c>
      <c r="AF87" s="6" t="str">
        <f>IF(SUM($A$1:$A$1000)=0,IF(ROW($A87)=6,"Hidden",""),IF(ISNUMBER(AC87),AC87*U87*AA87*1000,""))</f>
        <v/>
      </c>
      <c r="AG87" s="6" t="str">
        <f>IF(SUM($A$1:$A$1000)=0,IF(ROW($A87)=6,"Hidden",""),IF(ISNUMBER(AE87),AE87-AF87,""))</f>
        <v/>
      </c>
      <c r="AH87" s="6" t="str">
        <f>IF(SUM($A$1:$A$1000)=0,IF(ROW($A87)=6,"Hidden",""),IF(ISNUMBER(AE87),IF(AE87=0,0,AF87*100/AE87),""))</f>
        <v/>
      </c>
      <c r="AI87" s="1">
        <f>7*PI()*(0.00515)*0.144</f>
        <v>1.6308635783315331E-2</v>
      </c>
      <c r="AJ87" s="1">
        <f>7*PI()*0.00635*0.144</f>
        <v>2.0108706257097545E-2</v>
      </c>
      <c r="AK87" s="6" t="str">
        <f>IF(SUM($A$1:$A$1000)=0,IF(ROW($A87)=6,"Hidden",""),IF(ISNUMBER(#REF!),(#REF!+#REF!)/2,""))</f>
        <v/>
      </c>
      <c r="AL87" s="5">
        <f>IF(C87=F87,0,(D87-E87)/(C87-F87))</f>
        <v>0</v>
      </c>
      <c r="AM87" s="4" t="str">
        <f>IF(ISNUMBER(F87),IF(OR(AL87&lt;=0,AL87=1),0,((D87-E87)-(C87-F87))/LN(AL87)),"")</f>
        <v/>
      </c>
      <c r="AN87" s="4" t="s">
        <v>189</v>
      </c>
      <c r="AO87" s="3" t="str">
        <f>IF(ISNUMBER(A87),IF(ROW(A87)=2,1-(A87/13),""),"")</f>
        <v/>
      </c>
      <c r="AP87" s="3"/>
      <c r="AQ87" s="3"/>
      <c r="BC87" s="2"/>
    </row>
  </sheetData>
  <printOptions gridLines="1"/>
  <pageMargins left="0.75" right="0.75" top="1" bottom="1" header="0.5" footer="0.5"/>
  <pageSetup orientation="landscape" r:id="rId1"/>
  <headerFooter alignWithMargins="0">
    <oddHeader>HT33-XC-304 Shell and Tube Heat Exchanger - Run 2 Results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</vt:lpstr>
      <vt:lpstr>Tube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Marie-Louise Lwamba</dc:creator>
  <cp:keywords/>
  <dc:description/>
  <cp:lastModifiedBy>Angelo Stankov</cp:lastModifiedBy>
  <cp:revision/>
  <dcterms:created xsi:type="dcterms:W3CDTF">2015-06-05T18:17:20Z</dcterms:created>
  <dcterms:modified xsi:type="dcterms:W3CDTF">2023-05-17T08:51:35Z</dcterms:modified>
  <cp:category/>
  <cp:contentStatus/>
</cp:coreProperties>
</file>