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20" activeTab="3"/>
  </bookViews>
  <sheets>
    <sheet name="Glossary" sheetId="2" r:id="rId1"/>
    <sheet name="Forecast Assumptions" sheetId="1" r:id="rId2"/>
    <sheet name="P&amp;L Forecast" sheetId="3" r:id="rId3"/>
    <sheet name="Cash Flow Forecast" sheetId="4" r:id="rId4"/>
  </sheets>
  <definedNames>
    <definedName name="_xlnm.Print_Area" localSheetId="3">'Cash Flow Forecast'!$A$1:$J$26</definedName>
    <definedName name="_xlnm.Print_Area" localSheetId="1">'Forecast Assumptions'!$A$1:$J$48</definedName>
    <definedName name="_xlnm.Print_Area" localSheetId="0">Glossary!$A$1:$D$18</definedName>
    <definedName name="_xlnm.Print_Area" localSheetId="2">'P&amp;L Forecast'!$A$1:$J$40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<sst xmlns="http://schemas.openxmlformats.org/spreadsheetml/2006/main" count="184" uniqueCount="92">
  <si>
    <t>Glossary</t>
  </si>
  <si>
    <t>Term</t>
  </si>
  <si>
    <t>Definition</t>
  </si>
  <si>
    <t>Amortization</t>
  </si>
  <si>
    <t>An annual amount representing the allocation of the cost 
of an intangible asset over a period of time.</t>
  </si>
  <si>
    <t>Capital Expenditure (CapEx)</t>
  </si>
  <si>
    <t>Money spent by a company on acquiring or maintaining 
fixed assets such as property, plant and equipment.</t>
  </si>
  <si>
    <t>Cost of Goods Sold (COGS)</t>
  </si>
  <si>
    <r>
      <rPr>
        <sz val="10"/>
        <color theme="1"/>
        <rFont val="Arial"/>
        <charset val="134"/>
      </rPr>
      <t xml:space="preserve">The direct costs of producing the goods sold by a 
company. Examples include the cost of raw materials, distribution and labor </t>
    </r>
    <r>
      <rPr>
        <i/>
        <sz val="10"/>
        <color theme="1"/>
        <rFont val="Arial"/>
        <charset val="134"/>
      </rPr>
      <t xml:space="preserve">directly </t>
    </r>
    <r>
      <rPr>
        <sz val="10"/>
        <color theme="1"/>
        <rFont val="Arial"/>
        <charset val="134"/>
      </rPr>
      <t>involved in the production of the goods.</t>
    </r>
  </si>
  <si>
    <t>Depreciation</t>
  </si>
  <si>
    <t>An annual amount representing the allocation of the cost 
of an tangible asset over a period of time.</t>
  </si>
  <si>
    <t>Dividend Payout Ratio</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</si>
  <si>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</si>
  <si>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EBITDA</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</si>
  <si>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</si>
  <si>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EBIT</t>
  </si>
  <si>
    <t>A company's earnings before interest and taxes (EBIT) is an financial metric that includes all income and expenses, except net interest expense and income tax. It is another common proxy for a company's operational profitability.</t>
  </si>
  <si>
    <t>F9 Key (Calculate the Workbook) / Fn+F9 on Mac</t>
  </si>
  <si>
    <t>Within large Excel files, at times, the file can freeze and not 
calculate a new formula or change for some time. In this case, hit the F9 key which should cause the workbook to calculate.</t>
  </si>
  <si>
    <t>Inventory Days</t>
  </si>
  <si>
    <t>The average number of days that a company holds its 
inventory before selling it. The lower the number, the more efficient the company is at selling its stock.</t>
  </si>
  <si>
    <t>Net Working Capital (NWC)</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</si>
  <si>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</si>
  <si>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Operating Expenses (OpEx)</t>
  </si>
  <si>
    <t>An operating expense is an ongoing cost incurred in 
running a business, that is not a direct cost. Examples include head office costs, general and administrative costs, and centralised marketing costs.</t>
  </si>
  <si>
    <t>Payable Days</t>
  </si>
  <si>
    <t>The average number of days that a company takes to pay its suppliers. Also known as Days Payable Outstanding (DPO). The higher the number, the longer it takes the company to pay its suppliers.</t>
  </si>
  <si>
    <t>Receivable Days</t>
  </si>
  <si>
    <t>The average number of days that it takes a company to collect payment after a sale has been made. Also known as Days Sales Outstanding (DSO). The lower the number, the quicker it is for the company to get paid.</t>
  </si>
  <si>
    <t>Forecast Assumptions</t>
  </si>
  <si>
    <t>Dec-YE</t>
  </si>
  <si>
    <t>Unit</t>
  </si>
  <si>
    <t>*</t>
  </si>
  <si>
    <t>Revenue</t>
  </si>
  <si>
    <t>Cupcakes</t>
  </si>
  <si>
    <t>Number of Units Sold</t>
  </si>
  <si>
    <t>#</t>
  </si>
  <si>
    <t>Average Sale Price</t>
  </si>
  <si>
    <t>$</t>
  </si>
  <si>
    <t>Ice Cream</t>
  </si>
  <si>
    <t>Drinks</t>
  </si>
  <si>
    <t>Costs</t>
  </si>
  <si>
    <t>COGS per Cupcake</t>
  </si>
  <si>
    <t>COGS per Ice Cream</t>
  </si>
  <si>
    <t>COGS per Drink</t>
  </si>
  <si>
    <t>Staff Costs</t>
  </si>
  <si>
    <t>Occupancy Costs</t>
  </si>
  <si>
    <t>Marketing Costs</t>
  </si>
  <si>
    <t>Other Costs</t>
  </si>
  <si>
    <t>Depreciation &amp; Amortization (D&amp;A)</t>
  </si>
  <si>
    <t>Annual D&amp;A</t>
  </si>
  <si>
    <t>% of revenue</t>
  </si>
  <si>
    <t>Cash Flow</t>
  </si>
  <si>
    <t>Net Capital Expenditure (Capex)</t>
  </si>
  <si>
    <t>Change in Net Working Capital (NWC)</t>
  </si>
  <si>
    <t>%</t>
  </si>
  <si>
    <t>Other</t>
  </si>
  <si>
    <t>Tax Rate</t>
  </si>
  <si>
    <t>Debt Interest Rate</t>
  </si>
  <si>
    <t>Cash Interest Rate</t>
  </si>
  <si>
    <t>END</t>
  </si>
  <si>
    <t>P&amp;L Forecast</t>
  </si>
  <si>
    <t>Cupcakes Revenue</t>
  </si>
  <si>
    <t>Ice Cream Revenue</t>
  </si>
  <si>
    <t>Drinks Revenue</t>
  </si>
  <si>
    <t>Total Revenue</t>
  </si>
  <si>
    <t>Growth</t>
  </si>
  <si>
    <t>Cupcakes COGS</t>
  </si>
  <si>
    <t>Ice Cream COGS</t>
  </si>
  <si>
    <t>Drinks COGS</t>
  </si>
  <si>
    <t>Gross Profit</t>
  </si>
  <si>
    <t>Margin</t>
  </si>
  <si>
    <t>D&amp;A</t>
  </si>
  <si>
    <t>EBIT (Operating Income)</t>
  </si>
  <si>
    <t>Net Interest</t>
  </si>
  <si>
    <t>Profit Before Tax (PBT)</t>
  </si>
  <si>
    <t>Tax Expense</t>
  </si>
  <si>
    <t>Net Profit After Tax (NPAT)</t>
  </si>
  <si>
    <t>Gross Dividends</t>
  </si>
  <si>
    <t>Cash Flow Forecast</t>
  </si>
  <si>
    <t>Taxes</t>
  </si>
  <si>
    <t>Change in NWC</t>
  </si>
  <si>
    <t>Net Capex</t>
  </si>
  <si>
    <t>Dividends</t>
  </si>
  <si>
    <t>Net Cash Flow</t>
  </si>
  <si>
    <t>Debt Repayment</t>
  </si>
  <si>
    <t>Cash to Balance Sheet</t>
  </si>
  <si>
    <t>Opening Cash</t>
  </si>
  <si>
    <t>Closing Cash</t>
  </si>
  <si>
    <t>Supporting Debt Schedule</t>
  </si>
  <si>
    <t>Opening Debt</t>
  </si>
  <si>
    <t>Closing Debt</t>
  </si>
</sst>
</file>

<file path=xl/styles.xml><?xml version="1.0" encoding="utf-8"?>
<styleSheet xmlns="http://schemas.openxmlformats.org/spreadsheetml/2006/main" xmlns:mc="http://schemas.openxmlformats.org/markup-compatibility/2006" xmlns:xr9="http://schemas.microsoft.com/office/spreadsheetml/2016/revision9" mc:Ignorable="xr9">
  <numFmts count="10">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quot;FY&quot;yy&quot;A&quot;"/>
    <numFmt numFmtId="179" formatCode="&quot;FY&quot;yy&quot;E&quot;"/>
    <numFmt numFmtId="180" formatCode="#,##0;\(#,##0\);\-"/>
    <numFmt numFmtId="181" formatCode="0%;\(0%\);\-"/>
    <numFmt numFmtId="182" formatCode="#,##0.00;\(#,##0.00\);\-"/>
    <numFmt numFmtId="183" formatCode="0.0%;\(0.0%\);\-"/>
  </numFmts>
  <fonts count="31">
    <font>
      <sz val="11"/>
      <color theme="1"/>
      <name val="Calibri"/>
      <charset val="134"/>
      <scheme val="minor"/>
    </font>
    <font>
      <sz val="12"/>
      <color theme="1"/>
      <name val="Arial"/>
      <charset val="134"/>
    </font>
    <font>
      <sz val="10"/>
      <color theme="1"/>
      <name val="Arial"/>
      <charset val="134"/>
    </font>
    <font>
      <b/>
      <sz val="14"/>
      <color theme="0"/>
      <name val="Arial"/>
      <charset val="134"/>
    </font>
    <font>
      <b/>
      <sz val="10"/>
      <color theme="0"/>
      <name val="Arial"/>
      <charset val="134"/>
    </font>
    <font>
      <b/>
      <sz val="10"/>
      <color theme="1"/>
      <name val="Arial"/>
      <charset val="134"/>
    </font>
    <font>
      <b/>
      <sz val="10"/>
      <name val="Arial"/>
      <charset val="134"/>
    </font>
    <font>
      <i/>
      <sz val="10"/>
      <color theme="1"/>
      <name val="Arial"/>
      <charset val="134"/>
    </font>
    <font>
      <b/>
      <u/>
      <sz val="10"/>
      <color theme="1"/>
      <name val="Arial"/>
      <charset val="134"/>
    </font>
    <font>
      <sz val="10"/>
      <color rgb="FF0000FF"/>
      <name val="Arial"/>
      <charset val="134"/>
    </font>
    <font>
      <b/>
      <i/>
      <sz val="10"/>
      <color theme="1"/>
      <name val="Arial"/>
      <charset val="13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8">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599993896298105"/>
        <bgColor indexed="64"/>
      </patternFill>
    </fill>
    <fill>
      <patternFill patternType="solid">
        <fgColor rgb="FFBDD7EE"/>
        <bgColor indexed="64"/>
      </patternFill>
    </fill>
    <fill>
      <patternFill patternType="solid">
        <fgColor theme="8"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1" fillId="0" borderId="0" applyFont="0" applyFill="0" applyBorder="0" applyAlignment="0" applyProtection="0">
      <alignment vertical="center"/>
    </xf>
    <xf numFmtId="44" fontId="11" fillId="0" borderId="0" applyFont="0" applyFill="0" applyBorder="0" applyAlignment="0" applyProtection="0">
      <alignment vertical="center"/>
    </xf>
    <xf numFmtId="9" fontId="11" fillId="0" borderId="0" applyFont="0" applyFill="0" applyBorder="0" applyAlignment="0" applyProtection="0">
      <alignment vertical="center"/>
    </xf>
    <xf numFmtId="177" fontId="11" fillId="0" borderId="0" applyFont="0" applyFill="0" applyBorder="0" applyAlignment="0" applyProtection="0">
      <alignment vertical="center"/>
    </xf>
    <xf numFmtId="42" fontId="11" fillId="0" borderId="0" applyFon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1" fillId="7" borderId="4"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5" applyNumberFormat="0" applyFill="0" applyAlignment="0" applyProtection="0">
      <alignment vertical="center"/>
    </xf>
    <xf numFmtId="0" fontId="18" fillId="0" borderId="5" applyNumberFormat="0" applyFill="0" applyAlignment="0" applyProtection="0">
      <alignment vertical="center"/>
    </xf>
    <xf numFmtId="0" fontId="19" fillId="0" borderId="6" applyNumberFormat="0" applyFill="0" applyAlignment="0" applyProtection="0">
      <alignment vertical="center"/>
    </xf>
    <xf numFmtId="0" fontId="19" fillId="0" borderId="0" applyNumberFormat="0" applyFill="0" applyBorder="0" applyAlignment="0" applyProtection="0">
      <alignment vertical="center"/>
    </xf>
    <xf numFmtId="0" fontId="20" fillId="8" borderId="7" applyNumberFormat="0" applyAlignment="0" applyProtection="0">
      <alignment vertical="center"/>
    </xf>
    <xf numFmtId="0" fontId="21" fillId="9" borderId="8" applyNumberFormat="0" applyAlignment="0" applyProtection="0">
      <alignment vertical="center"/>
    </xf>
    <xf numFmtId="0" fontId="22" fillId="9" borderId="7" applyNumberFormat="0" applyAlignment="0" applyProtection="0">
      <alignment vertical="center"/>
    </xf>
    <xf numFmtId="0" fontId="23" fillId="10" borderId="9" applyNumberFormat="0" applyAlignment="0" applyProtection="0">
      <alignment vertical="center"/>
    </xf>
    <xf numFmtId="0" fontId="24" fillId="0" borderId="10" applyNumberFormat="0" applyFill="0" applyAlignment="0" applyProtection="0">
      <alignment vertical="center"/>
    </xf>
    <xf numFmtId="0" fontId="25" fillId="0" borderId="11" applyNumberFormat="0" applyFill="0" applyAlignment="0" applyProtection="0">
      <alignment vertical="center"/>
    </xf>
    <xf numFmtId="0" fontId="26" fillId="11" borderId="0" applyNumberFormat="0" applyBorder="0" applyAlignment="0" applyProtection="0">
      <alignment vertical="center"/>
    </xf>
    <xf numFmtId="0" fontId="27" fillId="12" borderId="0" applyNumberFormat="0" applyBorder="0" applyAlignment="0" applyProtection="0">
      <alignment vertical="center"/>
    </xf>
    <xf numFmtId="0" fontId="28" fillId="13" borderId="0" applyNumberFormat="0" applyBorder="0" applyAlignment="0" applyProtection="0">
      <alignment vertical="center"/>
    </xf>
    <xf numFmtId="0" fontId="29"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30" fillId="27" borderId="0" applyNumberFormat="0" applyBorder="0" applyAlignment="0" applyProtection="0">
      <alignment vertical="center"/>
    </xf>
    <xf numFmtId="0" fontId="30" fillId="28" borderId="0" applyNumberFormat="0" applyBorder="0" applyAlignment="0" applyProtection="0">
      <alignment vertical="center"/>
    </xf>
    <xf numFmtId="0" fontId="29" fillId="29" borderId="0" applyNumberFormat="0" applyBorder="0" applyAlignment="0" applyProtection="0">
      <alignment vertical="center"/>
    </xf>
    <xf numFmtId="0" fontId="29" fillId="3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29" fillId="33" borderId="0" applyNumberFormat="0" applyBorder="0" applyAlignment="0" applyProtection="0">
      <alignment vertical="center"/>
    </xf>
    <xf numFmtId="0" fontId="29" fillId="34" borderId="0" applyNumberFormat="0" applyBorder="0" applyAlignment="0" applyProtection="0">
      <alignment vertical="center"/>
    </xf>
    <xf numFmtId="0" fontId="30" fillId="35" borderId="0" applyNumberFormat="0" applyBorder="0" applyAlignment="0" applyProtection="0">
      <alignment vertical="center"/>
    </xf>
    <xf numFmtId="0" fontId="30" fillId="36" borderId="0" applyNumberFormat="0" applyBorder="0" applyAlignment="0" applyProtection="0">
      <alignment vertical="center"/>
    </xf>
    <xf numFmtId="0" fontId="29" fillId="37" borderId="0" applyNumberFormat="0" applyBorder="0" applyAlignment="0" applyProtection="0">
      <alignment vertical="center"/>
    </xf>
  </cellStyleXfs>
  <cellXfs count="53">
    <xf numFmtId="0" fontId="0" fillId="0" borderId="0" xfId="0"/>
    <xf numFmtId="0" fontId="1" fillId="2" borderId="0" xfId="0" applyFont="1" applyFill="1"/>
    <xf numFmtId="0" fontId="2" fillId="3" borderId="0" xfId="0" applyFont="1" applyFill="1"/>
    <xf numFmtId="0" fontId="2" fillId="2" borderId="0" xfId="0" applyFont="1" applyFill="1"/>
    <xf numFmtId="0" fontId="2" fillId="0" borderId="0" xfId="0" applyFont="1"/>
    <xf numFmtId="0" fontId="3" fillId="2" borderId="0" xfId="0" applyFont="1" applyFill="1"/>
    <xf numFmtId="0" fontId="4" fillId="2" borderId="0" xfId="0" applyFont="1" applyFill="1"/>
    <xf numFmtId="0" fontId="5" fillId="0" borderId="1" xfId="0" applyFont="1" applyBorder="1"/>
    <xf numFmtId="0" fontId="5" fillId="0" borderId="1" xfId="0" applyFont="1" applyBorder="1" applyAlignment="1">
      <alignment horizontal="center"/>
    </xf>
    <xf numFmtId="178" fontId="5" fillId="0" borderId="1" xfId="0" applyNumberFormat="1" applyFont="1" applyFill="1" applyBorder="1" applyAlignment="1">
      <alignment horizontal="right"/>
    </xf>
    <xf numFmtId="179" fontId="5" fillId="0" borderId="1" xfId="0" applyNumberFormat="1" applyFont="1" applyBorder="1" applyAlignment="1">
      <alignment horizontal="right"/>
    </xf>
    <xf numFmtId="0" fontId="2" fillId="0" borderId="0" xfId="0" applyFont="1" applyAlignment="1">
      <alignment horizontal="right"/>
    </xf>
    <xf numFmtId="0" fontId="2" fillId="4" borderId="0" xfId="0" applyFont="1" applyFill="1"/>
    <xf numFmtId="0" fontId="2" fillId="4" borderId="0" xfId="0" applyFont="1" applyFill="1" applyAlignment="1">
      <alignment horizontal="center"/>
    </xf>
    <xf numFmtId="0" fontId="2" fillId="0" borderId="0" xfId="0" applyFont="1" applyFill="1"/>
    <xf numFmtId="180" fontId="2" fillId="4" borderId="0" xfId="0" applyNumberFormat="1" applyFont="1" applyFill="1" applyAlignment="1">
      <alignment horizontal="right"/>
    </xf>
    <xf numFmtId="180" fontId="2" fillId="5" borderId="0" xfId="0" applyNumberFormat="1" applyFont="1" applyFill="1" applyAlignment="1">
      <alignment horizontal="right"/>
    </xf>
    <xf numFmtId="0" fontId="5" fillId="0" borderId="2" xfId="0" applyFont="1" applyBorder="1"/>
    <xf numFmtId="0" fontId="5" fillId="0" borderId="2" xfId="0" applyFont="1" applyBorder="1" applyAlignment="1">
      <alignment horizontal="center"/>
    </xf>
    <xf numFmtId="0" fontId="5" fillId="0" borderId="2" xfId="0" applyFont="1" applyFill="1" applyBorder="1"/>
    <xf numFmtId="180" fontId="5" fillId="4" borderId="2" xfId="0" applyNumberFormat="1" applyFont="1" applyFill="1" applyBorder="1"/>
    <xf numFmtId="0" fontId="2" fillId="0" borderId="0" xfId="0" applyFont="1" applyBorder="1"/>
    <xf numFmtId="0" fontId="2" fillId="0" borderId="0" xfId="0" applyFont="1" applyFill="1" applyAlignment="1">
      <alignment horizontal="center"/>
    </xf>
    <xf numFmtId="0" fontId="5" fillId="0" borderId="0" xfId="0" applyFont="1" applyFill="1" applyBorder="1"/>
    <xf numFmtId="180" fontId="2" fillId="4" borderId="0" xfId="0" applyNumberFormat="1" applyFont="1" applyFill="1" applyBorder="1"/>
    <xf numFmtId="180" fontId="5" fillId="0" borderId="2" xfId="0" applyNumberFormat="1" applyFont="1" applyFill="1" applyBorder="1"/>
    <xf numFmtId="180" fontId="2" fillId="4" borderId="0" xfId="0" applyNumberFormat="1" applyFont="1" applyFill="1"/>
    <xf numFmtId="180" fontId="6" fillId="0" borderId="2" xfId="0" applyNumberFormat="1" applyFont="1" applyFill="1" applyBorder="1"/>
    <xf numFmtId="0" fontId="4" fillId="3" borderId="0" xfId="0" applyFont="1" applyFill="1"/>
    <xf numFmtId="0" fontId="2" fillId="3" borderId="0" xfId="0" applyFont="1" applyFill="1" applyAlignment="1">
      <alignment horizontal="right"/>
    </xf>
    <xf numFmtId="0" fontId="2" fillId="0" borderId="0" xfId="0" applyFont="1" applyAlignment="1">
      <alignment horizontal="center"/>
    </xf>
    <xf numFmtId="180" fontId="5" fillId="0" borderId="2" xfId="0" applyNumberFormat="1" applyFont="1" applyFill="1" applyBorder="1" applyAlignment="1">
      <alignment horizontal="right"/>
    </xf>
    <xf numFmtId="180" fontId="5" fillId="5" borderId="2" xfId="0" applyNumberFormat="1" applyFont="1" applyFill="1" applyBorder="1" applyAlignment="1">
      <alignment horizontal="right"/>
    </xf>
    <xf numFmtId="180" fontId="5" fillId="4" borderId="2" xfId="0" applyNumberFormat="1" applyFont="1" applyFill="1" applyBorder="1" applyAlignment="1">
      <alignment horizontal="right"/>
    </xf>
    <xf numFmtId="0" fontId="7" fillId="0" borderId="0" xfId="0" applyFont="1" applyAlignment="1">
      <alignment horizontal="left" indent="1"/>
    </xf>
    <xf numFmtId="181" fontId="7" fillId="0" borderId="0" xfId="0" applyNumberFormat="1" applyFont="1" applyFill="1" applyAlignment="1">
      <alignment horizontal="right"/>
    </xf>
    <xf numFmtId="181" fontId="7" fillId="4" borderId="0" xfId="0" applyNumberFormat="1" applyFont="1" applyFill="1" applyAlignment="1">
      <alignment horizontal="right"/>
    </xf>
    <xf numFmtId="181" fontId="7" fillId="4" borderId="0" xfId="0" applyNumberFormat="1" applyFont="1" applyFill="1" applyBorder="1" applyAlignment="1">
      <alignment horizontal="right"/>
    </xf>
    <xf numFmtId="180" fontId="5" fillId="0" borderId="2" xfId="0" applyNumberFormat="1" applyFont="1" applyBorder="1" applyAlignment="1">
      <alignment horizontal="right"/>
    </xf>
    <xf numFmtId="181" fontId="7" fillId="0" borderId="0" xfId="0" applyNumberFormat="1" applyFont="1" applyAlignment="1">
      <alignment horizontal="right"/>
    </xf>
    <xf numFmtId="181" fontId="2" fillId="4" borderId="0" xfId="0" applyNumberFormat="1" applyFont="1" applyFill="1" applyAlignment="1">
      <alignment horizontal="right"/>
    </xf>
    <xf numFmtId="0" fontId="8" fillId="0" borderId="0" xfId="0" applyFont="1"/>
    <xf numFmtId="0" fontId="5" fillId="0" borderId="0" xfId="0" applyFont="1" applyAlignment="1">
      <alignment horizontal="right"/>
    </xf>
    <xf numFmtId="180" fontId="9" fillId="4" borderId="3" xfId="0" applyNumberFormat="1" applyFont="1" applyFill="1" applyBorder="1" applyAlignment="1">
      <alignment horizontal="right"/>
    </xf>
    <xf numFmtId="182" fontId="9" fillId="4" borderId="3" xfId="0" applyNumberFormat="1" applyFont="1" applyFill="1" applyBorder="1" applyAlignment="1">
      <alignment horizontal="right"/>
    </xf>
    <xf numFmtId="183" fontId="9" fillId="4" borderId="3" xfId="0" applyNumberFormat="1" applyFont="1" applyFill="1" applyBorder="1" applyAlignment="1">
      <alignment horizontal="right"/>
    </xf>
    <xf numFmtId="183" fontId="9" fillId="5" borderId="3" xfId="0" applyNumberFormat="1" applyFont="1" applyFill="1" applyBorder="1" applyAlignment="1">
      <alignment horizontal="right"/>
    </xf>
    <xf numFmtId="0" fontId="5" fillId="0" borderId="0" xfId="0" applyFont="1" applyBorder="1" applyAlignment="1"/>
    <xf numFmtId="0" fontId="2" fillId="0" borderId="0" xfId="0" applyFont="1" applyBorder="1" applyAlignment="1">
      <alignment horizontal="left"/>
    </xf>
    <xf numFmtId="0" fontId="5" fillId="6" borderId="0" xfId="0" applyFont="1" applyFill="1" applyAlignment="1">
      <alignment vertical="center"/>
    </xf>
    <xf numFmtId="0" fontId="2" fillId="0" borderId="0" xfId="0" applyFont="1" applyAlignment="1">
      <alignment horizontal="left" vertical="center" wrapText="1"/>
    </xf>
    <xf numFmtId="0" fontId="5" fillId="0" borderId="0" xfId="0" applyFont="1" applyBorder="1" applyAlignment="1">
      <alignment vertical="center"/>
    </xf>
    <xf numFmtId="0" fontId="10" fillId="0" borderId="0" xfId="0" applyFont="1" applyBorder="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
    <dxf>
      <font>
        <name val="Arial"/>
        <scheme val="none"/>
        <family val="2"/>
        <b val="1"/>
        <i val="0"/>
        <strike val="0"/>
        <u val="none"/>
        <sz val="10"/>
        <color theme="1"/>
      </font>
      <fill>
        <patternFill patternType="solid">
          <bgColor theme="8" tint="0.799981688894314"/>
        </patternFill>
      </fill>
      <alignment vertical="center"/>
    </dxf>
    <dxf>
      <font>
        <name val="Arial"/>
        <scheme val="none"/>
        <family val="2"/>
        <b val="1"/>
        <i val="1"/>
        <strike val="0"/>
        <u val="none"/>
        <sz val="10"/>
        <color theme="1"/>
      </font>
      <alignment horizontal="left" vertical="center" wrapText="1"/>
    </dxf>
  </dxfs>
  <tableStyles count="0" defaultTableStyle="TableStyleMedium2" defaultPivotStyle="PivotStyleLight16"/>
  <colors>
    <mruColors>
      <color rgb="00FFFF99"/>
      <color rgb="00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1" name="Table1" displayName="Table1" ref="B3:C16" totalsRowShown="0">
  <autoFilter xmlns:etc="http://www.wps.cn/officeDocument/2017/etCustomData" ref="B3:C16" etc:filterBottomFollowUsedRange="0"/>
  <sortState ref="B3:C16">
    <sortCondition ref="B3:B16"/>
  </sortState>
  <tableColumns count="2">
    <tableColumn id="1" name="Term" dataDxfId="0"/>
    <tableColumn id="2" name="Definition" dataDxfId="1"/>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7"/>
  <sheetViews>
    <sheetView showGridLines="0" view="pageBreakPreview" zoomScale="85" zoomScaleNormal="100" workbookViewId="0">
      <selection activeCell="A1" sqref="A1"/>
    </sheetView>
  </sheetViews>
  <sheetFormatPr defaultColWidth="20.6909090909091" defaultRowHeight="15" customHeight="1" outlineLevelCol="2"/>
  <cols>
    <col min="1" max="1" width="2.69090909090909" style="4" customWidth="1"/>
    <col min="2" max="3" width="50.6909090909091" style="4" customWidth="1"/>
    <col min="4" max="4" width="1.69090909090909" style="4" customWidth="1"/>
    <col min="5" max="16384" width="20.6909090909091" style="4"/>
  </cols>
  <sheetData>
    <row r="1" s="1" customFormat="1" ht="35.15" customHeight="1" spans="2:2">
      <c r="B1" s="5" t="s">
        <v>0</v>
      </c>
    </row>
    <row r="3" ht="40" customHeight="1" spans="2:3">
      <c r="B3" s="47" t="s">
        <v>1</v>
      </c>
      <c r="C3" s="48" t="s">
        <v>2</v>
      </c>
    </row>
    <row r="4" ht="25" spans="2:3">
      <c r="B4" s="49" t="s">
        <v>3</v>
      </c>
      <c r="C4" s="50" t="s">
        <v>4</v>
      </c>
    </row>
    <row r="5" ht="25" spans="2:3">
      <c r="B5" s="49" t="s">
        <v>5</v>
      </c>
      <c r="C5" s="50" t="s">
        <v>6</v>
      </c>
    </row>
    <row r="6" ht="50" spans="2:3">
      <c r="B6" s="49" t="s">
        <v>7</v>
      </c>
      <c r="C6" s="50" t="s">
        <v>8</v>
      </c>
    </row>
    <row r="7" ht="25" spans="2:3">
      <c r="B7" s="49" t="s">
        <v>9</v>
      </c>
      <c r="C7" s="50" t="s">
        <v>10</v>
      </c>
    </row>
    <row r="8" ht="62.5" spans="2:3">
      <c r="B8" s="49" t="s">
        <v>11</v>
      </c>
      <c r="C8" s="50" t="s">
        <v>12</v>
      </c>
    </row>
    <row r="9" ht="87.5" spans="2:3">
      <c r="B9" s="49" t="s">
        <v>13</v>
      </c>
      <c r="C9" s="50" t="s">
        <v>14</v>
      </c>
    </row>
    <row r="10" ht="50" spans="2:3">
      <c r="B10" s="49" t="s">
        <v>15</v>
      </c>
      <c r="C10" s="50" t="s">
        <v>16</v>
      </c>
    </row>
    <row r="11" ht="37.5" spans="2:3">
      <c r="B11" s="49" t="s">
        <v>17</v>
      </c>
      <c r="C11" s="50" t="s">
        <v>18</v>
      </c>
    </row>
    <row r="12" ht="37.5" spans="2:3">
      <c r="B12" s="49" t="s">
        <v>19</v>
      </c>
      <c r="C12" s="50" t="s">
        <v>20</v>
      </c>
    </row>
    <row r="13" ht="200" spans="2:3">
      <c r="B13" s="49" t="s">
        <v>21</v>
      </c>
      <c r="C13" s="50" t="s">
        <v>22</v>
      </c>
    </row>
    <row r="14" ht="50" spans="2:3">
      <c r="B14" s="49" t="s">
        <v>23</v>
      </c>
      <c r="C14" s="50" t="s">
        <v>24</v>
      </c>
    </row>
    <row r="15" ht="50" spans="2:3">
      <c r="B15" s="49" t="s">
        <v>25</v>
      </c>
      <c r="C15" s="50" t="s">
        <v>26</v>
      </c>
    </row>
    <row r="16" ht="50" spans="2:3">
      <c r="B16" s="49" t="s">
        <v>27</v>
      </c>
      <c r="C16" s="50" t="s">
        <v>28</v>
      </c>
    </row>
    <row r="17" customHeight="1" spans="2:3">
      <c r="B17" s="51"/>
      <c r="C17" s="52"/>
    </row>
  </sheetData>
  <pageMargins left="0.7" right="0.7" top="0.75" bottom="0.75" header="0.3" footer="0.3"/>
  <pageSetup paperSize="9" scale="18" orientation="portrait" verticalDpi="1200"/>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7"/>
  <sheetViews>
    <sheetView showGridLines="0" view="pageBreakPreview" zoomScale="70" zoomScaleNormal="100" workbookViewId="0">
      <pane xSplit="3" ySplit="3" topLeftCell="E26" activePane="bottomRight" state="frozenSplit"/>
      <selection/>
      <selection pane="topRight"/>
      <selection pane="bottomLeft"/>
      <selection pane="bottomRight" activeCell="E37" sqref="E37"/>
    </sheetView>
  </sheetViews>
  <sheetFormatPr defaultColWidth="20.6909090909091" defaultRowHeight="15" customHeight="1"/>
  <cols>
    <col min="1" max="1" width="2.69090909090909" style="4" customWidth="1"/>
    <col min="2" max="2" width="36" style="4" customWidth="1"/>
    <col min="3" max="3" width="23.3090909090909" style="4" customWidth="1"/>
    <col min="4" max="4" width="23.3090909090909" style="4" hidden="1" customWidth="1" outlineLevel="1"/>
    <col min="5" max="5" width="23.3090909090909" style="4" customWidth="1" collapsed="1"/>
    <col min="6" max="9" width="23.3090909090909" style="4" customWidth="1"/>
    <col min="10" max="10" width="1.69090909090909" style="4" customWidth="1"/>
    <col min="11" max="16384" width="20.6909090909091" style="4"/>
  </cols>
  <sheetData>
    <row r="1" s="1" customFormat="1" ht="35.15" customHeight="1" spans="2:5">
      <c r="B1" s="5" t="s">
        <v>29</v>
      </c>
      <c r="C1" s="6"/>
      <c r="D1" s="6"/>
      <c r="E1" s="6"/>
    </row>
    <row r="3" customHeight="1" spans="2:9">
      <c r="B3" s="7" t="s">
        <v>30</v>
      </c>
      <c r="C3" s="8" t="s">
        <v>31</v>
      </c>
      <c r="D3" s="9">
        <v>43830</v>
      </c>
      <c r="E3" s="10">
        <f t="shared" ref="E3:I3" si="0">EOMONTH(D3,12)</f>
        <v>44196</v>
      </c>
      <c r="F3" s="10">
        <f t="shared" si="0"/>
        <v>44561</v>
      </c>
      <c r="G3" s="10">
        <f t="shared" si="0"/>
        <v>44926</v>
      </c>
      <c r="H3" s="10">
        <f t="shared" si="0"/>
        <v>45291</v>
      </c>
      <c r="I3" s="10">
        <f t="shared" si="0"/>
        <v>45657</v>
      </c>
    </row>
    <row r="4" customHeight="1" spans="4:9">
      <c r="D4" s="11"/>
      <c r="E4" s="11"/>
      <c r="F4" s="11"/>
      <c r="G4" s="11"/>
      <c r="H4" s="11"/>
      <c r="I4" s="11"/>
    </row>
    <row r="5" s="2" customFormat="1" customHeight="1" spans="1:9">
      <c r="A5" s="28" t="s">
        <v>32</v>
      </c>
      <c r="B5" s="28" t="s">
        <v>33</v>
      </c>
      <c r="D5" s="29"/>
      <c r="E5" s="29"/>
      <c r="F5" s="29"/>
      <c r="G5" s="29"/>
      <c r="H5" s="29"/>
      <c r="I5" s="29"/>
    </row>
    <row r="6" customHeight="1" spans="4:9">
      <c r="D6" s="11"/>
      <c r="E6" s="11"/>
      <c r="F6" s="11"/>
      <c r="G6" s="11"/>
      <c r="H6" s="11"/>
      <c r="I6" s="11"/>
    </row>
    <row r="7" customHeight="1" spans="2:9">
      <c r="B7" s="41" t="s">
        <v>34</v>
      </c>
      <c r="D7" s="11"/>
      <c r="E7" s="11"/>
      <c r="F7" s="11"/>
      <c r="G7" s="11"/>
      <c r="H7" s="11"/>
      <c r="I7" s="11"/>
    </row>
    <row r="8" customHeight="1" spans="2:9">
      <c r="B8" s="4" t="s">
        <v>35</v>
      </c>
      <c r="C8" s="30" t="s">
        <v>36</v>
      </c>
      <c r="D8" s="42"/>
      <c r="E8" s="43">
        <v>100000</v>
      </c>
      <c r="F8" s="43">
        <f>E8*1.1</f>
        <v>110000</v>
      </c>
      <c r="G8" s="43">
        <f>F8*1.09</f>
        <v>119900</v>
      </c>
      <c r="H8" s="43">
        <f>G8*1.08</f>
        <v>129492</v>
      </c>
      <c r="I8" s="43">
        <f>H8*1.07</f>
        <v>138556.44</v>
      </c>
    </row>
    <row r="9" customHeight="1" spans="2:9">
      <c r="B9" s="4" t="s">
        <v>37</v>
      </c>
      <c r="C9" s="30" t="s">
        <v>38</v>
      </c>
      <c r="D9" s="42"/>
      <c r="E9" s="44">
        <v>4</v>
      </c>
      <c r="F9" s="44">
        <f>E9*1.04</f>
        <v>4.16</v>
      </c>
      <c r="G9" s="44">
        <f t="shared" ref="G9:I9" si="1">F9*1.04</f>
        <v>4.3264</v>
      </c>
      <c r="H9" s="44">
        <f t="shared" si="1"/>
        <v>4.499456</v>
      </c>
      <c r="I9" s="44">
        <f t="shared" si="1"/>
        <v>4.67943424</v>
      </c>
    </row>
    <row r="10" customHeight="1" spans="4:9">
      <c r="D10" s="11"/>
      <c r="E10" s="11"/>
      <c r="F10" s="11"/>
      <c r="G10" s="11"/>
      <c r="H10" s="11"/>
      <c r="I10" s="11"/>
    </row>
    <row r="11" customHeight="1" spans="2:9">
      <c r="B11" s="41" t="s">
        <v>39</v>
      </c>
      <c r="D11" s="11"/>
      <c r="E11" s="11"/>
      <c r="F11" s="11"/>
      <c r="G11" s="11"/>
      <c r="H11" s="11"/>
      <c r="I11" s="11"/>
    </row>
    <row r="12" customHeight="1" spans="2:9">
      <c r="B12" s="4" t="s">
        <v>35</v>
      </c>
      <c r="C12" s="30" t="s">
        <v>36</v>
      </c>
      <c r="D12" s="42"/>
      <c r="E12" s="43">
        <v>60000</v>
      </c>
      <c r="F12" s="43">
        <f>E12*1.1</f>
        <v>66000</v>
      </c>
      <c r="G12" s="43">
        <f>F12*1.09</f>
        <v>71940</v>
      </c>
      <c r="H12" s="43">
        <f>G12*1.08</f>
        <v>77695.2</v>
      </c>
      <c r="I12" s="43">
        <f>H12*1.07</f>
        <v>83133.864</v>
      </c>
    </row>
    <row r="13" customHeight="1" spans="2:9">
      <c r="B13" s="4" t="s">
        <v>37</v>
      </c>
      <c r="C13" s="30" t="s">
        <v>38</v>
      </c>
      <c r="D13" s="42"/>
      <c r="E13" s="44">
        <v>3</v>
      </c>
      <c r="F13" s="44">
        <f>E13*1.04</f>
        <v>3.12</v>
      </c>
      <c r="G13" s="44">
        <f t="shared" ref="G13:I13" si="2">F13*1.04</f>
        <v>3.2448</v>
      </c>
      <c r="H13" s="44">
        <f t="shared" si="2"/>
        <v>3.374592</v>
      </c>
      <c r="I13" s="44">
        <f t="shared" si="2"/>
        <v>3.50957568</v>
      </c>
    </row>
    <row r="14" customHeight="1" spans="4:9">
      <c r="D14" s="11"/>
      <c r="E14" s="11"/>
      <c r="F14" s="11"/>
      <c r="G14" s="11"/>
      <c r="H14" s="11"/>
      <c r="I14" s="11"/>
    </row>
    <row r="15" customHeight="1" spans="2:9">
      <c r="B15" s="41" t="s">
        <v>40</v>
      </c>
      <c r="D15" s="11"/>
      <c r="E15" s="11"/>
      <c r="F15" s="11"/>
      <c r="G15" s="11"/>
      <c r="H15" s="11"/>
      <c r="I15" s="11"/>
    </row>
    <row r="16" customHeight="1" spans="2:9">
      <c r="B16" s="4" t="s">
        <v>35</v>
      </c>
      <c r="C16" s="30" t="s">
        <v>36</v>
      </c>
      <c r="D16" s="42"/>
      <c r="E16" s="43">
        <v>50000</v>
      </c>
      <c r="F16" s="43">
        <f>E16*1.1</f>
        <v>55000</v>
      </c>
      <c r="G16" s="43">
        <f>F16*1.09</f>
        <v>59950</v>
      </c>
      <c r="H16" s="43">
        <f>G16*1.08</f>
        <v>64746</v>
      </c>
      <c r="I16" s="43">
        <f>H16*1.07</f>
        <v>69278.22</v>
      </c>
    </row>
    <row r="17" customHeight="1" spans="2:9">
      <c r="B17" s="4" t="s">
        <v>37</v>
      </c>
      <c r="C17" s="30" t="s">
        <v>38</v>
      </c>
      <c r="D17" s="42"/>
      <c r="E17" s="44">
        <v>2.5</v>
      </c>
      <c r="F17" s="44">
        <f>E17*1.04</f>
        <v>2.6</v>
      </c>
      <c r="G17" s="44">
        <f t="shared" ref="G17:I17" si="3">F17*1.04</f>
        <v>2.704</v>
      </c>
      <c r="H17" s="44">
        <f t="shared" si="3"/>
        <v>2.81216</v>
      </c>
      <c r="I17" s="44">
        <f t="shared" si="3"/>
        <v>2.9246464</v>
      </c>
    </row>
    <row r="18" customHeight="1" spans="4:9">
      <c r="D18" s="11"/>
      <c r="E18" s="11"/>
      <c r="F18" s="11"/>
      <c r="G18" s="11"/>
      <c r="H18" s="11"/>
      <c r="I18" s="11"/>
    </row>
    <row r="19" s="2" customFormat="1" customHeight="1" spans="1:9">
      <c r="A19" s="28" t="s">
        <v>32</v>
      </c>
      <c r="B19" s="28" t="s">
        <v>41</v>
      </c>
      <c r="D19" s="29"/>
      <c r="E19" s="29"/>
      <c r="F19" s="29"/>
      <c r="G19" s="29"/>
      <c r="H19" s="29"/>
      <c r="I19" s="29"/>
    </row>
    <row r="20" customHeight="1" spans="4:9">
      <c r="D20" s="11"/>
      <c r="E20" s="11"/>
      <c r="F20" s="11"/>
      <c r="G20" s="11"/>
      <c r="H20" s="11"/>
      <c r="I20" s="11"/>
    </row>
    <row r="21" customHeight="1" spans="2:9">
      <c r="B21" s="41" t="s">
        <v>7</v>
      </c>
      <c r="D21" s="11"/>
      <c r="E21" s="11"/>
      <c r="F21" s="11"/>
      <c r="G21" s="11"/>
      <c r="H21" s="11"/>
      <c r="I21" s="11"/>
    </row>
    <row r="22" customHeight="1" spans="2:9">
      <c r="B22" s="4" t="s">
        <v>42</v>
      </c>
      <c r="C22" s="30" t="s">
        <v>38</v>
      </c>
      <c r="D22" s="42"/>
      <c r="E22" s="44">
        <v>1.5</v>
      </c>
      <c r="F22" s="44">
        <f>E22*1.02</f>
        <v>1.53</v>
      </c>
      <c r="G22" s="44">
        <f t="shared" ref="G22:I24" si="4">F22*1.02</f>
        <v>1.5606</v>
      </c>
      <c r="H22" s="44">
        <f t="shared" si="4"/>
        <v>1.591812</v>
      </c>
      <c r="I22" s="44">
        <f t="shared" si="4"/>
        <v>1.62364824</v>
      </c>
    </row>
    <row r="23" customHeight="1" spans="2:9">
      <c r="B23" s="4" t="s">
        <v>43</v>
      </c>
      <c r="C23" s="30" t="s">
        <v>38</v>
      </c>
      <c r="D23" s="42"/>
      <c r="E23" s="44">
        <v>0.8</v>
      </c>
      <c r="F23" s="44">
        <f t="shared" ref="F23:F24" si="5">E23*1.02</f>
        <v>0.816</v>
      </c>
      <c r="G23" s="44">
        <f t="shared" si="4"/>
        <v>0.83232</v>
      </c>
      <c r="H23" s="44">
        <f t="shared" si="4"/>
        <v>0.8489664</v>
      </c>
      <c r="I23" s="44">
        <f t="shared" si="4"/>
        <v>0.865945728</v>
      </c>
    </row>
    <row r="24" customHeight="1" spans="2:9">
      <c r="B24" s="4" t="s">
        <v>44</v>
      </c>
      <c r="C24" s="30" t="s">
        <v>38</v>
      </c>
      <c r="D24" s="42"/>
      <c r="E24" s="44">
        <v>1.1</v>
      </c>
      <c r="F24" s="44">
        <f t="shared" si="5"/>
        <v>1.122</v>
      </c>
      <c r="G24" s="44">
        <f t="shared" si="4"/>
        <v>1.14444</v>
      </c>
      <c r="H24" s="44">
        <f t="shared" si="4"/>
        <v>1.1673288</v>
      </c>
      <c r="I24" s="44">
        <f t="shared" si="4"/>
        <v>1.190675376</v>
      </c>
    </row>
    <row r="25" customHeight="1" spans="4:9">
      <c r="D25" s="11"/>
      <c r="E25" s="11"/>
      <c r="F25" s="11"/>
      <c r="G25" s="11"/>
      <c r="H25" s="11"/>
      <c r="I25" s="11"/>
    </row>
    <row r="26" customHeight="1" spans="2:9">
      <c r="B26" s="41" t="s">
        <v>23</v>
      </c>
      <c r="D26" s="11"/>
      <c r="E26" s="11"/>
      <c r="F26" s="11"/>
      <c r="G26" s="11"/>
      <c r="H26" s="11"/>
      <c r="I26" s="11"/>
    </row>
    <row r="27" customHeight="1" spans="2:9">
      <c r="B27" s="4" t="s">
        <v>45</v>
      </c>
      <c r="C27" s="30" t="s">
        <v>38</v>
      </c>
      <c r="D27" s="42"/>
      <c r="E27" s="43">
        <v>150000</v>
      </c>
      <c r="F27" s="43">
        <f>E27*1.05</f>
        <v>157500</v>
      </c>
      <c r="G27" s="43">
        <f t="shared" ref="G27:I27" si="6">F27*1.05</f>
        <v>165375</v>
      </c>
      <c r="H27" s="43">
        <f t="shared" si="6"/>
        <v>173643.75</v>
      </c>
      <c r="I27" s="43">
        <f t="shared" si="6"/>
        <v>182325.9375</v>
      </c>
    </row>
    <row r="28" customHeight="1" spans="2:9">
      <c r="B28" s="4" t="s">
        <v>46</v>
      </c>
      <c r="C28" s="30" t="s">
        <v>38</v>
      </c>
      <c r="D28" s="42"/>
      <c r="E28" s="43">
        <v>60000</v>
      </c>
      <c r="F28" s="43">
        <f>E28*1.03</f>
        <v>61800</v>
      </c>
      <c r="G28" s="43">
        <f t="shared" ref="G28:I28" si="7">F28*1.03</f>
        <v>63654</v>
      </c>
      <c r="H28" s="43">
        <f t="shared" si="7"/>
        <v>65563.62</v>
      </c>
      <c r="I28" s="43">
        <f t="shared" si="7"/>
        <v>67530.5286</v>
      </c>
    </row>
    <row r="29" customHeight="1" spans="2:9">
      <c r="B29" s="4" t="s">
        <v>47</v>
      </c>
      <c r="C29" s="30" t="s">
        <v>38</v>
      </c>
      <c r="D29" s="42"/>
      <c r="E29" s="43">
        <v>10000</v>
      </c>
      <c r="F29" s="43">
        <f>E29*1.05</f>
        <v>10500</v>
      </c>
      <c r="G29" s="43">
        <f t="shared" ref="G29:I30" si="8">F29*1.05</f>
        <v>11025</v>
      </c>
      <c r="H29" s="43">
        <f t="shared" si="8"/>
        <v>11576.25</v>
      </c>
      <c r="I29" s="43">
        <f t="shared" si="8"/>
        <v>12155.0625</v>
      </c>
    </row>
    <row r="30" customHeight="1" spans="2:9">
      <c r="B30" s="4" t="s">
        <v>48</v>
      </c>
      <c r="C30" s="30" t="s">
        <v>38</v>
      </c>
      <c r="D30" s="42"/>
      <c r="E30" s="43">
        <v>5000</v>
      </c>
      <c r="F30" s="43">
        <f>E30*1.05</f>
        <v>5250</v>
      </c>
      <c r="G30" s="43">
        <f t="shared" si="8"/>
        <v>5512.5</v>
      </c>
      <c r="H30" s="43">
        <f t="shared" si="8"/>
        <v>5788.125</v>
      </c>
      <c r="I30" s="43">
        <f t="shared" si="8"/>
        <v>6077.53125</v>
      </c>
    </row>
    <row r="31" customHeight="1" spans="4:9">
      <c r="D31" s="11"/>
      <c r="E31" s="11"/>
      <c r="F31" s="11"/>
      <c r="G31" s="11"/>
      <c r="H31" s="11"/>
      <c r="I31" s="11"/>
    </row>
    <row r="32" customHeight="1" spans="2:9">
      <c r="B32" s="41" t="s">
        <v>49</v>
      </c>
      <c r="D32" s="11"/>
      <c r="E32" s="11"/>
      <c r="F32" s="11"/>
      <c r="G32" s="11"/>
      <c r="H32" s="11"/>
      <c r="I32" s="11"/>
    </row>
    <row r="33" customHeight="1" spans="2:9">
      <c r="B33" s="4" t="s">
        <v>50</v>
      </c>
      <c r="C33" s="30" t="s">
        <v>51</v>
      </c>
      <c r="D33" s="42"/>
      <c r="E33" s="45">
        <v>-0.05</v>
      </c>
      <c r="F33" s="45">
        <f>E33+0.25%</f>
        <v>-0.0475</v>
      </c>
      <c r="G33" s="45">
        <f t="shared" ref="G33:I33" si="9">F33+0.25%</f>
        <v>-0.045</v>
      </c>
      <c r="H33" s="45">
        <f t="shared" si="9"/>
        <v>-0.0425</v>
      </c>
      <c r="I33" s="45">
        <f t="shared" si="9"/>
        <v>-0.04</v>
      </c>
    </row>
    <row r="34" customHeight="1" spans="4:9">
      <c r="D34" s="11"/>
      <c r="E34" s="11"/>
      <c r="F34" s="11"/>
      <c r="G34" s="11"/>
      <c r="H34" s="11"/>
      <c r="I34" s="11"/>
    </row>
    <row r="35" s="2" customFormat="1" customHeight="1" spans="1:9">
      <c r="A35" s="28" t="s">
        <v>32</v>
      </c>
      <c r="B35" s="28" t="s">
        <v>52</v>
      </c>
      <c r="D35" s="29"/>
      <c r="E35" s="29"/>
      <c r="F35" s="29"/>
      <c r="G35" s="29"/>
      <c r="H35" s="29"/>
      <c r="I35" s="29"/>
    </row>
    <row r="36" customHeight="1" spans="4:9">
      <c r="D36" s="11"/>
      <c r="E36" s="11"/>
      <c r="F36" s="11"/>
      <c r="G36" s="11"/>
      <c r="H36" s="11"/>
      <c r="I36" s="11"/>
    </row>
    <row r="37" customHeight="1" spans="2:9">
      <c r="B37" s="4" t="s">
        <v>53</v>
      </c>
      <c r="C37" s="30" t="s">
        <v>51</v>
      </c>
      <c r="D37" s="42"/>
      <c r="E37" s="46">
        <f>E33</f>
        <v>-0.05</v>
      </c>
      <c r="F37" s="45">
        <f t="shared" ref="F37:I37" si="10">F33</f>
        <v>-0.0475</v>
      </c>
      <c r="G37" s="45">
        <f t="shared" si="10"/>
        <v>-0.045</v>
      </c>
      <c r="H37" s="45">
        <f t="shared" si="10"/>
        <v>-0.0425</v>
      </c>
      <c r="I37" s="45">
        <f t="shared" si="10"/>
        <v>-0.04</v>
      </c>
    </row>
    <row r="38" customHeight="1" spans="2:9">
      <c r="B38" s="4" t="s">
        <v>54</v>
      </c>
      <c r="C38" s="30" t="s">
        <v>51</v>
      </c>
      <c r="D38" s="42"/>
      <c r="E38" s="46">
        <v>-0.01</v>
      </c>
      <c r="F38" s="45">
        <v>-0.01</v>
      </c>
      <c r="G38" s="45">
        <v>-0.01</v>
      </c>
      <c r="H38" s="45">
        <v>-0.01</v>
      </c>
      <c r="I38" s="45">
        <v>-0.01</v>
      </c>
    </row>
    <row r="39" customHeight="1" spans="2:9">
      <c r="B39" s="4" t="s">
        <v>11</v>
      </c>
      <c r="C39" s="30" t="s">
        <v>55</v>
      </c>
      <c r="D39" s="42"/>
      <c r="E39" s="45">
        <v>0.6</v>
      </c>
      <c r="F39" s="45">
        <v>0.6</v>
      </c>
      <c r="G39" s="45">
        <v>0.6</v>
      </c>
      <c r="H39" s="45">
        <v>0.6</v>
      </c>
      <c r="I39" s="45">
        <v>0.6</v>
      </c>
    </row>
    <row r="40" customHeight="1" spans="4:9">
      <c r="D40" s="11"/>
      <c r="E40" s="11"/>
      <c r="F40" s="11"/>
      <c r="G40" s="11"/>
      <c r="H40" s="11"/>
      <c r="I40" s="11"/>
    </row>
    <row r="41" s="2" customFormat="1" customHeight="1" spans="1:9">
      <c r="A41" s="28" t="s">
        <v>32</v>
      </c>
      <c r="B41" s="28" t="s">
        <v>56</v>
      </c>
      <c r="D41" s="29"/>
      <c r="E41" s="29"/>
      <c r="F41" s="29"/>
      <c r="G41" s="29"/>
      <c r="H41" s="29"/>
      <c r="I41" s="29"/>
    </row>
    <row r="42" customHeight="1" spans="4:9">
      <c r="D42" s="11"/>
      <c r="E42" s="11"/>
      <c r="F42" s="11"/>
      <c r="G42" s="11"/>
      <c r="H42" s="11"/>
      <c r="I42" s="11"/>
    </row>
    <row r="43" customHeight="1" spans="2:9">
      <c r="B43" s="4" t="s">
        <v>57</v>
      </c>
      <c r="C43" s="30" t="s">
        <v>55</v>
      </c>
      <c r="D43" s="42"/>
      <c r="E43" s="45">
        <v>0.21</v>
      </c>
      <c r="F43" s="45">
        <v>0.21</v>
      </c>
      <c r="G43" s="45">
        <v>0.21</v>
      </c>
      <c r="H43" s="45">
        <v>0.21</v>
      </c>
      <c r="I43" s="45">
        <v>0.21</v>
      </c>
    </row>
    <row r="44" customHeight="1" spans="2:9">
      <c r="B44" s="4" t="s">
        <v>58</v>
      </c>
      <c r="C44" s="30" t="s">
        <v>55</v>
      </c>
      <c r="D44" s="42"/>
      <c r="E44" s="45">
        <v>0.04</v>
      </c>
      <c r="F44" s="45">
        <v>0.04</v>
      </c>
      <c r="G44" s="45">
        <v>0.04</v>
      </c>
      <c r="H44" s="45">
        <v>0.04</v>
      </c>
      <c r="I44" s="45">
        <v>0.04</v>
      </c>
    </row>
    <row r="45" customHeight="1" spans="2:9">
      <c r="B45" s="4" t="s">
        <v>59</v>
      </c>
      <c r="C45" s="30" t="s">
        <v>55</v>
      </c>
      <c r="D45" s="42"/>
      <c r="E45" s="45">
        <v>0.01</v>
      </c>
      <c r="F45" s="45">
        <v>0.01</v>
      </c>
      <c r="G45" s="45">
        <v>0.01</v>
      </c>
      <c r="H45" s="45">
        <v>0.01</v>
      </c>
      <c r="I45" s="45">
        <v>0.01</v>
      </c>
    </row>
    <row r="46" customHeight="1" spans="4:9">
      <c r="D46" s="11"/>
      <c r="E46" s="11"/>
      <c r="F46" s="11"/>
      <c r="G46" s="11"/>
      <c r="H46" s="11"/>
      <c r="I46" s="11"/>
    </row>
    <row r="47" s="3" customFormat="1" customHeight="1" spans="1:2">
      <c r="A47" s="6" t="s">
        <v>32</v>
      </c>
      <c r="B47" s="6" t="s">
        <v>60</v>
      </c>
    </row>
  </sheetData>
  <pageMargins left="0.7" right="0.7" top="0.75" bottom="0.75" header="0.3" footer="0.3"/>
  <pageSetup paperSize="9" scale="18" orientation="portrait" verticalDpi="12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9"/>
  <sheetViews>
    <sheetView showGridLines="0" view="pageBreakPreview" zoomScale="70" zoomScaleNormal="100" workbookViewId="0">
      <pane xSplit="3" ySplit="3" topLeftCell="D8" activePane="bottomRight" state="frozenSplit"/>
      <selection/>
      <selection pane="topRight"/>
      <selection pane="bottomLeft"/>
      <selection pane="bottomRight" activeCell="E8" sqref="E8"/>
    </sheetView>
  </sheetViews>
  <sheetFormatPr defaultColWidth="20.6909090909091" defaultRowHeight="15" customHeight="1"/>
  <cols>
    <col min="1" max="1" width="2.69090909090909" style="4" customWidth="1"/>
    <col min="2" max="2" width="36" style="4" customWidth="1"/>
    <col min="3" max="3" width="23.3090909090909" style="4" customWidth="1"/>
    <col min="4" max="4" width="23.3090909090909" style="4" hidden="1" customWidth="1" outlineLevel="1"/>
    <col min="5" max="5" width="23.3090909090909" style="4" customWidth="1" collapsed="1"/>
    <col min="6" max="9" width="23.3090909090909" style="4" customWidth="1"/>
    <col min="10" max="10" width="1.69090909090909" style="4" customWidth="1"/>
    <col min="11" max="16384" width="20.6909090909091" style="4"/>
  </cols>
  <sheetData>
    <row r="1" s="1" customFormat="1" ht="35.15" customHeight="1" spans="2:5">
      <c r="B1" s="5" t="s">
        <v>61</v>
      </c>
      <c r="C1" s="6"/>
      <c r="D1" s="6"/>
      <c r="E1" s="6"/>
    </row>
    <row r="3" customHeight="1" spans="2:9">
      <c r="B3" s="7" t="s">
        <v>30</v>
      </c>
      <c r="C3" s="8" t="s">
        <v>31</v>
      </c>
      <c r="D3" s="9">
        <v>43830</v>
      </c>
      <c r="E3" s="10">
        <f t="shared" ref="E3:I3" si="0">EOMONTH(D3,12)</f>
        <v>44196</v>
      </c>
      <c r="F3" s="10">
        <f t="shared" si="0"/>
        <v>44561</v>
      </c>
      <c r="G3" s="10">
        <f t="shared" si="0"/>
        <v>44926</v>
      </c>
      <c r="H3" s="10">
        <f t="shared" si="0"/>
        <v>45291</v>
      </c>
      <c r="I3" s="10">
        <f t="shared" si="0"/>
        <v>45657</v>
      </c>
    </row>
    <row r="4" customHeight="1" spans="4:9">
      <c r="D4" s="11"/>
      <c r="E4" s="11"/>
      <c r="F4" s="11"/>
      <c r="G4" s="11"/>
      <c r="H4" s="11"/>
      <c r="I4" s="11"/>
    </row>
    <row r="5" customHeight="1" spans="2:9">
      <c r="B5" s="12" t="s">
        <v>62</v>
      </c>
      <c r="C5" s="13" t="s">
        <v>38</v>
      </c>
      <c r="E5" s="15">
        <f>'Forecast Assumptions'!E8*'Forecast Assumptions'!E9</f>
        <v>400000</v>
      </c>
      <c r="F5" s="15">
        <f>'Forecast Assumptions'!F8*'Forecast Assumptions'!F9</f>
        <v>457600</v>
      </c>
      <c r="G5" s="15">
        <f>'Forecast Assumptions'!G8*'Forecast Assumptions'!G9</f>
        <v>518735.36</v>
      </c>
      <c r="H5" s="15">
        <f>'Forecast Assumptions'!H8*'Forecast Assumptions'!H9</f>
        <v>582643.556352</v>
      </c>
      <c r="I5" s="15">
        <f>'Forecast Assumptions'!I8*'Forecast Assumptions'!I9</f>
        <v>648365.749508506</v>
      </c>
    </row>
    <row r="6" customHeight="1" spans="2:9">
      <c r="B6" s="12" t="s">
        <v>63</v>
      </c>
      <c r="C6" s="13" t="s">
        <v>38</v>
      </c>
      <c r="E6" s="15">
        <f>'Forecast Assumptions'!E12*'Forecast Assumptions'!E13</f>
        <v>180000</v>
      </c>
      <c r="F6" s="15">
        <f>'Forecast Assumptions'!F12*'Forecast Assumptions'!F13</f>
        <v>205920</v>
      </c>
      <c r="G6" s="15">
        <f>'Forecast Assumptions'!G12*'Forecast Assumptions'!G13</f>
        <v>233430.912</v>
      </c>
      <c r="H6" s="15">
        <f>'Forecast Assumptions'!H12*'Forecast Assumptions'!H13</f>
        <v>262189.6003584</v>
      </c>
      <c r="I6" s="15">
        <f>'Forecast Assumptions'!I12*'Forecast Assumptions'!I13</f>
        <v>291764.587278828</v>
      </c>
    </row>
    <row r="7" customHeight="1" spans="2:9">
      <c r="B7" s="12" t="s">
        <v>64</v>
      </c>
      <c r="C7" s="13" t="s">
        <v>38</v>
      </c>
      <c r="E7" s="15">
        <f>'Forecast Assumptions'!E16*'Forecast Assumptions'!E17</f>
        <v>125000</v>
      </c>
      <c r="F7" s="15">
        <f>'Forecast Assumptions'!F16*'Forecast Assumptions'!F17</f>
        <v>143000</v>
      </c>
      <c r="G7" s="15">
        <f>'Forecast Assumptions'!G16*'Forecast Assumptions'!G17</f>
        <v>162104.8</v>
      </c>
      <c r="H7" s="15">
        <f>'Forecast Assumptions'!H16*'Forecast Assumptions'!H17</f>
        <v>182076.11136</v>
      </c>
      <c r="I7" s="15">
        <f>'Forecast Assumptions'!I16*'Forecast Assumptions'!I17</f>
        <v>202614.296721408</v>
      </c>
    </row>
    <row r="8" customHeight="1" spans="2:9">
      <c r="B8" s="17" t="s">
        <v>65</v>
      </c>
      <c r="C8" s="18" t="s">
        <v>38</v>
      </c>
      <c r="D8" s="31"/>
      <c r="E8" s="32">
        <f>SUM(E5:E7)</f>
        <v>705000</v>
      </c>
      <c r="F8" s="33">
        <f t="shared" ref="E8:I8" si="1">SUM(F5:F7)</f>
        <v>806520</v>
      </c>
      <c r="G8" s="33">
        <f t="shared" si="1"/>
        <v>914271.072</v>
      </c>
      <c r="H8" s="33">
        <f t="shared" si="1"/>
        <v>1026909.2680704</v>
      </c>
      <c r="I8" s="33">
        <f t="shared" si="1"/>
        <v>1142744.63350874</v>
      </c>
    </row>
    <row r="9" customHeight="1" spans="2:9">
      <c r="B9" s="34" t="s">
        <v>66</v>
      </c>
      <c r="C9" s="30" t="s">
        <v>55</v>
      </c>
      <c r="E9" s="35"/>
      <c r="F9" s="36">
        <f t="shared" ref="F9:I9" si="2">F8/E8-1</f>
        <v>0.144</v>
      </c>
      <c r="G9" s="36">
        <f t="shared" si="2"/>
        <v>0.1336</v>
      </c>
      <c r="H9" s="36">
        <f t="shared" si="2"/>
        <v>0.1232</v>
      </c>
      <c r="I9" s="36">
        <f t="shared" si="2"/>
        <v>0.1128</v>
      </c>
    </row>
    <row r="11" customHeight="1" spans="2:9">
      <c r="B11" s="12" t="s">
        <v>67</v>
      </c>
      <c r="C11" s="13" t="s">
        <v>38</v>
      </c>
      <c r="E11" s="15">
        <f>-'Forecast Assumptions'!E8*'Forecast Assumptions'!E22</f>
        <v>-150000</v>
      </c>
      <c r="F11" s="15">
        <f>-'Forecast Assumptions'!F8*'Forecast Assumptions'!F22</f>
        <v>-168300</v>
      </c>
      <c r="G11" s="15">
        <f>-'Forecast Assumptions'!G8*'Forecast Assumptions'!G22</f>
        <v>-187115.94</v>
      </c>
      <c r="H11" s="15">
        <f>-'Forecast Assumptions'!H8*'Forecast Assumptions'!H22</f>
        <v>-206126.919504</v>
      </c>
      <c r="I11" s="15">
        <f>-'Forecast Assumptions'!I8*'Forecast Assumptions'!I22</f>
        <v>-224966.919946666</v>
      </c>
    </row>
    <row r="12" customHeight="1" spans="2:9">
      <c r="B12" s="12" t="s">
        <v>68</v>
      </c>
      <c r="C12" s="13" t="s">
        <v>38</v>
      </c>
      <c r="E12" s="15">
        <f>-'Forecast Assumptions'!E12*'Forecast Assumptions'!E23</f>
        <v>-48000</v>
      </c>
      <c r="F12" s="15">
        <f>-'Forecast Assumptions'!F12*'Forecast Assumptions'!F23</f>
        <v>-53856</v>
      </c>
      <c r="G12" s="15">
        <f>-'Forecast Assumptions'!G12*'Forecast Assumptions'!G23</f>
        <v>-59877.1008</v>
      </c>
      <c r="H12" s="15">
        <f>-'Forecast Assumptions'!H12*'Forecast Assumptions'!H23</f>
        <v>-65960.61424128</v>
      </c>
      <c r="I12" s="15">
        <f>-'Forecast Assumptions'!I12*'Forecast Assumptions'!I23</f>
        <v>-71989.414382933</v>
      </c>
    </row>
    <row r="13" customHeight="1" spans="2:9">
      <c r="B13" s="12" t="s">
        <v>69</v>
      </c>
      <c r="C13" s="13" t="s">
        <v>38</v>
      </c>
      <c r="E13" s="15">
        <f>-'Forecast Assumptions'!E16*'Forecast Assumptions'!E24</f>
        <v>-55000</v>
      </c>
      <c r="F13" s="15">
        <f>-'Forecast Assumptions'!F16*'Forecast Assumptions'!F24</f>
        <v>-61710</v>
      </c>
      <c r="G13" s="15">
        <f>-'Forecast Assumptions'!G16*'Forecast Assumptions'!G24</f>
        <v>-68609.178</v>
      </c>
      <c r="H13" s="15">
        <f>-'Forecast Assumptions'!H16*'Forecast Assumptions'!H24</f>
        <v>-75579.8704848</v>
      </c>
      <c r="I13" s="15">
        <f>-'Forecast Assumptions'!I16*'Forecast Assumptions'!I24</f>
        <v>-82487.8706471108</v>
      </c>
    </row>
    <row r="14" customHeight="1" spans="2:9">
      <c r="B14" s="17" t="s">
        <v>70</v>
      </c>
      <c r="C14" s="18" t="s">
        <v>38</v>
      </c>
      <c r="D14" s="31"/>
      <c r="E14" s="33">
        <f>SUM(E8,E11:E13)</f>
        <v>452000</v>
      </c>
      <c r="F14" s="33">
        <f t="shared" ref="F14:I14" si="3">SUM(F8,F11:F13)</f>
        <v>522654</v>
      </c>
      <c r="G14" s="33">
        <f t="shared" si="3"/>
        <v>598668.8532</v>
      </c>
      <c r="H14" s="33">
        <f t="shared" si="3"/>
        <v>679241.86384032</v>
      </c>
      <c r="I14" s="33">
        <f t="shared" si="3"/>
        <v>763300.428532032</v>
      </c>
    </row>
    <row r="15" customHeight="1" spans="2:9">
      <c r="B15" s="34" t="s">
        <v>71</v>
      </c>
      <c r="C15" s="30" t="s">
        <v>55</v>
      </c>
      <c r="E15" s="37">
        <f>E14/E$8</f>
        <v>0.64113475177305</v>
      </c>
      <c r="F15" s="37">
        <f t="shared" ref="F15:I15" si="4">F14/F$8</f>
        <v>0.648036006546645</v>
      </c>
      <c r="G15" s="37">
        <f t="shared" si="4"/>
        <v>0.654804544882286</v>
      </c>
      <c r="H15" s="37">
        <f t="shared" si="4"/>
        <v>0.661442919019165</v>
      </c>
      <c r="I15" s="37">
        <f t="shared" si="4"/>
        <v>0.667953632114951</v>
      </c>
    </row>
    <row r="17" customHeight="1" spans="2:9">
      <c r="B17" s="12" t="s">
        <v>45</v>
      </c>
      <c r="C17" s="13" t="s">
        <v>38</v>
      </c>
      <c r="E17" s="15">
        <f>-'Forecast Assumptions'!E27</f>
        <v>-150000</v>
      </c>
      <c r="F17" s="15">
        <f>-'Forecast Assumptions'!F27</f>
        <v>-157500</v>
      </c>
      <c r="G17" s="15">
        <f>-'Forecast Assumptions'!G27</f>
        <v>-165375</v>
      </c>
      <c r="H17" s="15">
        <f>-'Forecast Assumptions'!H27</f>
        <v>-173643.75</v>
      </c>
      <c r="I17" s="15">
        <f>-'Forecast Assumptions'!I27</f>
        <v>-182325.9375</v>
      </c>
    </row>
    <row r="18" customHeight="1" spans="2:9">
      <c r="B18" s="12" t="s">
        <v>46</v>
      </c>
      <c r="C18" s="13" t="s">
        <v>38</v>
      </c>
      <c r="E18" s="15">
        <f>-'Forecast Assumptions'!E28</f>
        <v>-60000</v>
      </c>
      <c r="F18" s="15">
        <f>-'Forecast Assumptions'!F28</f>
        <v>-61800</v>
      </c>
      <c r="G18" s="15">
        <f>-'Forecast Assumptions'!G28</f>
        <v>-63654</v>
      </c>
      <c r="H18" s="15">
        <f>-'Forecast Assumptions'!H28</f>
        <v>-65563.62</v>
      </c>
      <c r="I18" s="15">
        <f>-'Forecast Assumptions'!I28</f>
        <v>-67530.5286</v>
      </c>
    </row>
    <row r="19" customHeight="1" spans="2:9">
      <c r="B19" s="12" t="s">
        <v>47</v>
      </c>
      <c r="C19" s="13" t="s">
        <v>38</v>
      </c>
      <c r="E19" s="15">
        <f>-'Forecast Assumptions'!E29</f>
        <v>-10000</v>
      </c>
      <c r="F19" s="15">
        <f>-'Forecast Assumptions'!F29</f>
        <v>-10500</v>
      </c>
      <c r="G19" s="15">
        <f>-'Forecast Assumptions'!G29</f>
        <v>-11025</v>
      </c>
      <c r="H19" s="15">
        <f>-'Forecast Assumptions'!H29</f>
        <v>-11576.25</v>
      </c>
      <c r="I19" s="15">
        <f>-'Forecast Assumptions'!I29</f>
        <v>-12155.0625</v>
      </c>
    </row>
    <row r="20" customHeight="1" spans="2:9">
      <c r="B20" s="12" t="s">
        <v>48</v>
      </c>
      <c r="C20" s="13" t="s">
        <v>38</v>
      </c>
      <c r="E20" s="15">
        <f>-'Forecast Assumptions'!E30</f>
        <v>-5000</v>
      </c>
      <c r="F20" s="15">
        <f>-'Forecast Assumptions'!F30</f>
        <v>-5250</v>
      </c>
      <c r="G20" s="15">
        <f>-'Forecast Assumptions'!G30</f>
        <v>-5512.5</v>
      </c>
      <c r="H20" s="15">
        <f>-'Forecast Assumptions'!H30</f>
        <v>-5788.125</v>
      </c>
      <c r="I20" s="15">
        <f>-'Forecast Assumptions'!I30</f>
        <v>-6077.53125</v>
      </c>
    </row>
    <row r="21" customHeight="1" spans="2:9">
      <c r="B21" s="17" t="s">
        <v>13</v>
      </c>
      <c r="C21" s="18" t="s">
        <v>38</v>
      </c>
      <c r="D21" s="38"/>
      <c r="E21" s="33">
        <f t="shared" ref="E21:I21" si="5">SUM(E14,E17:E20)</f>
        <v>227000</v>
      </c>
      <c r="F21" s="33">
        <f t="shared" si="5"/>
        <v>287604</v>
      </c>
      <c r="G21" s="33">
        <f t="shared" si="5"/>
        <v>353102.3532</v>
      </c>
      <c r="H21" s="33">
        <f t="shared" si="5"/>
        <v>422670.11884032</v>
      </c>
      <c r="I21" s="33">
        <f t="shared" si="5"/>
        <v>495211.368682032</v>
      </c>
    </row>
    <row r="22" customHeight="1" spans="2:9">
      <c r="B22" s="34" t="s">
        <v>71</v>
      </c>
      <c r="C22" s="30" t="s">
        <v>55</v>
      </c>
      <c r="E22" s="36">
        <f>E21/E$8</f>
        <v>0.321985815602837</v>
      </c>
      <c r="F22" s="36">
        <f t="shared" ref="F22:I22" si="6">F21/F$8</f>
        <v>0.356598720428508</v>
      </c>
      <c r="G22" s="36">
        <f t="shared" si="6"/>
        <v>0.386211883995822</v>
      </c>
      <c r="H22" s="36">
        <f t="shared" si="6"/>
        <v>0.411594414406769</v>
      </c>
      <c r="I22" s="36">
        <f t="shared" si="6"/>
        <v>0.433352609289015</v>
      </c>
    </row>
    <row r="24" customHeight="1" spans="2:10">
      <c r="B24" s="12" t="s">
        <v>72</v>
      </c>
      <c r="C24" s="13" t="s">
        <v>38</v>
      </c>
      <c r="E24" s="15">
        <f>'Forecast Assumptions'!E33*E8</f>
        <v>-35250</v>
      </c>
      <c r="F24" s="15">
        <f>'Forecast Assumptions'!F33*F8</f>
        <v>-38309.7</v>
      </c>
      <c r="G24" s="15">
        <f>'Forecast Assumptions'!G33*G8</f>
        <v>-41142.19824</v>
      </c>
      <c r="H24" s="15">
        <f>'Forecast Assumptions'!H33*H8</f>
        <v>-43643.643892992</v>
      </c>
      <c r="I24" s="15">
        <f>'Forecast Assumptions'!I33*I8</f>
        <v>-45709.7853403497</v>
      </c>
      <c r="J24" s="12"/>
    </row>
    <row r="25" customHeight="1" spans="2:10">
      <c r="B25" s="17" t="s">
        <v>73</v>
      </c>
      <c r="C25" s="18" t="s">
        <v>38</v>
      </c>
      <c r="D25" s="38"/>
      <c r="E25" s="33">
        <f t="shared" ref="E25:I25" si="7">SUM(E21,E24)</f>
        <v>191750</v>
      </c>
      <c r="F25" s="33">
        <f t="shared" si="7"/>
        <v>249294.3</v>
      </c>
      <c r="G25" s="33">
        <f t="shared" si="7"/>
        <v>311960.15496</v>
      </c>
      <c r="H25" s="33">
        <f t="shared" si="7"/>
        <v>379026.474947328</v>
      </c>
      <c r="I25" s="33">
        <f t="shared" si="7"/>
        <v>449501.583341683</v>
      </c>
      <c r="J25" s="12"/>
    </row>
    <row r="26" customHeight="1" spans="2:10">
      <c r="B26" s="34" t="s">
        <v>71</v>
      </c>
      <c r="C26" s="30" t="s">
        <v>55</v>
      </c>
      <c r="E26" s="36">
        <f>E25/E$8</f>
        <v>0.271985815602837</v>
      </c>
      <c r="F26" s="36">
        <f t="shared" ref="F26:I26" si="8">F25/F$8</f>
        <v>0.309098720428508</v>
      </c>
      <c r="G26" s="36">
        <f t="shared" si="8"/>
        <v>0.341211883995822</v>
      </c>
      <c r="H26" s="36">
        <f t="shared" si="8"/>
        <v>0.369094414406769</v>
      </c>
      <c r="I26" s="36">
        <f t="shared" si="8"/>
        <v>0.393352609289015</v>
      </c>
      <c r="J26" s="12"/>
    </row>
    <row r="28" customHeight="1" spans="2:9">
      <c r="B28" s="4" t="s">
        <v>74</v>
      </c>
      <c r="C28" s="30" t="s">
        <v>38</v>
      </c>
      <c r="E28" s="15">
        <f>'Cash Flow Forecast'!E8</f>
        <v>-15850</v>
      </c>
      <c r="F28" s="15">
        <f>'Cash Flow Forecast'!F8</f>
        <v>-13908.624</v>
      </c>
      <c r="G28" s="15">
        <f>'Cash Flow Forecast'!G8</f>
        <v>-11255.95705536</v>
      </c>
      <c r="H28" s="15">
        <f>'Cash Flow Forecast'!H8</f>
        <v>-7820.76442264535</v>
      </c>
      <c r="I28" s="15">
        <f>'Cash Flow Forecast'!I8</f>
        <v>-3539.48794884152</v>
      </c>
    </row>
    <row r="29" customHeight="1" spans="2:9">
      <c r="B29" s="17" t="s">
        <v>75</v>
      </c>
      <c r="C29" s="18" t="s">
        <v>38</v>
      </c>
      <c r="D29" s="38"/>
      <c r="E29" s="38">
        <f t="shared" ref="E29:F29" si="9">SUM(E25,E28)</f>
        <v>175900</v>
      </c>
      <c r="F29" s="38">
        <f t="shared" si="9"/>
        <v>235385.676</v>
      </c>
      <c r="G29" s="38">
        <f t="shared" ref="G29:I29" si="10">SUM(G25,G28)</f>
        <v>300704.19790464</v>
      </c>
      <c r="H29" s="38">
        <f t="shared" si="10"/>
        <v>371205.710524683</v>
      </c>
      <c r="I29" s="38">
        <f t="shared" si="10"/>
        <v>445962.095392841</v>
      </c>
    </row>
    <row r="30" customHeight="1" spans="2:9">
      <c r="B30" s="34" t="s">
        <v>71</v>
      </c>
      <c r="C30" s="30" t="s">
        <v>55</v>
      </c>
      <c r="E30" s="39">
        <f>E29/E$8</f>
        <v>0.249503546099291</v>
      </c>
      <c r="F30" s="39">
        <f t="shared" ref="F30:I30" si="11">F29/F$8</f>
        <v>0.291853489064127</v>
      </c>
      <c r="G30" s="39">
        <f t="shared" si="11"/>
        <v>0.328900483799448</v>
      </c>
      <c r="H30" s="39">
        <f t="shared" si="11"/>
        <v>0.361478586343068</v>
      </c>
      <c r="I30" s="39">
        <f t="shared" si="11"/>
        <v>0.390255252412375</v>
      </c>
    </row>
    <row r="32" customHeight="1" spans="2:9">
      <c r="B32" s="12" t="s">
        <v>76</v>
      </c>
      <c r="C32" s="13" t="s">
        <v>38</v>
      </c>
      <c r="E32" s="15">
        <f>-'Forecast Assumptions'!E43*'P&amp;L Forecast'!E29</f>
        <v>-36939</v>
      </c>
      <c r="F32" s="15">
        <f>-'Forecast Assumptions'!F43*'P&amp;L Forecast'!F29</f>
        <v>-49430.99196</v>
      </c>
      <c r="G32" s="15">
        <f>-'Forecast Assumptions'!G43*'P&amp;L Forecast'!G29</f>
        <v>-63147.8815599744</v>
      </c>
      <c r="H32" s="15">
        <f>-'Forecast Assumptions'!H43*'P&amp;L Forecast'!H29</f>
        <v>-77953.1992101834</v>
      </c>
      <c r="I32" s="15">
        <f>-'Forecast Assumptions'!I43*'P&amp;L Forecast'!I29</f>
        <v>-93652.0400324967</v>
      </c>
    </row>
    <row r="33" customHeight="1" spans="2:9">
      <c r="B33" s="17" t="s">
        <v>77</v>
      </c>
      <c r="C33" s="18" t="s">
        <v>38</v>
      </c>
      <c r="D33" s="38"/>
      <c r="E33" s="33">
        <f t="shared" ref="E33:F33" si="12">SUM(E29,E32)</f>
        <v>138961</v>
      </c>
      <c r="F33" s="33">
        <f t="shared" si="12"/>
        <v>185954.68404</v>
      </c>
      <c r="G33" s="33">
        <f t="shared" ref="G33:I33" si="13">SUM(G29,G32)</f>
        <v>237556.316344666</v>
      </c>
      <c r="H33" s="33">
        <f t="shared" si="13"/>
        <v>293252.511314499</v>
      </c>
      <c r="I33" s="33">
        <f t="shared" si="13"/>
        <v>352310.055360345</v>
      </c>
    </row>
    <row r="34" customHeight="1" spans="2:9">
      <c r="B34" s="34" t="s">
        <v>71</v>
      </c>
      <c r="C34" s="30" t="s">
        <v>55</v>
      </c>
      <c r="E34" s="36">
        <f>E33/E$8</f>
        <v>0.19710780141844</v>
      </c>
      <c r="F34" s="36">
        <f t="shared" ref="F34:I34" si="14">F33/F$8</f>
        <v>0.230564256360661</v>
      </c>
      <c r="G34" s="36">
        <f t="shared" si="14"/>
        <v>0.259831382201564</v>
      </c>
      <c r="H34" s="36">
        <f t="shared" si="14"/>
        <v>0.285568083211024</v>
      </c>
      <c r="I34" s="36">
        <f t="shared" si="14"/>
        <v>0.308301649405776</v>
      </c>
    </row>
    <row r="36" customHeight="1" spans="2:9">
      <c r="B36" s="12" t="s">
        <v>11</v>
      </c>
      <c r="C36" s="13" t="s">
        <v>55</v>
      </c>
      <c r="E36" s="40">
        <f>'Forecast Assumptions'!E39</f>
        <v>0.6</v>
      </c>
      <c r="F36" s="40">
        <f>'Forecast Assumptions'!F39</f>
        <v>0.6</v>
      </c>
      <c r="G36" s="40">
        <f>'Forecast Assumptions'!G39</f>
        <v>0.6</v>
      </c>
      <c r="H36" s="40">
        <f>'Forecast Assumptions'!H39</f>
        <v>0.6</v>
      </c>
      <c r="I36" s="40">
        <f>'Forecast Assumptions'!I39</f>
        <v>0.6</v>
      </c>
    </row>
    <row r="37" customHeight="1" spans="2:9">
      <c r="B37" s="17" t="s">
        <v>78</v>
      </c>
      <c r="C37" s="18" t="s">
        <v>38</v>
      </c>
      <c r="D37" s="38"/>
      <c r="E37" s="33">
        <f t="shared" ref="E37:I37" si="15">E33*E36</f>
        <v>83376.6</v>
      </c>
      <c r="F37" s="33">
        <f t="shared" si="15"/>
        <v>111572.810424</v>
      </c>
      <c r="G37" s="33">
        <f t="shared" si="15"/>
        <v>142533.789806799</v>
      </c>
      <c r="H37" s="33">
        <f t="shared" si="15"/>
        <v>175951.5067887</v>
      </c>
      <c r="I37" s="33">
        <f t="shared" si="15"/>
        <v>211386.033216207</v>
      </c>
    </row>
    <row r="38" customHeight="1" spans="4:9">
      <c r="D38" s="11"/>
      <c r="E38" s="11"/>
      <c r="F38" s="11"/>
      <c r="G38" s="11"/>
      <c r="H38" s="11"/>
      <c r="I38" s="11"/>
    </row>
    <row r="39" s="3" customFormat="1" customHeight="1" spans="1:2">
      <c r="A39" s="6" t="s">
        <v>32</v>
      </c>
      <c r="B39" s="6" t="s">
        <v>60</v>
      </c>
    </row>
  </sheetData>
  <pageMargins left="0.7" right="0.7" top="0.75" bottom="0.75" header="0.3" footer="0.3"/>
  <pageSetup paperSize="9" scale="18" orientation="portrait" verticalDpi="12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5"/>
  <sheetViews>
    <sheetView showGridLines="0" tabSelected="1" view="pageBreakPreview" zoomScale="70" zoomScaleNormal="100" workbookViewId="0">
      <pane xSplit="3" ySplit="3" topLeftCell="D7" activePane="bottomRight" state="frozenSplit"/>
      <selection/>
      <selection pane="topRight"/>
      <selection pane="bottomLeft"/>
      <selection pane="bottomRight" activeCell="F12" sqref="F12"/>
    </sheetView>
  </sheetViews>
  <sheetFormatPr defaultColWidth="20.6909090909091" defaultRowHeight="15" customHeight="1"/>
  <cols>
    <col min="1" max="1" width="2.69090909090909" style="4" customWidth="1"/>
    <col min="2" max="2" width="36" style="4" customWidth="1"/>
    <col min="3" max="3" width="23.3090909090909" style="4" customWidth="1"/>
    <col min="4" max="4" width="23.3090909090909" style="4" customWidth="1" outlineLevel="1"/>
    <col min="5" max="9" width="23.3090909090909" style="4" customWidth="1"/>
    <col min="10" max="10" width="1.69090909090909" style="4" customWidth="1"/>
    <col min="11" max="16384" width="20.6909090909091" style="4"/>
  </cols>
  <sheetData>
    <row r="1" s="1" customFormat="1" ht="35.15" customHeight="1" spans="2:5">
      <c r="B1" s="5" t="s">
        <v>79</v>
      </c>
      <c r="C1" s="6"/>
      <c r="D1" s="6"/>
      <c r="E1" s="6"/>
    </row>
    <row r="3" customHeight="1" spans="2:9">
      <c r="B3" s="7" t="s">
        <v>30</v>
      </c>
      <c r="C3" s="8" t="s">
        <v>31</v>
      </c>
      <c r="D3" s="9">
        <v>43830</v>
      </c>
      <c r="E3" s="10">
        <f t="shared" ref="E3:I3" si="0">EOMONTH(D3,12)</f>
        <v>44196</v>
      </c>
      <c r="F3" s="10">
        <f t="shared" si="0"/>
        <v>44561</v>
      </c>
      <c r="G3" s="10">
        <f t="shared" si="0"/>
        <v>44926</v>
      </c>
      <c r="H3" s="10">
        <f t="shared" si="0"/>
        <v>45291</v>
      </c>
      <c r="I3" s="10">
        <f t="shared" si="0"/>
        <v>45657</v>
      </c>
    </row>
    <row r="4" customHeight="1" spans="4:9">
      <c r="D4" s="11"/>
      <c r="E4" s="11"/>
      <c r="F4" s="11"/>
      <c r="G4" s="11"/>
      <c r="H4" s="11"/>
      <c r="I4" s="11"/>
    </row>
    <row r="5" customHeight="1" spans="2:9">
      <c r="B5" s="12" t="s">
        <v>13</v>
      </c>
      <c r="C5" s="13" t="s">
        <v>38</v>
      </c>
      <c r="D5" s="14"/>
      <c r="E5" s="15">
        <f>'P&amp;L Forecast'!E21</f>
        <v>227000</v>
      </c>
      <c r="F5" s="15">
        <f>'P&amp;L Forecast'!F21</f>
        <v>287604</v>
      </c>
      <c r="G5" s="15">
        <f>'P&amp;L Forecast'!G21</f>
        <v>353102.3532</v>
      </c>
      <c r="H5" s="15">
        <f>'P&amp;L Forecast'!H21</f>
        <v>422670.11884032</v>
      </c>
      <c r="I5" s="15">
        <f>'P&amp;L Forecast'!I21</f>
        <v>495211.368682032</v>
      </c>
    </row>
    <row r="6" customHeight="1" spans="2:9">
      <c r="B6" s="12" t="s">
        <v>80</v>
      </c>
      <c r="C6" s="13" t="s">
        <v>38</v>
      </c>
      <c r="D6" s="14"/>
      <c r="E6" s="15">
        <f>'P&amp;L Forecast'!E32</f>
        <v>-36939</v>
      </c>
      <c r="F6" s="15">
        <f>'P&amp;L Forecast'!F32</f>
        <v>-49430.99196</v>
      </c>
      <c r="G6" s="15">
        <f>'P&amp;L Forecast'!G32</f>
        <v>-63147.8815599744</v>
      </c>
      <c r="H6" s="15">
        <f>'P&amp;L Forecast'!H32</f>
        <v>-77953.1992101834</v>
      </c>
      <c r="I6" s="15">
        <f>'P&amp;L Forecast'!I32</f>
        <v>-93652.0400324967</v>
      </c>
    </row>
    <row r="7" customHeight="1" spans="2:9">
      <c r="B7" s="12" t="s">
        <v>81</v>
      </c>
      <c r="C7" s="13" t="s">
        <v>38</v>
      </c>
      <c r="D7" s="14"/>
      <c r="E7" s="16">
        <f>'Forecast Assumptions'!E38*'P&amp;L Forecast'!E8</f>
        <v>-7050</v>
      </c>
      <c r="F7" s="15">
        <f>'Forecast Assumptions'!F38*'P&amp;L Forecast'!F8</f>
        <v>-8065.2</v>
      </c>
      <c r="G7" s="15">
        <f>'Forecast Assumptions'!G38*'P&amp;L Forecast'!G8</f>
        <v>-9142.71072</v>
      </c>
      <c r="H7" s="15">
        <f>'Forecast Assumptions'!H38*'P&amp;L Forecast'!H8</f>
        <v>-10269.092680704</v>
      </c>
      <c r="I7" s="15">
        <f>'Forecast Assumptions'!I38*'P&amp;L Forecast'!I8</f>
        <v>-11427.4463350874</v>
      </c>
    </row>
    <row r="8" customHeight="1" spans="2:9">
      <c r="B8" s="12" t="s">
        <v>74</v>
      </c>
      <c r="C8" s="13" t="s">
        <v>38</v>
      </c>
      <c r="D8" s="14"/>
      <c r="E8" s="15">
        <f>(-'Forecast Assumptions'!E44*'Cash Flow Forecast'!E21)+('Cash Flow Forecast'!E15*'Forecast Assumptions'!E45)</f>
        <v>-15850</v>
      </c>
      <c r="F8" s="15">
        <f>(-'Forecast Assumptions'!F44*'Cash Flow Forecast'!F21)+('Cash Flow Forecast'!F15*'Forecast Assumptions'!F45)</f>
        <v>-13908.624</v>
      </c>
      <c r="G8" s="15">
        <f>(-'Forecast Assumptions'!G44*'Cash Flow Forecast'!G21)+('Cash Flow Forecast'!G15*'Forecast Assumptions'!G45)</f>
        <v>-11255.95705536</v>
      </c>
      <c r="H8" s="15">
        <f>(-'Forecast Assumptions'!H44*'Cash Flow Forecast'!H21)+('Cash Flow Forecast'!H15*'Forecast Assumptions'!H45)</f>
        <v>-7820.76442264535</v>
      </c>
      <c r="I8" s="15">
        <f>(-'Forecast Assumptions'!I44*'Cash Flow Forecast'!I21)+('Cash Flow Forecast'!I15*'Forecast Assumptions'!I45)</f>
        <v>-3539.48794884152</v>
      </c>
    </row>
    <row r="9" customHeight="1" spans="2:9">
      <c r="B9" s="12" t="s">
        <v>82</v>
      </c>
      <c r="C9" s="13" t="s">
        <v>38</v>
      </c>
      <c r="D9" s="14"/>
      <c r="E9" s="16">
        <f>'Forecast Assumptions'!E37*'P&amp;L Forecast'!E8</f>
        <v>-35250</v>
      </c>
      <c r="F9" s="16">
        <f>'Forecast Assumptions'!F37*'P&amp;L Forecast'!F8</f>
        <v>-38309.7</v>
      </c>
      <c r="G9" s="16">
        <f>'Forecast Assumptions'!G37*'P&amp;L Forecast'!G8</f>
        <v>-41142.19824</v>
      </c>
      <c r="H9" s="16">
        <f>'Forecast Assumptions'!H37*'P&amp;L Forecast'!H8</f>
        <v>-43643.643892992</v>
      </c>
      <c r="I9" s="16">
        <f>'Forecast Assumptions'!I37*'P&amp;L Forecast'!I8</f>
        <v>-45709.7853403497</v>
      </c>
    </row>
    <row r="10" customHeight="1" spans="2:9">
      <c r="B10" s="12" t="s">
        <v>83</v>
      </c>
      <c r="C10" s="13" t="s">
        <v>38</v>
      </c>
      <c r="D10" s="14"/>
      <c r="E10" s="15">
        <f>-'P&amp;L Forecast'!E37</f>
        <v>-83376.6</v>
      </c>
      <c r="F10" s="15">
        <f>-'P&amp;L Forecast'!F37</f>
        <v>-111572.810424</v>
      </c>
      <c r="G10" s="15">
        <f>-'P&amp;L Forecast'!G37</f>
        <v>-142533.789806799</v>
      </c>
      <c r="H10" s="15">
        <f>-'P&amp;L Forecast'!H37</f>
        <v>-175951.5067887</v>
      </c>
      <c r="I10" s="15">
        <f>-'P&amp;L Forecast'!I37</f>
        <v>-211386.033216207</v>
      </c>
    </row>
    <row r="11" customHeight="1" spans="2:9">
      <c r="B11" s="17" t="s">
        <v>84</v>
      </c>
      <c r="C11" s="18" t="s">
        <v>38</v>
      </c>
      <c r="D11" s="19"/>
      <c r="E11" s="20">
        <f>SUM(E5:E10)</f>
        <v>48534.4</v>
      </c>
      <c r="F11" s="20">
        <f t="shared" ref="F11:I11" si="1">SUM(F5:F10)</f>
        <v>66316.673616</v>
      </c>
      <c r="G11" s="20">
        <f t="shared" si="1"/>
        <v>85879.8158178663</v>
      </c>
      <c r="H11" s="20">
        <f t="shared" si="1"/>
        <v>107031.911845096</v>
      </c>
      <c r="I11" s="20">
        <f t="shared" si="1"/>
        <v>129496.57580905</v>
      </c>
    </row>
    <row r="12" customHeight="1" spans="2:9">
      <c r="B12" s="21" t="s">
        <v>85</v>
      </c>
      <c r="C12" s="22" t="s">
        <v>38</v>
      </c>
      <c r="D12" s="23"/>
      <c r="E12" s="24">
        <f>-MIN(E11,E21)</f>
        <v>-48534.4</v>
      </c>
      <c r="F12" s="24">
        <f t="shared" ref="F12:I12" si="2">-MIN(F11,F21)</f>
        <v>-66316.673616</v>
      </c>
      <c r="G12" s="24">
        <f t="shared" si="2"/>
        <v>-85879.8158178663</v>
      </c>
      <c r="H12" s="24">
        <f t="shared" si="2"/>
        <v>-107031.911845096</v>
      </c>
      <c r="I12" s="24">
        <f t="shared" si="2"/>
        <v>-92237.198721038</v>
      </c>
    </row>
    <row r="13" customHeight="1" spans="2:9">
      <c r="B13" s="17" t="s">
        <v>86</v>
      </c>
      <c r="C13" s="18" t="s">
        <v>38</v>
      </c>
      <c r="D13" s="19"/>
      <c r="E13" s="25">
        <f>SUM(E11:E12)</f>
        <v>0</v>
      </c>
      <c r="F13" s="25">
        <f t="shared" ref="F13:I13" si="3">SUM(F11:F12)</f>
        <v>0</v>
      </c>
      <c r="G13" s="25">
        <f t="shared" si="3"/>
        <v>0</v>
      </c>
      <c r="H13" s="25">
        <f t="shared" si="3"/>
        <v>0</v>
      </c>
      <c r="I13" s="25">
        <f t="shared" si="3"/>
        <v>37259.3770880125</v>
      </c>
    </row>
    <row r="15" customHeight="1" spans="2:9">
      <c r="B15" s="14" t="s">
        <v>87</v>
      </c>
      <c r="C15" s="22" t="s">
        <v>38</v>
      </c>
      <c r="E15" s="26">
        <f>D17</f>
        <v>15000</v>
      </c>
      <c r="F15" s="26">
        <f t="shared" ref="F15:I15" si="4">E17</f>
        <v>15000</v>
      </c>
      <c r="G15" s="26">
        <f t="shared" si="4"/>
        <v>15000</v>
      </c>
      <c r="H15" s="26">
        <f t="shared" si="4"/>
        <v>15000</v>
      </c>
      <c r="I15" s="26">
        <f t="shared" si="4"/>
        <v>15000</v>
      </c>
    </row>
    <row r="16" customHeight="1" spans="2:10">
      <c r="B16" s="14" t="s">
        <v>86</v>
      </c>
      <c r="C16" s="22" t="s">
        <v>38</v>
      </c>
      <c r="E16" s="26">
        <f>E13</f>
        <v>0</v>
      </c>
      <c r="F16" s="26">
        <f t="shared" ref="F16:I16" si="5">F13</f>
        <v>0</v>
      </c>
      <c r="G16" s="26">
        <f t="shared" si="5"/>
        <v>0</v>
      </c>
      <c r="H16" s="26">
        <f t="shared" si="5"/>
        <v>0</v>
      </c>
      <c r="I16" s="26">
        <f t="shared" si="5"/>
        <v>37259.3770880125</v>
      </c>
      <c r="J16" s="14"/>
    </row>
    <row r="17" customHeight="1" spans="2:10">
      <c r="B17" s="17" t="s">
        <v>88</v>
      </c>
      <c r="C17" s="18" t="s">
        <v>38</v>
      </c>
      <c r="D17" s="27">
        <v>15000</v>
      </c>
      <c r="E17" s="20">
        <f>SUM(E15:E16)</f>
        <v>15000</v>
      </c>
      <c r="F17" s="20">
        <f t="shared" ref="F17:I17" si="6">SUM(F15:F16)</f>
        <v>15000</v>
      </c>
      <c r="G17" s="20">
        <f t="shared" si="6"/>
        <v>15000</v>
      </c>
      <c r="H17" s="20">
        <f t="shared" si="6"/>
        <v>15000</v>
      </c>
      <c r="I17" s="20">
        <f t="shared" si="6"/>
        <v>52259.3770880125</v>
      </c>
      <c r="J17" s="14"/>
    </row>
    <row r="18" customHeight="1" spans="4:9">
      <c r="D18" s="11"/>
      <c r="E18" s="11"/>
      <c r="F18" s="11"/>
      <c r="G18" s="11"/>
      <c r="H18" s="11"/>
      <c r="I18" s="11"/>
    </row>
    <row r="19" s="2" customFormat="1" customHeight="1" spans="1:9">
      <c r="A19" s="28" t="s">
        <v>32</v>
      </c>
      <c r="B19" s="28" t="s">
        <v>89</v>
      </c>
      <c r="D19" s="29"/>
      <c r="E19" s="29"/>
      <c r="F19" s="29"/>
      <c r="G19" s="29"/>
      <c r="H19" s="29"/>
      <c r="I19" s="29"/>
    </row>
    <row r="20" customHeight="1" spans="4:9">
      <c r="D20" s="11"/>
      <c r="E20" s="11"/>
      <c r="F20" s="11"/>
      <c r="G20" s="11"/>
      <c r="H20" s="11"/>
      <c r="I20" s="11"/>
    </row>
    <row r="21" customHeight="1" spans="2:9">
      <c r="B21" s="4" t="s">
        <v>90</v>
      </c>
      <c r="C21" s="30" t="s">
        <v>38</v>
      </c>
      <c r="E21" s="26">
        <f>D23</f>
        <v>400000</v>
      </c>
      <c r="F21" s="26">
        <f t="shared" ref="F21" si="7">E23</f>
        <v>351465.6</v>
      </c>
      <c r="G21" s="26">
        <f t="shared" ref="G21" si="8">F23</f>
        <v>285148.926384</v>
      </c>
      <c r="H21" s="26">
        <f t="shared" ref="H21" si="9">G23</f>
        <v>199269.110566134</v>
      </c>
      <c r="I21" s="26">
        <f t="shared" ref="I21" si="10">H23</f>
        <v>92237.198721038</v>
      </c>
    </row>
    <row r="22" customHeight="1" spans="2:10">
      <c r="B22" s="4" t="s">
        <v>85</v>
      </c>
      <c r="C22" s="30" t="s">
        <v>38</v>
      </c>
      <c r="E22" s="26">
        <f>E12</f>
        <v>-48534.4</v>
      </c>
      <c r="F22" s="26">
        <f t="shared" ref="F22:I22" si="11">F12</f>
        <v>-66316.673616</v>
      </c>
      <c r="G22" s="26">
        <f t="shared" si="11"/>
        <v>-85879.8158178663</v>
      </c>
      <c r="H22" s="26">
        <f t="shared" si="11"/>
        <v>-107031.911845096</v>
      </c>
      <c r="I22" s="26">
        <f t="shared" si="11"/>
        <v>-92237.198721038</v>
      </c>
      <c r="J22" s="14"/>
    </row>
    <row r="23" customHeight="1" spans="2:10">
      <c r="B23" s="17" t="s">
        <v>91</v>
      </c>
      <c r="C23" s="18" t="s">
        <v>38</v>
      </c>
      <c r="D23" s="27">
        <v>400000</v>
      </c>
      <c r="E23" s="20">
        <f>SUM(E21:E22)</f>
        <v>351465.6</v>
      </c>
      <c r="F23" s="20">
        <f t="shared" ref="F23:I23" si="12">SUM(F21:F22)</f>
        <v>285148.926384</v>
      </c>
      <c r="G23" s="20">
        <f t="shared" si="12"/>
        <v>199269.110566134</v>
      </c>
      <c r="H23" s="20">
        <f t="shared" si="12"/>
        <v>92237.198721038</v>
      </c>
      <c r="I23" s="20">
        <f t="shared" si="12"/>
        <v>0</v>
      </c>
      <c r="J23" s="14"/>
    </row>
    <row r="24" customHeight="1" spans="4:9">
      <c r="D24" s="11"/>
      <c r="E24" s="11"/>
      <c r="F24" s="11"/>
      <c r="G24" s="11"/>
      <c r="H24" s="11"/>
      <c r="I24" s="11"/>
    </row>
    <row r="25" s="3" customFormat="1" customHeight="1" spans="1:2">
      <c r="A25" s="6" t="s">
        <v>32</v>
      </c>
      <c r="B25" s="6" t="s">
        <v>60</v>
      </c>
    </row>
  </sheetData>
  <pageMargins left="0.7" right="0.7" top="0.75" bottom="0.75" header="0.3" footer="0.3"/>
  <pageSetup paperSize="9" scale="18" orientation="portrait" verticalDpi="12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Glossary</vt:lpstr>
      <vt:lpstr>Forecast Assumptions</vt:lpstr>
      <vt:lpstr>P&amp;L Forecast</vt:lpstr>
      <vt:lpstr>Cash Flow Forecast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USER</cp:lastModifiedBy>
  <dcterms:created xsi:type="dcterms:W3CDTF">2020-07-20T11:12:00Z</dcterms:created>
  <dcterms:modified xsi:type="dcterms:W3CDTF">2024-08-31T11:16:37Z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3FC783E730434927A8C887B9CF90F486_12</vt:lpwstr>
  </property>
  <property fmtid="{D5CDD505-2E9C-101B-9397-08002B2CF9AE}" pid="3" name="KSOProductBuildVer">
    <vt:lpwstr>1033-12.2.0.17562</vt:lpwstr>
  </property>
</Properties>
</file>