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kuensi" sheetId="1" r:id="rId4"/>
    <sheet state="visible" name="Bil_acak" sheetId="2" r:id="rId5"/>
    <sheet state="visible" name="Last" sheetId="3" r:id="rId6"/>
    <sheet state="visible" name="backup" sheetId="4" r:id="rId7"/>
  </sheets>
  <definedNames/>
  <calcPr/>
</workbook>
</file>

<file path=xl/sharedStrings.xml><?xml version="1.0" encoding="utf-8"?>
<sst xmlns="http://schemas.openxmlformats.org/spreadsheetml/2006/main" count="190" uniqueCount="107">
  <si>
    <t xml:space="preserve">Tabel Frekuensi </t>
  </si>
  <si>
    <t>Jangkauan</t>
  </si>
  <si>
    <t>Banyak Kelas</t>
  </si>
  <si>
    <t>Panjang Kelas</t>
  </si>
  <si>
    <t>NO</t>
  </si>
  <si>
    <t>Kelas Interval</t>
  </si>
  <si>
    <t>Frekuensi (fi)</t>
  </si>
  <si>
    <t>Nilai Tengah (xi)</t>
  </si>
  <si>
    <t>fixi</t>
  </si>
  <si>
    <t>xi-x̄</t>
  </si>
  <si>
    <t>(xi-x̄)^2</t>
  </si>
  <si>
    <t>fi(xi-x̄)^2</t>
  </si>
  <si>
    <t>Frekuensi</t>
  </si>
  <si>
    <t>Nilai Tengah(xi)</t>
  </si>
  <si>
    <t>5-21</t>
  </si>
  <si>
    <t>13-37</t>
  </si>
  <si>
    <t>18 - 47</t>
  </si>
  <si>
    <t>22-37</t>
  </si>
  <si>
    <t>38-62</t>
  </si>
  <si>
    <t>48 - 77</t>
  </si>
  <si>
    <t>38-53</t>
  </si>
  <si>
    <t>63-87</t>
  </si>
  <si>
    <t>78 - 107</t>
  </si>
  <si>
    <t>54-69</t>
  </si>
  <si>
    <t>88-111</t>
  </si>
  <si>
    <t>108 - 137</t>
  </si>
  <si>
    <t>70-85</t>
  </si>
  <si>
    <t>112-136</t>
  </si>
  <si>
    <t>138 - 167</t>
  </si>
  <si>
    <t>86-101</t>
  </si>
  <si>
    <t>137-161</t>
  </si>
  <si>
    <t>168 - 197</t>
  </si>
  <si>
    <t>102-117</t>
  </si>
  <si>
    <t>162-186</t>
  </si>
  <si>
    <t>198 - 227</t>
  </si>
  <si>
    <t>Total</t>
  </si>
  <si>
    <t>paling besar</t>
  </si>
  <si>
    <t xml:space="preserve">Paling besar </t>
  </si>
  <si>
    <t xml:space="preserve">paling besar </t>
  </si>
  <si>
    <t>Paling kecil</t>
  </si>
  <si>
    <t>Paling Kecil</t>
  </si>
  <si>
    <t>paling kecil</t>
  </si>
  <si>
    <t>Rata-Rata (x̄)</t>
  </si>
  <si>
    <t>Var(X)</t>
  </si>
  <si>
    <t>σ</t>
  </si>
  <si>
    <t>Nunggu</t>
  </si>
  <si>
    <t>Service_Time</t>
  </si>
  <si>
    <t>Total Time</t>
  </si>
  <si>
    <t xml:space="preserve">Konstanta Pengali (a) </t>
  </si>
  <si>
    <t>Konstanta Increment (c)</t>
  </si>
  <si>
    <t>Konstanta Modulus (m)</t>
  </si>
  <si>
    <t>Nilai Awal (Z0)</t>
  </si>
  <si>
    <t>Waktu Menunggu Antrian</t>
  </si>
  <si>
    <t>Bilangan acak</t>
  </si>
  <si>
    <t>Variabel Acak</t>
  </si>
  <si>
    <t>i</t>
  </si>
  <si>
    <t>Bil.ACAK</t>
  </si>
  <si>
    <t>Hasil</t>
  </si>
  <si>
    <t>Zi-1</t>
  </si>
  <si>
    <t>Zi</t>
  </si>
  <si>
    <t>Ui</t>
  </si>
  <si>
    <t>ri</t>
  </si>
  <si>
    <t>ri+1</t>
  </si>
  <si>
    <t>Ui+1</t>
  </si>
  <si>
    <t>(-2lnUi )^½</t>
  </si>
  <si>
    <t>sin(2𝜋Ui+1)</t>
  </si>
  <si>
    <t>Z</t>
  </si>
  <si>
    <t>X = 𝜇 + 𝜎Z</t>
  </si>
  <si>
    <t>-</t>
  </si>
  <si>
    <t>Waktu Pelanggan Dilayani</t>
  </si>
  <si>
    <t>Bilangan Acak</t>
  </si>
  <si>
    <t>Bil. ACAK</t>
  </si>
  <si>
    <t>Waktu Pelanggan di Sistem</t>
  </si>
  <si>
    <t>Bilangan Acak yang Dibangkitkan</t>
  </si>
  <si>
    <t>Simulasi</t>
  </si>
  <si>
    <t>A</t>
  </si>
  <si>
    <t>B</t>
  </si>
  <si>
    <t>C</t>
  </si>
  <si>
    <t>D</t>
  </si>
  <si>
    <t>E</t>
  </si>
  <si>
    <t>F</t>
  </si>
  <si>
    <t>Menunggu Antrian</t>
  </si>
  <si>
    <t>Lama Dilayani</t>
  </si>
  <si>
    <t>Lama di Sistem</t>
  </si>
  <si>
    <t>Menunggu Antrian (detik)</t>
  </si>
  <si>
    <t>Lama Dilayani (detik)</t>
  </si>
  <si>
    <t>Lama di Sistem (detik)</t>
  </si>
  <si>
    <t>Rata-Rata tingkat kedatangan seorang pelanggan berikutnya adalah 20 pelanggan/jam, rata-rata waktu yang di perlukan kasir untuk melayani seorang pelanggan adalah 2 menit  yang mengikuti distribusi eksponensial Tentukan :</t>
  </si>
  <si>
    <t>1.Probabilitas ada 2 pelanggan menunggu antrian</t>
  </si>
  <si>
    <t>𝜌=</t>
  </si>
  <si>
    <t>λ=</t>
  </si>
  <si>
    <t>pelanggan/jam</t>
  </si>
  <si>
    <t>n = 2+1</t>
  </si>
  <si>
    <t>P0=</t>
  </si>
  <si>
    <t>𝜇 =</t>
  </si>
  <si>
    <t>Pn =</t>
  </si>
  <si>
    <t xml:space="preserve">2. Probabilitas tidak ada pelanggan di dalam system </t>
  </si>
  <si>
    <t>3.Probabilitas ada 5 pelanggan di indomaret</t>
  </si>
  <si>
    <t xml:space="preserve">Pn = </t>
  </si>
  <si>
    <t>4. rata-rata banyaknya pelanggan yang mengantri</t>
  </si>
  <si>
    <t xml:space="preserve">𝑳𝒒 =  𝜌^2/(1−𝜌)
</t>
  </si>
  <si>
    <t>0.7^2/(1-0.7)</t>
  </si>
  <si>
    <t>pelanggan</t>
  </si>
  <si>
    <t>5. rata-rata banyaknya pelanggan di indomaret</t>
  </si>
  <si>
    <t xml:space="preserve">𝑳=  𝜌/(1−𝜌)
</t>
  </si>
  <si>
    <t>0.7/(1-0.7)</t>
  </si>
  <si>
    <t>kum. Menunggu Antrian (detik)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</si>
</sst>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0.0"/>
    <numFmt numFmtId="166" formatCode="0.00000000000"/>
    <numFmt numFmtId="167" formatCode="0.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theme="1"/>
      <name val="Arial"/>
    </font>
    <font>
      <sz val="10.0"/>
      <color rgb="FF000000"/>
      <name val="&quot;Google Sans Mono&quot;"/>
    </font>
    <font/>
    <font>
      <color rgb="FF000000"/>
      <name val="Arial"/>
    </font>
    <font>
      <sz val="12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/>
    </xf>
    <xf borderId="0" fillId="2" fontId="1" numFmtId="0" xfId="0" applyFont="1"/>
    <xf borderId="0" fillId="2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1" numFmtId="49" xfId="0" applyAlignment="1" applyBorder="1" applyFont="1" applyNumberFormat="1">
      <alignment horizontal="center" readingOrder="0"/>
    </xf>
    <xf borderId="1" fillId="0" fontId="1" numFmtId="0" xfId="0" applyBorder="1" applyFont="1"/>
    <xf borderId="3" fillId="2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0" fontId="3" numFmtId="2" xfId="0" applyAlignment="1" applyBorder="1" applyFont="1" applyNumberFormat="1">
      <alignment vertical="bottom"/>
    </xf>
    <xf borderId="1" fillId="0" fontId="1" numFmtId="2" xfId="0" applyBorder="1" applyFont="1" applyNumberFormat="1"/>
    <xf borderId="4" fillId="2" fontId="3" numFmtId="0" xfId="0" applyAlignment="1" applyBorder="1" applyFont="1">
      <alignment vertical="bottom"/>
    </xf>
    <xf borderId="1" fillId="2" fontId="4" numFmtId="0" xfId="0" applyBorder="1" applyFont="1"/>
    <xf borderId="3" fillId="0" fontId="3" numFmtId="0" xfId="0" applyAlignment="1" applyBorder="1" applyFont="1">
      <alignment vertical="bottom"/>
    </xf>
    <xf borderId="1" fillId="2" fontId="2" numFmtId="0" xfId="0" applyBorder="1" applyFont="1"/>
    <xf borderId="5" fillId="0" fontId="1" numFmtId="0" xfId="0" applyAlignment="1" applyBorder="1" applyFont="1">
      <alignment horizontal="center" readingOrder="0"/>
    </xf>
    <xf borderId="2" fillId="0" fontId="5" numFmtId="0" xfId="0" applyBorder="1" applyFont="1"/>
    <xf borderId="1" fillId="0" fontId="6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0" fillId="0" fontId="1" numFmtId="4" xfId="0" applyAlignment="1" applyFont="1" applyNumberFormat="1">
      <alignment shrinkToFit="0" wrapText="0"/>
    </xf>
    <xf borderId="0" fillId="0" fontId="1" numFmtId="2" xfId="0" applyFont="1" applyNumberFormat="1"/>
    <xf borderId="0" fillId="3" fontId="1" numFmtId="0" xfId="0" applyFill="1" applyFont="1"/>
    <xf borderId="0" fillId="3" fontId="1" numFmtId="0" xfId="0" applyFont="1"/>
    <xf borderId="0" fillId="3" fontId="1" numFmtId="0" xfId="0" applyAlignment="1" applyFont="1">
      <alignment readingOrder="0"/>
    </xf>
    <xf borderId="0" fillId="2" fontId="1" numFmtId="0" xfId="0" applyFont="1"/>
    <xf borderId="5" fillId="0" fontId="7" numFmtId="0" xfId="0" applyAlignment="1" applyBorder="1" applyFont="1">
      <alignment readingOrder="0"/>
    </xf>
    <xf borderId="1" fillId="0" fontId="7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164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164" xfId="0" applyBorder="1" applyFont="1" applyNumberFormat="1"/>
    <xf borderId="1" fillId="0" fontId="1" numFmtId="1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6" fillId="0" fontId="5" numFmtId="0" xfId="0" applyBorder="1" applyFont="1"/>
    <xf borderId="6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 readingOrder="0"/>
    </xf>
    <xf borderId="0" fillId="0" fontId="1" numFmtId="165" xfId="0" applyAlignment="1" applyFont="1" applyNumberFormat="1">
      <alignment horizontal="left"/>
    </xf>
    <xf borderId="0" fillId="0" fontId="1" numFmtId="1" xfId="0" applyAlignment="1" applyFont="1" applyNumberFormat="1">
      <alignment horizontal="left" readingOrder="0"/>
    </xf>
    <xf borderId="0" fillId="0" fontId="1" numFmtId="166" xfId="0" applyFont="1" applyNumberFormat="1"/>
    <xf borderId="0" fillId="0" fontId="1" numFmtId="165" xfId="0" applyFont="1" applyNumberFormat="1"/>
    <xf borderId="0" fillId="0" fontId="1" numFmtId="167" xfId="0" applyFont="1" applyNumberFormat="1"/>
    <xf borderId="0" fillId="0" fontId="1" numFmtId="0" xfId="0" applyAlignment="1" applyFont="1">
      <alignment horizontal="left" readingOrder="0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428625</xdr:colOff>
      <xdr:row>18</xdr:row>
      <xdr:rowOff>19050</xdr:rowOff>
    </xdr:from>
    <xdr:ext cx="5657850" cy="2619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1.13"/>
    <col customWidth="1" min="3" max="3" width="10.75"/>
    <col customWidth="1" min="6" max="6" width="11.13"/>
    <col customWidth="1" min="7" max="7" width="8.38"/>
    <col customWidth="1" min="10" max="10" width="11.13"/>
    <col customWidth="1" min="11" max="11" width="14.75"/>
  </cols>
  <sheetData>
    <row r="1">
      <c r="A1" s="1" t="s">
        <v>0</v>
      </c>
    </row>
    <row r="3">
      <c r="A3" s="1" t="s">
        <v>1</v>
      </c>
      <c r="B3" s="2">
        <f>B18-B19</f>
        <v>112</v>
      </c>
      <c r="K3" s="1" t="s">
        <v>1</v>
      </c>
      <c r="L3" s="2">
        <f>L17-L18</f>
        <v>173</v>
      </c>
      <c r="S3" s="1" t="s">
        <v>1</v>
      </c>
      <c r="T3" s="2">
        <f>T17-T18</f>
        <v>208</v>
      </c>
      <c r="W3" s="3"/>
      <c r="X3" s="4"/>
    </row>
    <row r="4">
      <c r="A4" s="1" t="s">
        <v>2</v>
      </c>
      <c r="B4" s="2">
        <f>1+3.3*LOG(50)</f>
        <v>6.606601014</v>
      </c>
      <c r="C4" s="1">
        <f>7</f>
        <v>7</v>
      </c>
      <c r="K4" s="1" t="s">
        <v>2</v>
      </c>
      <c r="L4" s="2">
        <f>1+3.3*LOG(50)</f>
        <v>6.606601014</v>
      </c>
      <c r="M4" s="1">
        <v>7.0</v>
      </c>
      <c r="S4" s="1" t="s">
        <v>2</v>
      </c>
      <c r="T4" s="2">
        <f>1+3.3*LOG(50)</f>
        <v>6.606601014</v>
      </c>
      <c r="U4" s="1">
        <v>7.0</v>
      </c>
      <c r="W4" s="4"/>
      <c r="X4" s="5"/>
    </row>
    <row r="5">
      <c r="A5" s="1" t="s">
        <v>3</v>
      </c>
      <c r="B5" s="2">
        <f>B3/B4</f>
        <v>16.95274162</v>
      </c>
      <c r="C5" s="1">
        <v>17.0</v>
      </c>
      <c r="K5" s="1" t="s">
        <v>3</v>
      </c>
      <c r="L5" s="2">
        <f>L3/M4</f>
        <v>24.71428571</v>
      </c>
      <c r="M5" s="1">
        <v>25.0</v>
      </c>
      <c r="S5" s="1" t="s">
        <v>3</v>
      </c>
      <c r="T5" s="2">
        <f>T3/U4</f>
        <v>29.71428571</v>
      </c>
      <c r="U5" s="1">
        <v>30.0</v>
      </c>
      <c r="W5" s="4"/>
      <c r="X5" s="5"/>
    </row>
    <row r="7">
      <c r="A7" s="6" t="s">
        <v>4</v>
      </c>
      <c r="B7" s="6" t="s">
        <v>5</v>
      </c>
      <c r="C7" s="6" t="s">
        <v>6</v>
      </c>
      <c r="D7" s="6" t="s">
        <v>7</v>
      </c>
      <c r="E7" s="6" t="s">
        <v>8</v>
      </c>
      <c r="F7" s="6" t="s">
        <v>9</v>
      </c>
      <c r="G7" s="6" t="s">
        <v>10</v>
      </c>
      <c r="H7" s="6" t="s">
        <v>11</v>
      </c>
      <c r="J7" s="6" t="s">
        <v>4</v>
      </c>
      <c r="K7" s="6" t="s">
        <v>5</v>
      </c>
      <c r="L7" s="6" t="s">
        <v>12</v>
      </c>
      <c r="M7" s="7" t="s">
        <v>13</v>
      </c>
      <c r="N7" s="8" t="s">
        <v>8</v>
      </c>
      <c r="O7" s="9" t="s">
        <v>9</v>
      </c>
      <c r="P7" s="10" t="s">
        <v>10</v>
      </c>
      <c r="Q7" s="10" t="s">
        <v>11</v>
      </c>
      <c r="S7" s="6" t="s">
        <v>4</v>
      </c>
      <c r="T7" s="6" t="s">
        <v>5</v>
      </c>
      <c r="U7" s="6" t="s">
        <v>12</v>
      </c>
      <c r="V7" s="7" t="s">
        <v>13</v>
      </c>
      <c r="W7" s="8" t="s">
        <v>8</v>
      </c>
      <c r="X7" s="9" t="s">
        <v>9</v>
      </c>
      <c r="Y7" s="10" t="s">
        <v>10</v>
      </c>
      <c r="Z7" s="10" t="s">
        <v>11</v>
      </c>
    </row>
    <row r="8">
      <c r="A8" s="6">
        <v>1.0</v>
      </c>
      <c r="B8" s="11" t="s">
        <v>14</v>
      </c>
      <c r="C8" s="12">
        <f>COUNTIFS(B23:B72, "&gt;=5", B23:B72, "&lt;=21")</f>
        <v>26</v>
      </c>
      <c r="D8" s="12">
        <f>(21+5)/2</f>
        <v>13</v>
      </c>
      <c r="E8" s="12">
        <f t="shared" ref="E8:E14" si="1">C8*D8</f>
        <v>338</v>
      </c>
      <c r="F8" s="12">
        <f t="shared" ref="F8:F14" si="2">D8-$B$20</f>
        <v>-24.36</v>
      </c>
      <c r="G8" s="12">
        <f t="shared" ref="G8:G14" si="3">F8^2</f>
        <v>593.4096</v>
      </c>
      <c r="H8" s="12">
        <f t="shared" ref="H8:H14" si="4">C8*G8</f>
        <v>15428.6496</v>
      </c>
      <c r="J8" s="6">
        <v>1.0</v>
      </c>
      <c r="K8" s="11" t="s">
        <v>15</v>
      </c>
      <c r="L8" s="12">
        <f>COUNTIFS(L22:L71, "&gt;=13", L22:L71, "&lt;=37")</f>
        <v>14</v>
      </c>
      <c r="M8" s="13">
        <f>(13+37)/2</f>
        <v>25</v>
      </c>
      <c r="N8" s="14">
        <f t="shared" ref="N8:N14" si="5">L8*M8</f>
        <v>350</v>
      </c>
      <c r="O8" s="15">
        <f t="shared" ref="O8:O14" si="6">M8-$L$19</f>
        <v>-47.73</v>
      </c>
      <c r="P8" s="16">
        <f t="shared" ref="P8:P14" si="7">O8^2</f>
        <v>2278.1529</v>
      </c>
      <c r="Q8" s="16">
        <f t="shared" ref="Q8:Q14" si="8">L8*P8</f>
        <v>31894.1406</v>
      </c>
      <c r="S8" s="6">
        <v>1.0</v>
      </c>
      <c r="T8" s="6" t="s">
        <v>16</v>
      </c>
      <c r="U8" s="12">
        <f>COUNTIFS(T22:T71, "&gt;=18", T22:T71, "&lt;=47")</f>
        <v>3</v>
      </c>
      <c r="V8" s="13">
        <f>(18+47)/2</f>
        <v>32.5</v>
      </c>
      <c r="W8" s="17">
        <f t="shared" ref="W8:W14" si="9">U8*V8</f>
        <v>97.5</v>
      </c>
      <c r="X8" s="15">
        <f t="shared" ref="X8:X14" si="10">V8-$T$19</f>
        <v>-76.2</v>
      </c>
      <c r="Y8" s="16">
        <f t="shared" ref="Y8:Y14" si="11">X8^2</f>
        <v>5806.44</v>
      </c>
      <c r="Z8" s="16">
        <f t="shared" ref="Z8:Z14" si="12">U8*Y8</f>
        <v>17419.32</v>
      </c>
    </row>
    <row r="9">
      <c r="A9" s="6">
        <v>2.0</v>
      </c>
      <c r="B9" s="11" t="s">
        <v>17</v>
      </c>
      <c r="C9" s="12">
        <f>COUNTIFS(B23:B72, "&gt;=22", B23:B72, "&lt;=37")</f>
        <v>7</v>
      </c>
      <c r="D9" s="12">
        <f>(22+37)/2</f>
        <v>29.5</v>
      </c>
      <c r="E9" s="12">
        <f t="shared" si="1"/>
        <v>206.5</v>
      </c>
      <c r="F9" s="12">
        <f t="shared" si="2"/>
        <v>-7.86</v>
      </c>
      <c r="G9" s="12">
        <f t="shared" si="3"/>
        <v>61.7796</v>
      </c>
      <c r="H9" s="12">
        <f t="shared" si="4"/>
        <v>432.4572</v>
      </c>
      <c r="J9" s="6">
        <v>2.0</v>
      </c>
      <c r="K9" s="11" t="s">
        <v>18</v>
      </c>
      <c r="L9" s="18">
        <f>COUNTIFS(L22:L71, "&gt;=38", L22:L71, "&lt;=62")</f>
        <v>11</v>
      </c>
      <c r="M9" s="19">
        <f>(38+62)/2</f>
        <v>50</v>
      </c>
      <c r="N9" s="14">
        <f t="shared" si="5"/>
        <v>550</v>
      </c>
      <c r="O9" s="15">
        <f t="shared" si="6"/>
        <v>-22.73</v>
      </c>
      <c r="P9" s="16">
        <f t="shared" si="7"/>
        <v>516.6529</v>
      </c>
      <c r="Q9" s="16">
        <f t="shared" si="8"/>
        <v>5683.1819</v>
      </c>
      <c r="S9" s="6">
        <v>2.0</v>
      </c>
      <c r="T9" s="6" t="s">
        <v>19</v>
      </c>
      <c r="U9" s="12">
        <f>COUNTIFS(T22:T71, "&gt;=48", T22:T71, "&lt;=77")</f>
        <v>14</v>
      </c>
      <c r="V9" s="19">
        <f>(48+77)/2</f>
        <v>62.5</v>
      </c>
      <c r="W9" s="17">
        <f t="shared" si="9"/>
        <v>875</v>
      </c>
      <c r="X9" s="15">
        <f t="shared" si="10"/>
        <v>-46.2</v>
      </c>
      <c r="Y9" s="16">
        <f t="shared" si="11"/>
        <v>2134.44</v>
      </c>
      <c r="Z9" s="16">
        <f t="shared" si="12"/>
        <v>29882.16</v>
      </c>
    </row>
    <row r="10">
      <c r="A10" s="6">
        <v>3.0</v>
      </c>
      <c r="B10" s="11" t="s">
        <v>20</v>
      </c>
      <c r="C10" s="12">
        <f>COUNTIFS(B23:B72, "&gt;=38", B23:B72, "&lt;=53")</f>
        <v>2</v>
      </c>
      <c r="D10" s="12">
        <f>(38+43)/2</f>
        <v>40.5</v>
      </c>
      <c r="E10" s="12">
        <f t="shared" si="1"/>
        <v>81</v>
      </c>
      <c r="F10" s="12">
        <f t="shared" si="2"/>
        <v>3.14</v>
      </c>
      <c r="G10" s="12">
        <f t="shared" si="3"/>
        <v>9.8596</v>
      </c>
      <c r="H10" s="12">
        <f t="shared" si="4"/>
        <v>19.7192</v>
      </c>
      <c r="J10" s="6">
        <v>3.0</v>
      </c>
      <c r="K10" s="11" t="s">
        <v>21</v>
      </c>
      <c r="L10" s="18">
        <f>COUNTIFS(L22:L71, "&gt;=63", L22:L71, "&lt;=87")</f>
        <v>9</v>
      </c>
      <c r="M10" s="19">
        <f>(63+87)/2</f>
        <v>75</v>
      </c>
      <c r="N10" s="14">
        <f t="shared" si="5"/>
        <v>675</v>
      </c>
      <c r="O10" s="15">
        <f t="shared" si="6"/>
        <v>2.27</v>
      </c>
      <c r="P10" s="16">
        <f t="shared" si="7"/>
        <v>5.1529</v>
      </c>
      <c r="Q10" s="16">
        <f t="shared" si="8"/>
        <v>46.3761</v>
      </c>
      <c r="S10" s="6">
        <v>3.0</v>
      </c>
      <c r="T10" s="6" t="s">
        <v>22</v>
      </c>
      <c r="U10" s="12">
        <f>COUNTIFS(T22:T71, "&gt;=78", T22:T71, "&lt;=107")</f>
        <v>13</v>
      </c>
      <c r="V10" s="19">
        <f>(78+107)/2</f>
        <v>92.5</v>
      </c>
      <c r="W10" s="17">
        <f t="shared" si="9"/>
        <v>1202.5</v>
      </c>
      <c r="X10" s="15">
        <f t="shared" si="10"/>
        <v>-16.2</v>
      </c>
      <c r="Y10" s="16">
        <f t="shared" si="11"/>
        <v>262.44</v>
      </c>
      <c r="Z10" s="16">
        <f t="shared" si="12"/>
        <v>3411.72</v>
      </c>
    </row>
    <row r="11">
      <c r="A11" s="6">
        <v>4.0</v>
      </c>
      <c r="B11" s="11" t="s">
        <v>23</v>
      </c>
      <c r="C11" s="12">
        <f>COUNTIFS(B23:B72, "&gt;=54", B23:B72, "&lt;=69")</f>
        <v>6</v>
      </c>
      <c r="D11" s="12">
        <f>(54+69)/2</f>
        <v>61.5</v>
      </c>
      <c r="E11" s="12">
        <f t="shared" si="1"/>
        <v>369</v>
      </c>
      <c r="F11" s="12">
        <f t="shared" si="2"/>
        <v>24.14</v>
      </c>
      <c r="G11" s="12">
        <f t="shared" si="3"/>
        <v>582.7396</v>
      </c>
      <c r="H11" s="12">
        <f t="shared" si="4"/>
        <v>3496.4376</v>
      </c>
      <c r="J11" s="6">
        <v>4.0</v>
      </c>
      <c r="K11" s="11" t="s">
        <v>24</v>
      </c>
      <c r="L11" s="18">
        <f>COUNTIFS(L22:L71, "&gt;=88", L22:L71, "&lt;=111")</f>
        <v>5</v>
      </c>
      <c r="M11" s="19">
        <f>(88+111)/2</f>
        <v>99.5</v>
      </c>
      <c r="N11" s="14">
        <f t="shared" si="5"/>
        <v>497.5</v>
      </c>
      <c r="O11" s="15">
        <f t="shared" si="6"/>
        <v>26.77</v>
      </c>
      <c r="P11" s="16">
        <f t="shared" si="7"/>
        <v>716.6329</v>
      </c>
      <c r="Q11" s="16">
        <f t="shared" si="8"/>
        <v>3583.1645</v>
      </c>
      <c r="S11" s="6">
        <v>4.0</v>
      </c>
      <c r="T11" s="6" t="s">
        <v>25</v>
      </c>
      <c r="U11" s="12">
        <f>COUNTIFS(T22:T71, "&gt;=108", T22:T71, "&lt;=137")</f>
        <v>5</v>
      </c>
      <c r="V11" s="19">
        <f>(108+137)/2</f>
        <v>122.5</v>
      </c>
      <c r="W11" s="17">
        <f t="shared" si="9"/>
        <v>612.5</v>
      </c>
      <c r="X11" s="15">
        <f t="shared" si="10"/>
        <v>13.8</v>
      </c>
      <c r="Y11" s="16">
        <f t="shared" si="11"/>
        <v>190.44</v>
      </c>
      <c r="Z11" s="16">
        <f t="shared" si="12"/>
        <v>952.2</v>
      </c>
    </row>
    <row r="12">
      <c r="A12" s="6">
        <v>5.0</v>
      </c>
      <c r="B12" s="11" t="s">
        <v>26</v>
      </c>
      <c r="C12" s="12">
        <f>COUNTIFS(B23:B72, "&gt;=70", B23:B72, "&lt;=85")</f>
        <v>2</v>
      </c>
      <c r="D12" s="12">
        <f>(70+85)/2</f>
        <v>77.5</v>
      </c>
      <c r="E12" s="12">
        <f t="shared" si="1"/>
        <v>155</v>
      </c>
      <c r="F12" s="12">
        <f t="shared" si="2"/>
        <v>40.14</v>
      </c>
      <c r="G12" s="12">
        <f t="shared" si="3"/>
        <v>1611.2196</v>
      </c>
      <c r="H12" s="12">
        <f t="shared" si="4"/>
        <v>3222.4392</v>
      </c>
      <c r="J12" s="6">
        <v>5.0</v>
      </c>
      <c r="K12" s="11" t="s">
        <v>27</v>
      </c>
      <c r="L12" s="18">
        <f>COUNTIFS(L22:L71, "&gt;=112", L22:L71, "&lt;=136")</f>
        <v>5</v>
      </c>
      <c r="M12" s="19">
        <f>(112+136)/2</f>
        <v>124</v>
      </c>
      <c r="N12" s="14">
        <f t="shared" si="5"/>
        <v>620</v>
      </c>
      <c r="O12" s="15">
        <f t="shared" si="6"/>
        <v>51.27</v>
      </c>
      <c r="P12" s="16">
        <f t="shared" si="7"/>
        <v>2628.6129</v>
      </c>
      <c r="Q12" s="16">
        <f t="shared" si="8"/>
        <v>13143.0645</v>
      </c>
      <c r="S12" s="6">
        <v>5.0</v>
      </c>
      <c r="T12" s="6" t="s">
        <v>28</v>
      </c>
      <c r="U12" s="12">
        <f>COUNTIFS(T22:T71, "&gt;=138", T22:T71, "&lt;=167")</f>
        <v>6</v>
      </c>
      <c r="V12" s="20">
        <f>(138+167)/2</f>
        <v>152.5</v>
      </c>
      <c r="W12" s="17">
        <f t="shared" si="9"/>
        <v>915</v>
      </c>
      <c r="X12" s="15">
        <f t="shared" si="10"/>
        <v>43.8</v>
      </c>
      <c r="Y12" s="16">
        <f t="shared" si="11"/>
        <v>1918.44</v>
      </c>
      <c r="Z12" s="16">
        <f t="shared" si="12"/>
        <v>11510.64</v>
      </c>
    </row>
    <row r="13">
      <c r="A13" s="6">
        <v>6.0</v>
      </c>
      <c r="B13" s="11" t="s">
        <v>29</v>
      </c>
      <c r="C13" s="12">
        <f>COUNTIFS(B23:B72, "&gt;=86", B23:B72, "&lt;=101")</f>
        <v>3</v>
      </c>
      <c r="D13" s="12">
        <f>(86+101)/2</f>
        <v>93.5</v>
      </c>
      <c r="E13" s="12">
        <f t="shared" si="1"/>
        <v>280.5</v>
      </c>
      <c r="F13" s="12">
        <f t="shared" si="2"/>
        <v>56.14</v>
      </c>
      <c r="G13" s="12">
        <f t="shared" si="3"/>
        <v>3151.6996</v>
      </c>
      <c r="H13" s="12">
        <f t="shared" si="4"/>
        <v>9455.0988</v>
      </c>
      <c r="J13" s="6">
        <v>6.0</v>
      </c>
      <c r="K13" s="11" t="s">
        <v>30</v>
      </c>
      <c r="L13" s="18">
        <f>COUNTIFS(L22:L71, "&gt;=137", L22:L71, "&lt;=161")</f>
        <v>4</v>
      </c>
      <c r="M13" s="19">
        <f>(137+161)/2</f>
        <v>149</v>
      </c>
      <c r="N13" s="14">
        <f t="shared" si="5"/>
        <v>596</v>
      </c>
      <c r="O13" s="15">
        <f t="shared" si="6"/>
        <v>76.27</v>
      </c>
      <c r="P13" s="16">
        <f t="shared" si="7"/>
        <v>5817.1129</v>
      </c>
      <c r="Q13" s="16">
        <f t="shared" si="8"/>
        <v>23268.4516</v>
      </c>
      <c r="S13" s="6">
        <v>6.0</v>
      </c>
      <c r="T13" s="6" t="s">
        <v>31</v>
      </c>
      <c r="U13" s="12">
        <f>COUNTIFS(T22:T71, "&gt;=168", T22:T71, "&lt;=197")</f>
        <v>6</v>
      </c>
      <c r="V13" s="19">
        <f>(168+197)/2</f>
        <v>182.5</v>
      </c>
      <c r="W13" s="17">
        <f t="shared" si="9"/>
        <v>1095</v>
      </c>
      <c r="X13" s="15">
        <f t="shared" si="10"/>
        <v>73.8</v>
      </c>
      <c r="Y13" s="16">
        <f t="shared" si="11"/>
        <v>5446.44</v>
      </c>
      <c r="Z13" s="16">
        <f t="shared" si="12"/>
        <v>32678.64</v>
      </c>
    </row>
    <row r="14">
      <c r="A14" s="6">
        <v>7.0</v>
      </c>
      <c r="B14" s="6" t="s">
        <v>32</v>
      </c>
      <c r="C14" s="10">
        <f>COUNTIFS(B23:B72, "&gt;=102", B23:B72, "&lt;=117")</f>
        <v>4</v>
      </c>
      <c r="D14" s="12">
        <f>(102+117)/2</f>
        <v>109.5</v>
      </c>
      <c r="E14" s="12">
        <f t="shared" si="1"/>
        <v>438</v>
      </c>
      <c r="F14" s="12">
        <f t="shared" si="2"/>
        <v>72.14</v>
      </c>
      <c r="G14" s="12">
        <f t="shared" si="3"/>
        <v>5204.1796</v>
      </c>
      <c r="H14" s="12">
        <f t="shared" si="4"/>
        <v>20816.7184</v>
      </c>
      <c r="J14" s="6">
        <v>7.0</v>
      </c>
      <c r="K14" s="6" t="s">
        <v>33</v>
      </c>
      <c r="L14" s="18">
        <f>COUNTIFS(L22:L71, "&gt;=162", L22:L71, "&lt;=186")</f>
        <v>2</v>
      </c>
      <c r="M14" s="18">
        <f>(162+186)/2</f>
        <v>174</v>
      </c>
      <c r="N14" s="14">
        <f t="shared" si="5"/>
        <v>348</v>
      </c>
      <c r="O14" s="15">
        <f t="shared" si="6"/>
        <v>101.27</v>
      </c>
      <c r="P14" s="16">
        <f t="shared" si="7"/>
        <v>10255.6129</v>
      </c>
      <c r="Q14" s="16">
        <f t="shared" si="8"/>
        <v>20511.2258</v>
      </c>
      <c r="S14" s="6">
        <v>7.0</v>
      </c>
      <c r="T14" s="6" t="s">
        <v>34</v>
      </c>
      <c r="U14" s="12">
        <f>COUNTIFS(T22:T71, "&gt;=198", T22:T71, "&lt;=227")</f>
        <v>3</v>
      </c>
      <c r="V14" s="12">
        <f>(198+227)/2</f>
        <v>212.5</v>
      </c>
      <c r="W14" s="12">
        <f t="shared" si="9"/>
        <v>637.5</v>
      </c>
      <c r="X14" s="16">
        <f t="shared" si="10"/>
        <v>103.8</v>
      </c>
      <c r="Y14" s="12">
        <f t="shared" si="11"/>
        <v>10774.44</v>
      </c>
      <c r="Z14" s="12">
        <f t="shared" si="12"/>
        <v>32323.32</v>
      </c>
    </row>
    <row r="15">
      <c r="A15" s="21" t="s">
        <v>35</v>
      </c>
      <c r="B15" s="22"/>
      <c r="C15" s="10">
        <f>SUM(C8:C14)</f>
        <v>50</v>
      </c>
      <c r="D15" s="12"/>
      <c r="E15" s="12">
        <f>SUM(E8:E14)</f>
        <v>1868</v>
      </c>
      <c r="F15" s="12"/>
      <c r="G15" s="12"/>
      <c r="H15" s="12">
        <f>SUM(H8:H14)</f>
        <v>52871.52</v>
      </c>
      <c r="J15" s="21" t="s">
        <v>35</v>
      </c>
      <c r="K15" s="22"/>
      <c r="L15" s="12">
        <f>SUM(L8:L14)</f>
        <v>50</v>
      </c>
      <c r="M15" s="23"/>
      <c r="N15" s="14">
        <f>SUM(N8:N14)</f>
        <v>3636.5</v>
      </c>
      <c r="O15" s="14"/>
      <c r="P15" s="12"/>
      <c r="Q15" s="16">
        <f>SUM(Q8:Q14)</f>
        <v>98129.605</v>
      </c>
      <c r="S15" s="21" t="s">
        <v>35</v>
      </c>
      <c r="T15" s="22"/>
      <c r="U15" s="12">
        <f>SUM(U8:U14)</f>
        <v>50</v>
      </c>
      <c r="V15" s="24"/>
      <c r="W15" s="25">
        <f>SUM(W8:W14)</f>
        <v>5435</v>
      </c>
      <c r="X15" s="24"/>
      <c r="Y15" s="12"/>
      <c r="Z15" s="16">
        <f>SUM(Z8:Z14)</f>
        <v>128178</v>
      </c>
    </row>
    <row r="17">
      <c r="K17" s="1" t="s">
        <v>36</v>
      </c>
      <c r="L17" s="1">
        <f>MAX(L22:L71)</f>
        <v>186</v>
      </c>
      <c r="S17" s="1" t="s">
        <v>37</v>
      </c>
      <c r="T17" s="1">
        <f>MAX(T22:T71)</f>
        <v>226</v>
      </c>
    </row>
    <row r="18">
      <c r="A18" s="1" t="s">
        <v>38</v>
      </c>
      <c r="B18" s="1">
        <f>MAX(B23:B72)</f>
        <v>117</v>
      </c>
      <c r="K18" s="1" t="s">
        <v>39</v>
      </c>
      <c r="L18" s="1">
        <f>MIN(L22:L71)</f>
        <v>13</v>
      </c>
      <c r="S18" s="1" t="s">
        <v>40</v>
      </c>
      <c r="T18" s="1">
        <f>MIN(T22:T71)</f>
        <v>18</v>
      </c>
    </row>
    <row r="19">
      <c r="A19" s="1" t="s">
        <v>41</v>
      </c>
      <c r="B19" s="1">
        <f>MIN(B23:B72)</f>
        <v>5</v>
      </c>
      <c r="K19" s="1" t="s">
        <v>42</v>
      </c>
      <c r="L19" s="26">
        <f>N15/L15</f>
        <v>72.73</v>
      </c>
      <c r="S19" s="1" t="s">
        <v>42</v>
      </c>
      <c r="T19" s="27">
        <f>W15/U15</f>
        <v>108.7</v>
      </c>
    </row>
    <row r="20">
      <c r="A20" s="1" t="s">
        <v>42</v>
      </c>
      <c r="B20" s="2">
        <f>E15/C15</f>
        <v>37.36</v>
      </c>
      <c r="K20" s="1" t="s">
        <v>43</v>
      </c>
      <c r="L20" s="27">
        <f>Q15/L15</f>
        <v>1962.5921</v>
      </c>
      <c r="M20" s="1" t="s">
        <v>44</v>
      </c>
      <c r="N20" s="27">
        <f>SQRT(L20)</f>
        <v>44.30115236</v>
      </c>
      <c r="S20" s="1" t="s">
        <v>43</v>
      </c>
      <c r="T20" s="27">
        <f>Z15/U15</f>
        <v>2563.56</v>
      </c>
      <c r="U20" s="1" t="s">
        <v>44</v>
      </c>
      <c r="V20" s="27">
        <f>SQRT(T20)</f>
        <v>50.63161068</v>
      </c>
    </row>
    <row r="21">
      <c r="A21" s="1" t="s">
        <v>43</v>
      </c>
      <c r="B21" s="2">
        <f>H15/C15</f>
        <v>1057.4304</v>
      </c>
      <c r="C21" s="1" t="s">
        <v>44</v>
      </c>
      <c r="D21" s="27">
        <f>SQRT(B21)</f>
        <v>32.51815493</v>
      </c>
    </row>
    <row r="22">
      <c r="L22" s="1">
        <v>76.0</v>
      </c>
      <c r="T22" s="1">
        <v>81.0</v>
      </c>
    </row>
    <row r="23">
      <c r="B23" s="1">
        <v>5.0</v>
      </c>
      <c r="L23" s="1">
        <v>48.0</v>
      </c>
      <c r="T23" s="1">
        <v>72.0</v>
      </c>
    </row>
    <row r="24">
      <c r="B24" s="1">
        <v>24.0</v>
      </c>
      <c r="L24" s="1">
        <v>35.0</v>
      </c>
      <c r="T24" s="1">
        <v>98.0</v>
      </c>
    </row>
    <row r="25">
      <c r="B25" s="1">
        <v>63.0</v>
      </c>
      <c r="L25" s="1">
        <v>26.0</v>
      </c>
      <c r="T25" s="1">
        <v>108.0</v>
      </c>
    </row>
    <row r="26">
      <c r="B26" s="1">
        <v>82.0</v>
      </c>
      <c r="L26" s="1">
        <v>81.0</v>
      </c>
      <c r="T26" s="1">
        <v>86.0</v>
      </c>
    </row>
    <row r="27">
      <c r="B27" s="1">
        <v>5.0</v>
      </c>
      <c r="L27" s="1">
        <v>86.0</v>
      </c>
      <c r="T27" s="1">
        <v>91.0</v>
      </c>
    </row>
    <row r="28">
      <c r="B28" s="1">
        <v>5.0</v>
      </c>
      <c r="L28" s="1">
        <v>40.0</v>
      </c>
      <c r="T28" s="1">
        <v>130.0</v>
      </c>
    </row>
    <row r="29">
      <c r="B29" s="1">
        <v>90.0</v>
      </c>
      <c r="L29" s="1">
        <v>26.0</v>
      </c>
      <c r="T29" s="1">
        <v>143.0</v>
      </c>
    </row>
    <row r="30">
      <c r="B30" s="1">
        <v>117.0</v>
      </c>
      <c r="L30" s="1">
        <v>28.0</v>
      </c>
      <c r="T30" s="1">
        <v>50.0</v>
      </c>
    </row>
    <row r="31">
      <c r="B31" s="1">
        <v>22.0</v>
      </c>
      <c r="L31" s="1">
        <v>33.0</v>
      </c>
      <c r="T31" s="1">
        <v>79.0</v>
      </c>
    </row>
    <row r="32">
      <c r="B32" s="1">
        <v>46.0</v>
      </c>
      <c r="L32" s="1">
        <v>60.0</v>
      </c>
      <c r="T32" s="1">
        <v>65.0</v>
      </c>
    </row>
    <row r="33">
      <c r="B33" s="1">
        <v>5.0</v>
      </c>
      <c r="L33" s="1">
        <v>13.0</v>
      </c>
      <c r="T33" s="1">
        <v>18.0</v>
      </c>
    </row>
    <row r="34">
      <c r="B34" s="1">
        <v>5.0</v>
      </c>
      <c r="L34" s="1">
        <v>40.0</v>
      </c>
      <c r="T34" s="1">
        <v>45.0</v>
      </c>
    </row>
    <row r="35">
      <c r="B35" s="1">
        <v>5.0</v>
      </c>
      <c r="L35" s="1">
        <v>95.0</v>
      </c>
      <c r="T35" s="1">
        <v>100.0</v>
      </c>
    </row>
    <row r="36">
      <c r="B36" s="1">
        <v>5.0</v>
      </c>
      <c r="L36" s="1">
        <v>18.0</v>
      </c>
      <c r="T36" s="1">
        <v>115.0</v>
      </c>
    </row>
    <row r="37">
      <c r="B37" s="1">
        <v>97.0</v>
      </c>
      <c r="L37" s="1">
        <v>19.0</v>
      </c>
      <c r="T37" s="1">
        <v>85.0</v>
      </c>
    </row>
    <row r="38">
      <c r="B38" s="1">
        <v>66.0</v>
      </c>
      <c r="L38" s="1">
        <v>96.0</v>
      </c>
      <c r="T38" s="1">
        <v>101.0</v>
      </c>
    </row>
    <row r="39">
      <c r="B39" s="1">
        <v>5.0</v>
      </c>
      <c r="L39" s="1">
        <v>186.0</v>
      </c>
      <c r="T39" s="1">
        <v>191.0</v>
      </c>
    </row>
    <row r="40">
      <c r="B40" s="1">
        <v>5.0</v>
      </c>
      <c r="L40" s="1">
        <v>69.0</v>
      </c>
      <c r="T40" s="1">
        <v>74.0</v>
      </c>
    </row>
    <row r="41">
      <c r="B41" s="1">
        <v>5.0</v>
      </c>
      <c r="L41" s="1">
        <v>47.0</v>
      </c>
      <c r="T41" s="1">
        <v>61.0</v>
      </c>
    </row>
    <row r="42">
      <c r="B42" s="1">
        <v>14.0</v>
      </c>
      <c r="L42" s="1">
        <v>52.0</v>
      </c>
      <c r="T42" s="1">
        <v>57.0</v>
      </c>
    </row>
    <row r="43">
      <c r="B43" s="1">
        <v>5.0</v>
      </c>
      <c r="L43" s="1">
        <v>21.0</v>
      </c>
      <c r="T43" s="1">
        <v>56.0</v>
      </c>
    </row>
    <row r="44">
      <c r="B44" s="1">
        <v>35.0</v>
      </c>
      <c r="L44" s="1">
        <v>119.0</v>
      </c>
      <c r="T44" s="1">
        <v>124.0</v>
      </c>
    </row>
    <row r="45">
      <c r="B45" s="1">
        <v>5.0</v>
      </c>
      <c r="L45" s="1">
        <v>67.0</v>
      </c>
      <c r="T45" s="1">
        <v>170.0</v>
      </c>
    </row>
    <row r="46">
      <c r="B46" s="1">
        <v>103.0</v>
      </c>
      <c r="L46" s="1">
        <v>61.0</v>
      </c>
      <c r="T46" s="1">
        <v>66.0</v>
      </c>
    </row>
    <row r="47">
      <c r="B47" s="1">
        <v>5.0</v>
      </c>
      <c r="L47" s="1">
        <v>42.0</v>
      </c>
      <c r="T47" s="1">
        <v>62.0</v>
      </c>
    </row>
    <row r="48">
      <c r="B48" s="1">
        <v>20.0</v>
      </c>
      <c r="L48" s="1">
        <v>64.0</v>
      </c>
      <c r="T48" s="1">
        <v>69.0</v>
      </c>
    </row>
    <row r="49">
      <c r="B49" s="1">
        <v>5.0</v>
      </c>
      <c r="L49" s="1">
        <v>30.0</v>
      </c>
      <c r="T49" s="1">
        <v>60.0</v>
      </c>
    </row>
    <row r="50">
      <c r="B50" s="1">
        <v>30.0</v>
      </c>
      <c r="J50" s="1"/>
      <c r="L50" s="1">
        <v>80.0</v>
      </c>
      <c r="T50" s="1">
        <v>100.0</v>
      </c>
    </row>
    <row r="51">
      <c r="B51" s="1">
        <v>20.0</v>
      </c>
      <c r="J51" s="1"/>
      <c r="L51" s="1">
        <v>25.0</v>
      </c>
      <c r="T51" s="1">
        <v>30.0</v>
      </c>
    </row>
    <row r="52">
      <c r="B52" s="1">
        <v>5.0</v>
      </c>
      <c r="L52" s="28">
        <v>107.0</v>
      </c>
      <c r="T52" s="29">
        <f t="shared" ref="T52:T71" si="13">B53+L52</f>
        <v>217</v>
      </c>
    </row>
    <row r="53">
      <c r="B53" s="30">
        <v>110.0</v>
      </c>
      <c r="L53" s="31">
        <v>33.0</v>
      </c>
      <c r="T53" s="2">
        <f t="shared" si="13"/>
        <v>49</v>
      </c>
    </row>
    <row r="54">
      <c r="B54" s="1">
        <v>16.0</v>
      </c>
      <c r="L54" s="31">
        <v>128.0</v>
      </c>
      <c r="T54" s="2">
        <f t="shared" si="13"/>
        <v>189</v>
      </c>
    </row>
    <row r="55">
      <c r="B55" s="1">
        <v>61.0</v>
      </c>
      <c r="L55" s="31">
        <v>150.0</v>
      </c>
      <c r="T55" s="2">
        <f t="shared" si="13"/>
        <v>226</v>
      </c>
    </row>
    <row r="56">
      <c r="B56" s="1">
        <v>76.0</v>
      </c>
      <c r="L56" s="31">
        <v>119.0</v>
      </c>
      <c r="T56" s="2">
        <f t="shared" si="13"/>
        <v>138</v>
      </c>
    </row>
    <row r="57">
      <c r="B57" s="1">
        <v>19.0</v>
      </c>
      <c r="L57" s="31">
        <v>122.0</v>
      </c>
      <c r="T57" s="2">
        <f t="shared" si="13"/>
        <v>167</v>
      </c>
    </row>
    <row r="58">
      <c r="B58" s="1">
        <v>45.0</v>
      </c>
      <c r="L58" s="31">
        <v>101.0</v>
      </c>
      <c r="T58" s="2">
        <f t="shared" si="13"/>
        <v>192</v>
      </c>
    </row>
    <row r="59">
      <c r="B59" s="1">
        <v>91.0</v>
      </c>
      <c r="L59" s="31">
        <v>132.0</v>
      </c>
      <c r="T59" s="2">
        <f t="shared" si="13"/>
        <v>169</v>
      </c>
    </row>
    <row r="60">
      <c r="B60" s="1">
        <v>37.0</v>
      </c>
      <c r="L60" s="31">
        <v>57.0</v>
      </c>
      <c r="T60" s="2">
        <f t="shared" si="13"/>
        <v>161</v>
      </c>
    </row>
    <row r="61">
      <c r="B61" s="1">
        <v>104.0</v>
      </c>
      <c r="L61" s="31">
        <v>41.0</v>
      </c>
      <c r="T61" s="2">
        <f t="shared" si="13"/>
        <v>102</v>
      </c>
    </row>
    <row r="62">
      <c r="B62" s="1">
        <v>61.0</v>
      </c>
      <c r="L62" s="31">
        <v>152.0</v>
      </c>
      <c r="T62" s="2">
        <f t="shared" si="13"/>
        <v>157</v>
      </c>
    </row>
    <row r="63">
      <c r="B63" s="1">
        <v>5.0</v>
      </c>
      <c r="L63" s="31">
        <v>104.0</v>
      </c>
      <c r="T63" s="2">
        <f t="shared" si="13"/>
        <v>109</v>
      </c>
    </row>
    <row r="64">
      <c r="B64" s="1">
        <v>5.0</v>
      </c>
      <c r="L64" s="31">
        <v>67.0</v>
      </c>
      <c r="T64" s="2">
        <f t="shared" si="13"/>
        <v>86</v>
      </c>
    </row>
    <row r="65">
      <c r="B65" s="1">
        <v>19.0</v>
      </c>
      <c r="L65" s="31">
        <v>62.0</v>
      </c>
      <c r="T65" s="2">
        <f t="shared" si="13"/>
        <v>72</v>
      </c>
    </row>
    <row r="66">
      <c r="B66" s="1">
        <v>10.0</v>
      </c>
      <c r="L66" s="31">
        <v>143.0</v>
      </c>
      <c r="T66" s="2">
        <f t="shared" si="13"/>
        <v>154</v>
      </c>
    </row>
    <row r="67">
      <c r="B67" s="1">
        <v>11.0</v>
      </c>
      <c r="L67" s="31">
        <v>30.0</v>
      </c>
      <c r="T67" s="2">
        <f t="shared" si="13"/>
        <v>98</v>
      </c>
    </row>
    <row r="68">
      <c r="B68" s="1">
        <v>68.0</v>
      </c>
      <c r="L68" s="31">
        <v>172.0</v>
      </c>
      <c r="T68" s="2">
        <f t="shared" si="13"/>
        <v>177</v>
      </c>
    </row>
    <row r="69">
      <c r="B69" s="1">
        <v>5.0</v>
      </c>
      <c r="L69" s="31">
        <v>27.0</v>
      </c>
      <c r="T69" s="2">
        <f t="shared" si="13"/>
        <v>59</v>
      </c>
    </row>
    <row r="70">
      <c r="B70" s="1">
        <v>32.0</v>
      </c>
      <c r="L70" s="31">
        <v>144.0</v>
      </c>
      <c r="T70" s="2">
        <f t="shared" si="13"/>
        <v>213</v>
      </c>
    </row>
    <row r="71">
      <c r="B71" s="1">
        <v>69.0</v>
      </c>
      <c r="L71" s="31">
        <v>63.0</v>
      </c>
      <c r="T71" s="2">
        <f t="shared" si="13"/>
        <v>100</v>
      </c>
    </row>
    <row r="72">
      <c r="B72" s="1">
        <v>37.0</v>
      </c>
    </row>
    <row r="74">
      <c r="T74" s="2">
        <f>SUM(T22:T71)</f>
        <v>5422</v>
      </c>
    </row>
    <row r="75">
      <c r="T75" s="27">
        <f t="shared" ref="T75:T76" si="14">T74/60</f>
        <v>90.36666667</v>
      </c>
    </row>
    <row r="76">
      <c r="T76" s="27">
        <f t="shared" si="14"/>
        <v>1.506111111</v>
      </c>
    </row>
  </sheetData>
  <mergeCells count="3">
    <mergeCell ref="A15:B15"/>
    <mergeCell ref="J15:K15"/>
    <mergeCell ref="S15:T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8.63"/>
    <col customWidth="1" min="7" max="7" width="12.0"/>
    <col customWidth="1" min="8" max="9" width="7.88"/>
    <col customWidth="1" min="10" max="10" width="11.5"/>
    <col customWidth="1" min="11" max="11" width="9.63"/>
    <col customWidth="1" min="12" max="12" width="12.63"/>
    <col customWidth="1" min="13" max="13" width="11.38"/>
  </cols>
  <sheetData>
    <row r="2">
      <c r="B2" s="6" t="s">
        <v>45</v>
      </c>
      <c r="C2" s="6" t="s">
        <v>46</v>
      </c>
      <c r="D2" s="6" t="s">
        <v>47</v>
      </c>
      <c r="F2" s="32" t="s">
        <v>48</v>
      </c>
      <c r="G2" s="22"/>
      <c r="H2" s="33">
        <v>13.0</v>
      </c>
    </row>
    <row r="3">
      <c r="B3" s="6">
        <v>5.0</v>
      </c>
      <c r="C3" s="6">
        <v>76.0</v>
      </c>
      <c r="D3" s="6">
        <v>81.0</v>
      </c>
      <c r="F3" s="32" t="s">
        <v>49</v>
      </c>
      <c r="G3" s="22"/>
      <c r="H3" s="33">
        <v>99.0</v>
      </c>
    </row>
    <row r="4">
      <c r="B4" s="6">
        <v>24.0</v>
      </c>
      <c r="C4" s="6">
        <v>48.0</v>
      </c>
      <c r="D4" s="6">
        <v>72.0</v>
      </c>
      <c r="F4" s="32" t="s">
        <v>50</v>
      </c>
      <c r="G4" s="22"/>
      <c r="H4" s="33">
        <v>1583.0</v>
      </c>
    </row>
    <row r="5">
      <c r="B5" s="6">
        <v>63.0</v>
      </c>
      <c r="C5" s="6">
        <v>35.0</v>
      </c>
      <c r="D5" s="6">
        <v>98.0</v>
      </c>
      <c r="F5" s="32" t="s">
        <v>51</v>
      </c>
      <c r="G5" s="22"/>
      <c r="H5" s="33">
        <v>1104015.0</v>
      </c>
    </row>
    <row r="6">
      <c r="B6" s="6">
        <v>82.0</v>
      </c>
      <c r="C6" s="6">
        <v>26.0</v>
      </c>
      <c r="D6" s="6">
        <v>108.0</v>
      </c>
      <c r="H6" s="34"/>
    </row>
    <row r="7">
      <c r="B7" s="6">
        <v>5.0</v>
      </c>
      <c r="C7" s="6">
        <v>81.0</v>
      </c>
      <c r="D7" s="6">
        <v>86.0</v>
      </c>
      <c r="F7" s="1" t="s">
        <v>52</v>
      </c>
      <c r="H7" s="34"/>
      <c r="J7" s="1" t="s">
        <v>53</v>
      </c>
      <c r="O7" s="1" t="s">
        <v>54</v>
      </c>
    </row>
    <row r="8">
      <c r="B8" s="6">
        <v>5.0</v>
      </c>
      <c r="C8" s="6">
        <v>86.0</v>
      </c>
      <c r="D8" s="6">
        <v>91.0</v>
      </c>
      <c r="F8" s="6" t="s">
        <v>55</v>
      </c>
      <c r="G8" s="10" t="s">
        <v>56</v>
      </c>
      <c r="H8" s="10" t="s">
        <v>57</v>
      </c>
      <c r="I8" s="34"/>
      <c r="J8" s="6" t="s">
        <v>55</v>
      </c>
      <c r="K8" s="10" t="s">
        <v>58</v>
      </c>
      <c r="L8" s="6" t="s">
        <v>59</v>
      </c>
      <c r="M8" s="6" t="s">
        <v>60</v>
      </c>
      <c r="O8" s="6" t="s">
        <v>55</v>
      </c>
      <c r="P8" s="6" t="s">
        <v>61</v>
      </c>
      <c r="Q8" s="6" t="s">
        <v>62</v>
      </c>
      <c r="R8" s="6" t="s">
        <v>60</v>
      </c>
      <c r="S8" s="6" t="s">
        <v>63</v>
      </c>
      <c r="T8" s="33" t="s">
        <v>64</v>
      </c>
      <c r="U8" s="6" t="s">
        <v>65</v>
      </c>
      <c r="V8" s="6" t="s">
        <v>66</v>
      </c>
      <c r="W8" s="6" t="s">
        <v>67</v>
      </c>
    </row>
    <row r="9">
      <c r="B9" s="6">
        <v>90.0</v>
      </c>
      <c r="C9" s="6">
        <v>40.0</v>
      </c>
      <c r="D9" s="6">
        <v>130.0</v>
      </c>
      <c r="F9" s="6">
        <v>0.0</v>
      </c>
      <c r="G9" s="35">
        <f t="shared" ref="G9:G19" si="1">M9</f>
        <v>0.5154769425</v>
      </c>
      <c r="H9" s="36" t="s">
        <v>68</v>
      </c>
      <c r="J9" s="6">
        <v>0.0</v>
      </c>
      <c r="K9" s="6">
        <f>H5</f>
        <v>1104015</v>
      </c>
      <c r="L9" s="37">
        <f>MOD(($H$2*K9+$H$3), H4)</f>
        <v>816</v>
      </c>
      <c r="M9" s="35">
        <f t="shared" ref="M9:M23" si="2">L9/$H$4</f>
        <v>0.5154769425</v>
      </c>
      <c r="O9" s="6">
        <v>0.0</v>
      </c>
      <c r="P9" s="12">
        <f t="shared" ref="P9:P20" si="3">L9</f>
        <v>816</v>
      </c>
      <c r="Q9" s="12">
        <f t="shared" ref="Q9:Q20" si="4">L10</f>
        <v>1209</v>
      </c>
      <c r="R9" s="38">
        <f t="shared" ref="R9:R20" si="5">M9</f>
        <v>0.5154769425</v>
      </c>
      <c r="S9" s="38">
        <f t="shared" ref="S9:S20" si="6">R10</f>
        <v>0.7637397347</v>
      </c>
      <c r="T9" s="12">
        <f t="shared" ref="T9:T19" si="7">(-2*LN(R9))^(1/2)</f>
        <v>1.151227784</v>
      </c>
      <c r="U9" s="12">
        <f t="shared" ref="U9:U19" si="8">COS(2*PI()*S9)</f>
        <v>0.08622210727</v>
      </c>
      <c r="V9" s="12">
        <f t="shared" ref="V9:V19" si="9">T9*U9</f>
        <v>0.09926128546</v>
      </c>
      <c r="W9" s="16">
        <f>Frekuensi!$B$20+ Frekuensi!$D$21*V9</f>
        <v>40.58779386</v>
      </c>
    </row>
    <row r="10">
      <c r="B10" s="6">
        <v>117.0</v>
      </c>
      <c r="C10" s="6">
        <v>26.0</v>
      </c>
      <c r="D10" s="6">
        <v>143.0</v>
      </c>
      <c r="F10" s="6">
        <v>1.0</v>
      </c>
      <c r="G10" s="35">
        <f t="shared" si="1"/>
        <v>0.7637397347</v>
      </c>
      <c r="H10" s="39">
        <f t="shared" ref="H10:H19" si="10">W9</f>
        <v>40.58779386</v>
      </c>
      <c r="J10" s="6">
        <v>1.0</v>
      </c>
      <c r="K10" s="37">
        <f t="shared" ref="K10:K23" si="11">L9</f>
        <v>816</v>
      </c>
      <c r="L10" s="37">
        <f t="shared" ref="L10:L23" si="12">MOD(($H$2*K10+$H$3), $H$4)</f>
        <v>1209</v>
      </c>
      <c r="M10" s="35">
        <f t="shared" si="2"/>
        <v>0.7637397347</v>
      </c>
      <c r="O10" s="6">
        <v>1.0</v>
      </c>
      <c r="P10" s="12">
        <f t="shared" si="3"/>
        <v>1209</v>
      </c>
      <c r="Q10" s="12">
        <f t="shared" si="4"/>
        <v>1569</v>
      </c>
      <c r="R10" s="38">
        <f t="shared" si="5"/>
        <v>0.7637397347</v>
      </c>
      <c r="S10" s="38">
        <f t="shared" si="6"/>
        <v>0.9911560328</v>
      </c>
      <c r="T10" s="12">
        <f t="shared" si="7"/>
        <v>0.7342046163</v>
      </c>
      <c r="U10" s="12">
        <f t="shared" si="8"/>
        <v>0.9984564801</v>
      </c>
      <c r="V10" s="12">
        <f t="shared" si="9"/>
        <v>0.7330713568</v>
      </c>
      <c r="W10" s="16">
        <f>Frekuensi!$B$20+ Frekuensi!$D$21*V10</f>
        <v>61.19812796</v>
      </c>
    </row>
    <row r="11">
      <c r="B11" s="6">
        <v>22.0</v>
      </c>
      <c r="C11" s="6">
        <v>28.0</v>
      </c>
      <c r="D11" s="6">
        <v>50.0</v>
      </c>
      <c r="F11" s="6">
        <v>2.0</v>
      </c>
      <c r="G11" s="35">
        <f t="shared" si="1"/>
        <v>0.9911560328</v>
      </c>
      <c r="H11" s="39">
        <f t="shared" si="10"/>
        <v>61.19812796</v>
      </c>
      <c r="J11" s="6">
        <v>2.0</v>
      </c>
      <c r="K11" s="37">
        <f t="shared" si="11"/>
        <v>1209</v>
      </c>
      <c r="L11" s="37">
        <f t="shared" si="12"/>
        <v>1569</v>
      </c>
      <c r="M11" s="35">
        <f t="shared" si="2"/>
        <v>0.9911560328</v>
      </c>
      <c r="O11" s="6">
        <v>2.0</v>
      </c>
      <c r="P11" s="12">
        <f t="shared" si="3"/>
        <v>1569</v>
      </c>
      <c r="Q11" s="12">
        <f t="shared" si="4"/>
        <v>1500</v>
      </c>
      <c r="R11" s="38">
        <f t="shared" si="5"/>
        <v>0.9911560328</v>
      </c>
      <c r="S11" s="38">
        <f t="shared" si="6"/>
        <v>0.947567909</v>
      </c>
      <c r="T11" s="12">
        <f t="shared" si="7"/>
        <v>0.1332914637</v>
      </c>
      <c r="U11" s="12">
        <f t="shared" si="8"/>
        <v>0.9462234834</v>
      </c>
      <c r="V11" s="12">
        <f t="shared" si="9"/>
        <v>0.1261235131</v>
      </c>
      <c r="W11" s="16">
        <f>Frekuensi!$B$20+ Frekuensi!$D$21*V11</f>
        <v>41.46130394</v>
      </c>
    </row>
    <row r="12">
      <c r="B12" s="6">
        <v>46.0</v>
      </c>
      <c r="C12" s="6">
        <v>33.0</v>
      </c>
      <c r="D12" s="6">
        <v>79.0</v>
      </c>
      <c r="F12" s="6">
        <v>3.0</v>
      </c>
      <c r="G12" s="35">
        <f t="shared" si="1"/>
        <v>0.947567909</v>
      </c>
      <c r="H12" s="39">
        <f t="shared" si="10"/>
        <v>41.46130394</v>
      </c>
      <c r="J12" s="6">
        <v>3.0</v>
      </c>
      <c r="K12" s="37">
        <f t="shared" si="11"/>
        <v>1569</v>
      </c>
      <c r="L12" s="37">
        <f t="shared" si="12"/>
        <v>1500</v>
      </c>
      <c r="M12" s="35">
        <f t="shared" si="2"/>
        <v>0.947567909</v>
      </c>
      <c r="O12" s="6">
        <v>3.0</v>
      </c>
      <c r="P12" s="12">
        <f t="shared" si="3"/>
        <v>1500</v>
      </c>
      <c r="Q12" s="12">
        <f t="shared" si="4"/>
        <v>603</v>
      </c>
      <c r="R12" s="38">
        <f t="shared" si="5"/>
        <v>0.947567909</v>
      </c>
      <c r="S12" s="38">
        <f t="shared" si="6"/>
        <v>0.3809222994</v>
      </c>
      <c r="T12" s="12">
        <f t="shared" si="7"/>
        <v>0.3281971139</v>
      </c>
      <c r="U12" s="12">
        <f t="shared" si="8"/>
        <v>-0.7329233008</v>
      </c>
      <c r="V12" s="12">
        <f t="shared" si="9"/>
        <v>-0.240543312</v>
      </c>
      <c r="W12" s="16">
        <f>Frekuensi!$B$20+ Frekuensi!$D$21*V12</f>
        <v>29.53797531</v>
      </c>
    </row>
    <row r="13">
      <c r="B13" s="6">
        <v>5.0</v>
      </c>
      <c r="C13" s="6">
        <v>60.0</v>
      </c>
      <c r="D13" s="6">
        <v>65.0</v>
      </c>
      <c r="F13" s="6">
        <v>4.0</v>
      </c>
      <c r="G13" s="35">
        <f t="shared" si="1"/>
        <v>0.3809222994</v>
      </c>
      <c r="H13" s="39">
        <f t="shared" si="10"/>
        <v>29.53797531</v>
      </c>
      <c r="J13" s="6">
        <v>4.0</v>
      </c>
      <c r="K13" s="37">
        <f t="shared" si="11"/>
        <v>1500</v>
      </c>
      <c r="L13" s="37">
        <f t="shared" si="12"/>
        <v>603</v>
      </c>
      <c r="M13" s="35">
        <f t="shared" si="2"/>
        <v>0.3809222994</v>
      </c>
      <c r="O13" s="6">
        <v>4.0</v>
      </c>
      <c r="P13" s="12">
        <f t="shared" si="3"/>
        <v>603</v>
      </c>
      <c r="Q13" s="12">
        <f t="shared" si="4"/>
        <v>23</v>
      </c>
      <c r="R13" s="38">
        <f t="shared" si="5"/>
        <v>0.3809222994</v>
      </c>
      <c r="S13" s="38">
        <f t="shared" si="6"/>
        <v>0.01452937461</v>
      </c>
      <c r="T13" s="12">
        <f t="shared" si="7"/>
        <v>1.389359466</v>
      </c>
      <c r="U13" s="12">
        <f t="shared" si="8"/>
        <v>0.9958358924</v>
      </c>
      <c r="V13" s="12">
        <f t="shared" si="9"/>
        <v>1.383574024</v>
      </c>
      <c r="W13" s="16">
        <f>Frekuensi!$B$20+ Frekuensi!$D$21*V13</f>
        <v>82.35127446</v>
      </c>
    </row>
    <row r="14">
      <c r="B14" s="6">
        <v>5.0</v>
      </c>
      <c r="C14" s="6">
        <v>13.0</v>
      </c>
      <c r="D14" s="6">
        <v>18.0</v>
      </c>
      <c r="F14" s="6">
        <v>5.0</v>
      </c>
      <c r="G14" s="35">
        <f t="shared" si="1"/>
        <v>0.01452937461</v>
      </c>
      <c r="H14" s="39">
        <f t="shared" si="10"/>
        <v>82.35127446</v>
      </c>
      <c r="J14" s="6">
        <v>5.0</v>
      </c>
      <c r="K14" s="37">
        <f t="shared" si="11"/>
        <v>603</v>
      </c>
      <c r="L14" s="37">
        <f t="shared" si="12"/>
        <v>23</v>
      </c>
      <c r="M14" s="35">
        <f t="shared" si="2"/>
        <v>0.01452937461</v>
      </c>
      <c r="O14" s="6">
        <v>5.0</v>
      </c>
      <c r="P14" s="12">
        <f t="shared" si="3"/>
        <v>23</v>
      </c>
      <c r="Q14" s="12">
        <f t="shared" si="4"/>
        <v>398</v>
      </c>
      <c r="R14" s="38">
        <f t="shared" si="5"/>
        <v>0.01452937461</v>
      </c>
      <c r="S14" s="38">
        <f t="shared" si="6"/>
        <v>0.2514213519</v>
      </c>
      <c r="T14" s="12">
        <f t="shared" si="7"/>
        <v>2.909152057</v>
      </c>
      <c r="U14" s="12">
        <f t="shared" si="8"/>
        <v>-0.008930498434</v>
      </c>
      <c r="V14" s="12">
        <f t="shared" si="9"/>
        <v>-0.02598017789</v>
      </c>
      <c r="W14" s="16">
        <f>Frekuensi!$B$20+ Frekuensi!$D$21*V14</f>
        <v>36.51517255</v>
      </c>
    </row>
    <row r="15">
      <c r="B15" s="6">
        <v>5.0</v>
      </c>
      <c r="C15" s="6">
        <v>40.0</v>
      </c>
      <c r="D15" s="6">
        <v>45.0</v>
      </c>
      <c r="F15" s="6">
        <v>6.0</v>
      </c>
      <c r="G15" s="35">
        <f t="shared" si="1"/>
        <v>0.2514213519</v>
      </c>
      <c r="H15" s="39">
        <f t="shared" si="10"/>
        <v>36.51517255</v>
      </c>
      <c r="J15" s="6">
        <v>6.0</v>
      </c>
      <c r="K15" s="37">
        <f t="shared" si="11"/>
        <v>23</v>
      </c>
      <c r="L15" s="37">
        <f t="shared" si="12"/>
        <v>398</v>
      </c>
      <c r="M15" s="35">
        <f t="shared" si="2"/>
        <v>0.2514213519</v>
      </c>
      <c r="O15" s="6">
        <v>6.0</v>
      </c>
      <c r="P15" s="12">
        <f t="shared" si="3"/>
        <v>398</v>
      </c>
      <c r="Q15" s="12">
        <f t="shared" si="4"/>
        <v>524</v>
      </c>
      <c r="R15" s="38">
        <f t="shared" si="5"/>
        <v>0.2514213519</v>
      </c>
      <c r="S15" s="38">
        <f t="shared" si="6"/>
        <v>0.3310170562</v>
      </c>
      <c r="T15" s="12">
        <f t="shared" si="7"/>
        <v>1.661700969</v>
      </c>
      <c r="U15" s="12">
        <f t="shared" si="8"/>
        <v>-0.4873437082</v>
      </c>
      <c r="V15" s="12">
        <f t="shared" si="9"/>
        <v>-0.809819512</v>
      </c>
      <c r="W15" s="16">
        <f>Frekuensi!$B$20+ (Frekuensi!$D$21*V15)</f>
        <v>11.02616364</v>
      </c>
    </row>
    <row r="16">
      <c r="B16" s="6">
        <v>5.0</v>
      </c>
      <c r="C16" s="6">
        <v>95.0</v>
      </c>
      <c r="D16" s="6">
        <v>100.0</v>
      </c>
      <c r="F16" s="6">
        <v>7.0</v>
      </c>
      <c r="G16" s="35">
        <f t="shared" si="1"/>
        <v>0.3310170562</v>
      </c>
      <c r="H16" s="39">
        <f t="shared" si="10"/>
        <v>11.02616364</v>
      </c>
      <c r="J16" s="6">
        <v>7.0</v>
      </c>
      <c r="K16" s="37">
        <f t="shared" si="11"/>
        <v>398</v>
      </c>
      <c r="L16" s="37">
        <f t="shared" si="12"/>
        <v>524</v>
      </c>
      <c r="M16" s="35">
        <f t="shared" si="2"/>
        <v>0.3310170562</v>
      </c>
      <c r="O16" s="6">
        <v>7.0</v>
      </c>
      <c r="P16" s="12">
        <f t="shared" si="3"/>
        <v>524</v>
      </c>
      <c r="Q16" s="12">
        <f t="shared" si="4"/>
        <v>579</v>
      </c>
      <c r="R16" s="38">
        <f t="shared" si="5"/>
        <v>0.3310170562</v>
      </c>
      <c r="S16" s="38">
        <f t="shared" si="6"/>
        <v>0.3657612129</v>
      </c>
      <c r="T16" s="12">
        <f t="shared" si="7"/>
        <v>1.487000589</v>
      </c>
      <c r="U16" s="12">
        <f t="shared" si="8"/>
        <v>-0.6648919502</v>
      </c>
      <c r="V16" s="12">
        <f t="shared" si="9"/>
        <v>-0.9886947214</v>
      </c>
      <c r="W16" s="16">
        <f>Frekuensi!$B$20+ Frekuensi!$D$21*V16</f>
        <v>5.209471872</v>
      </c>
    </row>
    <row r="17">
      <c r="B17" s="6">
        <v>97.0</v>
      </c>
      <c r="C17" s="6">
        <v>18.0</v>
      </c>
      <c r="D17" s="6">
        <v>115.0</v>
      </c>
      <c r="F17" s="6">
        <v>8.0</v>
      </c>
      <c r="G17" s="35">
        <f t="shared" si="1"/>
        <v>0.3657612129</v>
      </c>
      <c r="H17" s="39">
        <f t="shared" si="10"/>
        <v>5.209471872</v>
      </c>
      <c r="J17" s="6">
        <v>8.0</v>
      </c>
      <c r="K17" s="37">
        <f t="shared" si="11"/>
        <v>524</v>
      </c>
      <c r="L17" s="37">
        <f t="shared" si="12"/>
        <v>579</v>
      </c>
      <c r="M17" s="35">
        <f t="shared" si="2"/>
        <v>0.3657612129</v>
      </c>
      <c r="O17" s="6">
        <v>8.0</v>
      </c>
      <c r="P17" s="12">
        <f t="shared" si="3"/>
        <v>579</v>
      </c>
      <c r="Q17" s="12">
        <f t="shared" si="4"/>
        <v>1294</v>
      </c>
      <c r="R17" s="38">
        <f t="shared" si="5"/>
        <v>0.3657612129</v>
      </c>
      <c r="S17" s="38">
        <f t="shared" si="6"/>
        <v>0.8174352495</v>
      </c>
      <c r="T17" s="12">
        <f t="shared" si="7"/>
        <v>1.418290931</v>
      </c>
      <c r="U17" s="12">
        <f t="shared" si="8"/>
        <v>0.41114353</v>
      </c>
      <c r="V17" s="12">
        <f t="shared" si="9"/>
        <v>0.5831211398</v>
      </c>
      <c r="W17" s="16">
        <f>Frekuensi!$B$20+ Frekuensi!$D$21*V17</f>
        <v>56.32202357</v>
      </c>
    </row>
    <row r="18">
      <c r="B18" s="6">
        <v>66.0</v>
      </c>
      <c r="C18" s="6">
        <v>19.0</v>
      </c>
      <c r="D18" s="6">
        <v>85.0</v>
      </c>
      <c r="F18" s="6">
        <v>9.0</v>
      </c>
      <c r="G18" s="35">
        <f t="shared" si="1"/>
        <v>0.8174352495</v>
      </c>
      <c r="H18" s="39">
        <f t="shared" si="10"/>
        <v>56.32202357</v>
      </c>
      <c r="J18" s="6">
        <v>9.0</v>
      </c>
      <c r="K18" s="37">
        <f t="shared" si="11"/>
        <v>579</v>
      </c>
      <c r="L18" s="37">
        <f t="shared" si="12"/>
        <v>1294</v>
      </c>
      <c r="M18" s="35">
        <f t="shared" si="2"/>
        <v>0.8174352495</v>
      </c>
      <c r="O18" s="6">
        <v>9.0</v>
      </c>
      <c r="P18" s="12">
        <f t="shared" si="3"/>
        <v>1294</v>
      </c>
      <c r="Q18" s="12">
        <f t="shared" si="4"/>
        <v>1091</v>
      </c>
      <c r="R18" s="38">
        <f t="shared" si="5"/>
        <v>0.8174352495</v>
      </c>
      <c r="S18" s="38">
        <f t="shared" si="6"/>
        <v>0.6891977258</v>
      </c>
      <c r="T18" s="12">
        <f t="shared" si="7"/>
        <v>0.6349544627</v>
      </c>
      <c r="U18" s="12">
        <f t="shared" si="8"/>
        <v>-0.3728067077</v>
      </c>
      <c r="V18" s="12">
        <f t="shared" si="9"/>
        <v>-0.2367152828</v>
      </c>
      <c r="W18" s="16">
        <f>Frekuensi!$B$20+ Frekuensi!$D$21*V18</f>
        <v>29.66245576</v>
      </c>
    </row>
    <row r="19">
      <c r="B19" s="6">
        <v>5.0</v>
      </c>
      <c r="C19" s="6">
        <v>96.0</v>
      </c>
      <c r="D19" s="6">
        <v>101.0</v>
      </c>
      <c r="F19" s="6">
        <v>10.0</v>
      </c>
      <c r="G19" s="35">
        <f t="shared" si="1"/>
        <v>0.6891977258</v>
      </c>
      <c r="H19" s="39">
        <f t="shared" si="10"/>
        <v>29.66245576</v>
      </c>
      <c r="J19" s="6">
        <v>10.0</v>
      </c>
      <c r="K19" s="37">
        <f t="shared" si="11"/>
        <v>1294</v>
      </c>
      <c r="L19" s="37">
        <f t="shared" si="12"/>
        <v>1091</v>
      </c>
      <c r="M19" s="35">
        <f t="shared" si="2"/>
        <v>0.6891977258</v>
      </c>
      <c r="O19" s="6">
        <v>10.0</v>
      </c>
      <c r="P19" s="12">
        <f t="shared" si="3"/>
        <v>1091</v>
      </c>
      <c r="Q19" s="12">
        <f t="shared" si="4"/>
        <v>35</v>
      </c>
      <c r="R19" s="38">
        <f t="shared" si="5"/>
        <v>0.6891977258</v>
      </c>
      <c r="S19" s="38">
        <f t="shared" si="6"/>
        <v>0.02210991788</v>
      </c>
      <c r="T19" s="12">
        <f t="shared" si="7"/>
        <v>0.8628175636</v>
      </c>
      <c r="U19" s="12">
        <f t="shared" si="8"/>
        <v>0.9903660268</v>
      </c>
      <c r="V19" s="12">
        <f t="shared" si="9"/>
        <v>0.8545052023</v>
      </c>
      <c r="W19" s="16">
        <f>Frekuensi!$B$20+ Frekuensi!$D$21*V19</f>
        <v>65.14693256</v>
      </c>
    </row>
    <row r="20">
      <c r="B20" s="6">
        <v>5.0</v>
      </c>
      <c r="C20" s="6">
        <v>186.0</v>
      </c>
      <c r="D20" s="6">
        <v>191.0</v>
      </c>
      <c r="J20" s="6">
        <v>11.0</v>
      </c>
      <c r="K20" s="37">
        <f t="shared" si="11"/>
        <v>1091</v>
      </c>
      <c r="L20" s="37">
        <f t="shared" si="12"/>
        <v>35</v>
      </c>
      <c r="M20" s="35">
        <f t="shared" si="2"/>
        <v>0.02210991788</v>
      </c>
      <c r="O20" s="6">
        <v>11.0</v>
      </c>
      <c r="P20" s="12">
        <f t="shared" si="3"/>
        <v>35</v>
      </c>
      <c r="Q20" s="12">
        <f t="shared" si="4"/>
        <v>554</v>
      </c>
      <c r="R20" s="38">
        <f t="shared" si="5"/>
        <v>0.02210991788</v>
      </c>
      <c r="S20" s="12" t="str">
        <f t="shared" si="6"/>
        <v/>
      </c>
      <c r="T20" s="37"/>
      <c r="U20" s="37"/>
      <c r="V20" s="37"/>
      <c r="W20" s="37"/>
    </row>
    <row r="21">
      <c r="B21" s="6">
        <v>5.0</v>
      </c>
      <c r="C21" s="6">
        <v>69.0</v>
      </c>
      <c r="D21" s="6">
        <v>74.0</v>
      </c>
      <c r="J21" s="6">
        <f t="shared" ref="J21:J23" si="13">J20+1</f>
        <v>12</v>
      </c>
      <c r="K21" s="37">
        <f t="shared" si="11"/>
        <v>35</v>
      </c>
      <c r="L21" s="37">
        <f t="shared" si="12"/>
        <v>554</v>
      </c>
      <c r="M21" s="35">
        <f t="shared" si="2"/>
        <v>0.3499684144</v>
      </c>
    </row>
    <row r="22">
      <c r="B22" s="6">
        <v>14.0</v>
      </c>
      <c r="C22" s="6">
        <v>47.0</v>
      </c>
      <c r="D22" s="6">
        <v>61.0</v>
      </c>
      <c r="J22" s="6">
        <f t="shared" si="13"/>
        <v>13</v>
      </c>
      <c r="K22" s="37">
        <f t="shared" si="11"/>
        <v>554</v>
      </c>
      <c r="L22" s="37">
        <f t="shared" si="12"/>
        <v>969</v>
      </c>
      <c r="M22" s="35">
        <f t="shared" si="2"/>
        <v>0.6121288692</v>
      </c>
    </row>
    <row r="23">
      <c r="B23" s="6">
        <v>5.0</v>
      </c>
      <c r="C23" s="6">
        <v>52.0</v>
      </c>
      <c r="D23" s="6">
        <v>57.0</v>
      </c>
      <c r="J23" s="6">
        <f t="shared" si="13"/>
        <v>14</v>
      </c>
      <c r="K23" s="37">
        <f t="shared" si="11"/>
        <v>969</v>
      </c>
      <c r="L23" s="37">
        <f t="shared" si="12"/>
        <v>32</v>
      </c>
      <c r="M23" s="35">
        <f t="shared" si="2"/>
        <v>0.02021478206</v>
      </c>
    </row>
    <row r="24">
      <c r="B24" s="6">
        <v>35.0</v>
      </c>
      <c r="C24" s="6">
        <v>21.0</v>
      </c>
      <c r="D24" s="6">
        <v>56.0</v>
      </c>
    </row>
    <row r="25">
      <c r="B25" s="6">
        <v>5.0</v>
      </c>
      <c r="C25" s="6">
        <v>119.0</v>
      </c>
      <c r="D25" s="6">
        <v>124.0</v>
      </c>
      <c r="F25" s="32" t="s">
        <v>48</v>
      </c>
      <c r="G25" s="22"/>
      <c r="H25" s="33">
        <v>13.0</v>
      </c>
    </row>
    <row r="26">
      <c r="B26" s="6">
        <v>103.0</v>
      </c>
      <c r="C26" s="6">
        <v>67.0</v>
      </c>
      <c r="D26" s="6">
        <v>170.0</v>
      </c>
      <c r="F26" s="32" t="s">
        <v>49</v>
      </c>
      <c r="G26" s="22"/>
      <c r="H26" s="33">
        <v>99.0</v>
      </c>
    </row>
    <row r="27">
      <c r="B27" s="6">
        <v>5.0</v>
      </c>
      <c r="C27" s="6">
        <v>61.0</v>
      </c>
      <c r="D27" s="6">
        <v>66.0</v>
      </c>
      <c r="F27" s="32" t="s">
        <v>50</v>
      </c>
      <c r="G27" s="22"/>
      <c r="H27" s="33">
        <v>1289.0</v>
      </c>
    </row>
    <row r="28">
      <c r="B28" s="6">
        <v>20.0</v>
      </c>
      <c r="C28" s="6">
        <v>42.0</v>
      </c>
      <c r="D28" s="6">
        <v>62.0</v>
      </c>
      <c r="F28" s="32" t="s">
        <v>51</v>
      </c>
      <c r="G28" s="22"/>
      <c r="H28" s="33">
        <v>1104015.0</v>
      </c>
    </row>
    <row r="29">
      <c r="B29" s="6">
        <v>5.0</v>
      </c>
      <c r="C29" s="6">
        <v>64.0</v>
      </c>
      <c r="D29" s="6">
        <v>69.0</v>
      </c>
    </row>
    <row r="30">
      <c r="B30" s="6">
        <v>30.0</v>
      </c>
      <c r="C30" s="6">
        <v>30.0</v>
      </c>
      <c r="D30" s="6">
        <v>60.0</v>
      </c>
    </row>
    <row r="31">
      <c r="B31" s="6">
        <v>20.0</v>
      </c>
      <c r="C31" s="6">
        <v>80.0</v>
      </c>
      <c r="D31" s="6">
        <v>100.0</v>
      </c>
      <c r="F31" s="1" t="s">
        <v>69</v>
      </c>
      <c r="J31" s="1" t="s">
        <v>70</v>
      </c>
      <c r="O31" s="1" t="s">
        <v>54</v>
      </c>
    </row>
    <row r="32">
      <c r="B32" s="6">
        <v>5.0</v>
      </c>
      <c r="C32" s="6">
        <v>25.0</v>
      </c>
      <c r="D32" s="6">
        <v>30.0</v>
      </c>
      <c r="F32" s="6" t="s">
        <v>55</v>
      </c>
      <c r="G32" s="10" t="s">
        <v>71</v>
      </c>
      <c r="H32" s="10" t="s">
        <v>57</v>
      </c>
      <c r="J32" s="6" t="s">
        <v>55</v>
      </c>
      <c r="K32" s="10" t="s">
        <v>58</v>
      </c>
      <c r="L32" s="6" t="s">
        <v>59</v>
      </c>
      <c r="M32" s="6" t="s">
        <v>60</v>
      </c>
      <c r="O32" s="6" t="s">
        <v>55</v>
      </c>
      <c r="P32" s="6" t="s">
        <v>61</v>
      </c>
      <c r="Q32" s="6" t="s">
        <v>62</v>
      </c>
      <c r="R32" s="6" t="s">
        <v>60</v>
      </c>
      <c r="S32" s="6" t="s">
        <v>63</v>
      </c>
      <c r="T32" s="33" t="s">
        <v>64</v>
      </c>
      <c r="U32" s="6" t="s">
        <v>65</v>
      </c>
      <c r="V32" s="6" t="s">
        <v>66</v>
      </c>
      <c r="W32" s="6" t="s">
        <v>67</v>
      </c>
    </row>
    <row r="33">
      <c r="B33" s="40">
        <v>110.0</v>
      </c>
      <c r="C33" s="41">
        <v>107.0</v>
      </c>
      <c r="D33" s="37">
        <v>217.0</v>
      </c>
      <c r="F33" s="6">
        <v>0.0</v>
      </c>
      <c r="G33" s="35">
        <f t="shared" ref="G33:G43" si="14">M33</f>
        <v>0.440651668</v>
      </c>
      <c r="H33" s="36" t="s">
        <v>68</v>
      </c>
      <c r="J33" s="6">
        <v>0.0</v>
      </c>
      <c r="K33" s="6">
        <f>H28</f>
        <v>1104015</v>
      </c>
      <c r="L33" s="37">
        <f t="shared" ref="L33:L47" si="15">MOD(($H$25*K33+$H$26), $H$27)</f>
        <v>568</v>
      </c>
      <c r="M33" s="35">
        <f t="shared" ref="M33:M47" si="16">L33/$H$27</f>
        <v>0.440651668</v>
      </c>
      <c r="O33" s="6">
        <v>0.0</v>
      </c>
      <c r="P33" s="12">
        <f t="shared" ref="P33:P44" si="17">L33</f>
        <v>568</v>
      </c>
      <c r="Q33" s="12">
        <f t="shared" ref="Q33:Q44" si="18">L34</f>
        <v>1038</v>
      </c>
      <c r="R33" s="38">
        <f t="shared" ref="R33:R44" si="19">M33</f>
        <v>0.440651668</v>
      </c>
      <c r="S33" s="38">
        <f t="shared" ref="S33:S44" si="20">R34</f>
        <v>0.8052754073</v>
      </c>
      <c r="T33" s="12">
        <f t="shared" ref="T33:T43" si="21">(-2*LN(R33))^(1/2)</f>
        <v>1.28023481</v>
      </c>
      <c r="U33" s="12">
        <f t="shared" ref="U33:U43" si="22">COS(2*PI()*S33)</f>
        <v>0.3403655453</v>
      </c>
      <c r="V33" s="12">
        <f t="shared" ref="V33:V43" si="23">T33*U33</f>
        <v>0.4357478192</v>
      </c>
      <c r="W33" s="16">
        <f>Frekuensi!$L$19+ Frekuensi!$N$20*V33</f>
        <v>92.03413053</v>
      </c>
    </row>
    <row r="34">
      <c r="B34" s="6">
        <v>16.0</v>
      </c>
      <c r="C34" s="41">
        <v>33.0</v>
      </c>
      <c r="D34" s="37">
        <v>49.0</v>
      </c>
      <c r="F34" s="6">
        <v>1.0</v>
      </c>
      <c r="G34" s="35">
        <f t="shared" si="14"/>
        <v>0.8052754073</v>
      </c>
      <c r="H34" s="39">
        <f t="shared" ref="H34:H43" si="24">W33</f>
        <v>92.03413053</v>
      </c>
      <c r="J34" s="6">
        <v>1.0</v>
      </c>
      <c r="K34" s="37">
        <f t="shared" ref="K34:K47" si="25">L33</f>
        <v>568</v>
      </c>
      <c r="L34" s="37">
        <f t="shared" si="15"/>
        <v>1038</v>
      </c>
      <c r="M34" s="35">
        <f t="shared" si="16"/>
        <v>0.8052754073</v>
      </c>
      <c r="O34" s="6">
        <v>1.0</v>
      </c>
      <c r="P34" s="12">
        <f t="shared" si="17"/>
        <v>1038</v>
      </c>
      <c r="Q34" s="12">
        <f t="shared" si="18"/>
        <v>703</v>
      </c>
      <c r="R34" s="38">
        <f t="shared" si="19"/>
        <v>0.8052754073</v>
      </c>
      <c r="S34" s="38">
        <f t="shared" si="20"/>
        <v>0.5453840186</v>
      </c>
      <c r="T34" s="12">
        <f t="shared" si="21"/>
        <v>0.6581351521</v>
      </c>
      <c r="U34" s="12">
        <f t="shared" si="22"/>
        <v>-0.9596177244</v>
      </c>
      <c r="V34" s="12">
        <f t="shared" si="23"/>
        <v>-0.631558157</v>
      </c>
      <c r="W34" s="16">
        <f>Frekuensi!$L$19+ Frekuensi!$N$20*V34</f>
        <v>44.75124586</v>
      </c>
    </row>
    <row r="35">
      <c r="B35" s="6">
        <v>61.0</v>
      </c>
      <c r="C35" s="41">
        <v>128.0</v>
      </c>
      <c r="D35" s="37">
        <v>189.0</v>
      </c>
      <c r="F35" s="6">
        <v>2.0</v>
      </c>
      <c r="G35" s="35">
        <f t="shared" si="14"/>
        <v>0.5453840186</v>
      </c>
      <c r="H35" s="39">
        <f t="shared" si="24"/>
        <v>44.75124586</v>
      </c>
      <c r="J35" s="6">
        <v>2.0</v>
      </c>
      <c r="K35" s="37">
        <f t="shared" si="25"/>
        <v>1038</v>
      </c>
      <c r="L35" s="37">
        <f t="shared" si="15"/>
        <v>703</v>
      </c>
      <c r="M35" s="35">
        <f t="shared" si="16"/>
        <v>0.5453840186</v>
      </c>
      <c r="O35" s="6">
        <v>2.0</v>
      </c>
      <c r="P35" s="12">
        <f t="shared" si="17"/>
        <v>703</v>
      </c>
      <c r="Q35" s="12">
        <f t="shared" si="18"/>
        <v>215</v>
      </c>
      <c r="R35" s="38">
        <f t="shared" si="19"/>
        <v>0.5453840186</v>
      </c>
      <c r="S35" s="38">
        <f t="shared" si="20"/>
        <v>0.1667959659</v>
      </c>
      <c r="T35" s="12">
        <f t="shared" si="21"/>
        <v>1.1011495</v>
      </c>
      <c r="U35" s="12">
        <f t="shared" si="22"/>
        <v>0.4992962667</v>
      </c>
      <c r="V35" s="12">
        <f t="shared" si="23"/>
        <v>0.5497998346</v>
      </c>
      <c r="W35" s="16">
        <f>Frekuensi!$L$19+ Frekuensi!$N$20*V35</f>
        <v>97.08676624</v>
      </c>
    </row>
    <row r="36">
      <c r="B36" s="6">
        <v>76.0</v>
      </c>
      <c r="C36" s="41">
        <v>150.0</v>
      </c>
      <c r="D36" s="37">
        <v>226.0</v>
      </c>
      <c r="F36" s="6">
        <v>3.0</v>
      </c>
      <c r="G36" s="35">
        <f t="shared" si="14"/>
        <v>0.1667959659</v>
      </c>
      <c r="H36" s="39">
        <f t="shared" si="24"/>
        <v>97.08676624</v>
      </c>
      <c r="J36" s="6">
        <v>3.0</v>
      </c>
      <c r="K36" s="37">
        <f t="shared" si="25"/>
        <v>703</v>
      </c>
      <c r="L36" s="37">
        <f t="shared" si="15"/>
        <v>215</v>
      </c>
      <c r="M36" s="35">
        <f t="shared" si="16"/>
        <v>0.1667959659</v>
      </c>
      <c r="O36" s="6">
        <v>3.0</v>
      </c>
      <c r="P36" s="12">
        <f t="shared" si="17"/>
        <v>215</v>
      </c>
      <c r="Q36" s="12">
        <f t="shared" si="18"/>
        <v>316</v>
      </c>
      <c r="R36" s="38">
        <f t="shared" si="19"/>
        <v>0.1667959659</v>
      </c>
      <c r="S36" s="38">
        <f t="shared" si="20"/>
        <v>0.2451512801</v>
      </c>
      <c r="T36" s="12">
        <f t="shared" si="21"/>
        <v>1.892608768</v>
      </c>
      <c r="U36" s="12">
        <f t="shared" si="22"/>
        <v>0.03046069339</v>
      </c>
      <c r="V36" s="12">
        <f t="shared" si="23"/>
        <v>0.0576501754</v>
      </c>
      <c r="W36" s="16">
        <f>Frekuensi!$L$19+ Frekuensi!$N$20*V36</f>
        <v>75.2839692</v>
      </c>
    </row>
    <row r="37">
      <c r="B37" s="6">
        <v>19.0</v>
      </c>
      <c r="C37" s="41">
        <v>119.0</v>
      </c>
      <c r="D37" s="37">
        <v>138.0</v>
      </c>
      <c r="F37" s="6">
        <v>4.0</v>
      </c>
      <c r="G37" s="35">
        <f t="shared" si="14"/>
        <v>0.2451512801</v>
      </c>
      <c r="H37" s="39">
        <f t="shared" si="24"/>
        <v>75.2839692</v>
      </c>
      <c r="J37" s="6">
        <v>4.0</v>
      </c>
      <c r="K37" s="37">
        <f t="shared" si="25"/>
        <v>215</v>
      </c>
      <c r="L37" s="37">
        <f t="shared" si="15"/>
        <v>316</v>
      </c>
      <c r="M37" s="35">
        <f t="shared" si="16"/>
        <v>0.2451512801</v>
      </c>
      <c r="O37" s="6">
        <v>4.0</v>
      </c>
      <c r="P37" s="12">
        <f t="shared" si="17"/>
        <v>316</v>
      </c>
      <c r="Q37" s="12">
        <f t="shared" si="18"/>
        <v>340</v>
      </c>
      <c r="R37" s="38">
        <f t="shared" si="19"/>
        <v>0.2451512801</v>
      </c>
      <c r="S37" s="38">
        <f t="shared" si="20"/>
        <v>0.2637703646</v>
      </c>
      <c r="T37" s="12">
        <f t="shared" si="21"/>
        <v>1.676830218</v>
      </c>
      <c r="U37" s="12">
        <f t="shared" si="22"/>
        <v>-0.08641384257</v>
      </c>
      <c r="V37" s="12">
        <f t="shared" si="23"/>
        <v>-0.1449013424</v>
      </c>
      <c r="W37" s="16">
        <f>Frekuensi!$L$19+ Frekuensi!$N$20*V37</f>
        <v>66.31070355</v>
      </c>
    </row>
    <row r="38">
      <c r="B38" s="6">
        <v>45.0</v>
      </c>
      <c r="C38" s="41">
        <v>122.0</v>
      </c>
      <c r="D38" s="37">
        <v>167.0</v>
      </c>
      <c r="F38" s="6">
        <v>5.0</v>
      </c>
      <c r="G38" s="35">
        <f t="shared" si="14"/>
        <v>0.2637703646</v>
      </c>
      <c r="H38" s="39">
        <f t="shared" si="24"/>
        <v>66.31070355</v>
      </c>
      <c r="J38" s="6">
        <v>5.0</v>
      </c>
      <c r="K38" s="37">
        <f t="shared" si="25"/>
        <v>316</v>
      </c>
      <c r="L38" s="37">
        <f t="shared" si="15"/>
        <v>340</v>
      </c>
      <c r="M38" s="35">
        <f t="shared" si="16"/>
        <v>0.2637703646</v>
      </c>
      <c r="O38" s="6">
        <v>5.0</v>
      </c>
      <c r="P38" s="12">
        <f t="shared" si="17"/>
        <v>340</v>
      </c>
      <c r="Q38" s="12">
        <f t="shared" si="18"/>
        <v>652</v>
      </c>
      <c r="R38" s="38">
        <f t="shared" si="19"/>
        <v>0.2637703646</v>
      </c>
      <c r="S38" s="38">
        <f t="shared" si="20"/>
        <v>0.5058184639</v>
      </c>
      <c r="T38" s="12">
        <f t="shared" si="21"/>
        <v>1.632590815</v>
      </c>
      <c r="U38" s="12">
        <f t="shared" si="22"/>
        <v>-0.9993318129</v>
      </c>
      <c r="V38" s="12">
        <f t="shared" si="23"/>
        <v>-1.631499939</v>
      </c>
      <c r="W38" s="16">
        <f>Frekuensi!$L$19+ Frekuensi!$N$20*V38</f>
        <v>0.452672618</v>
      </c>
    </row>
    <row r="39">
      <c r="B39" s="6">
        <v>91.0</v>
      </c>
      <c r="C39" s="41">
        <v>101.0</v>
      </c>
      <c r="D39" s="37">
        <v>192.0</v>
      </c>
      <c r="F39" s="6">
        <v>6.0</v>
      </c>
      <c r="G39" s="35">
        <f t="shared" si="14"/>
        <v>0.5058184639</v>
      </c>
      <c r="H39" s="39">
        <f t="shared" si="24"/>
        <v>0.452672618</v>
      </c>
      <c r="J39" s="6">
        <v>6.0</v>
      </c>
      <c r="K39" s="37">
        <f t="shared" si="25"/>
        <v>340</v>
      </c>
      <c r="L39" s="37">
        <f t="shared" si="15"/>
        <v>652</v>
      </c>
      <c r="M39" s="35">
        <f t="shared" si="16"/>
        <v>0.5058184639</v>
      </c>
      <c r="O39" s="6">
        <v>6.0</v>
      </c>
      <c r="P39" s="12">
        <f t="shared" si="17"/>
        <v>652</v>
      </c>
      <c r="Q39" s="12">
        <f t="shared" si="18"/>
        <v>841</v>
      </c>
      <c r="R39" s="38">
        <f t="shared" si="19"/>
        <v>0.5058184639</v>
      </c>
      <c r="S39" s="38">
        <f t="shared" si="20"/>
        <v>0.6524437548</v>
      </c>
      <c r="T39" s="12">
        <f t="shared" si="21"/>
        <v>1.16754224</v>
      </c>
      <c r="U39" s="12">
        <f t="shared" si="22"/>
        <v>-0.5752943492</v>
      </c>
      <c r="V39" s="12">
        <f t="shared" si="23"/>
        <v>-0.6716804531</v>
      </c>
      <c r="W39" s="16">
        <f>Frekuensi!$L$19+ Frekuensi!$N$20*V39</f>
        <v>42.97378191</v>
      </c>
    </row>
    <row r="40">
      <c r="B40" s="6">
        <v>37.0</v>
      </c>
      <c r="C40" s="41">
        <v>132.0</v>
      </c>
      <c r="D40" s="37">
        <v>169.0</v>
      </c>
      <c r="F40" s="6">
        <v>7.0</v>
      </c>
      <c r="G40" s="35">
        <f t="shared" si="14"/>
        <v>0.6524437548</v>
      </c>
      <c r="H40" s="39">
        <f t="shared" si="24"/>
        <v>42.97378191</v>
      </c>
      <c r="J40" s="6">
        <v>7.0</v>
      </c>
      <c r="K40" s="37">
        <f t="shared" si="25"/>
        <v>652</v>
      </c>
      <c r="L40" s="37">
        <f t="shared" si="15"/>
        <v>841</v>
      </c>
      <c r="M40" s="35">
        <f t="shared" si="16"/>
        <v>0.6524437548</v>
      </c>
      <c r="O40" s="6">
        <v>7.0</v>
      </c>
      <c r="P40" s="12">
        <f t="shared" si="17"/>
        <v>841</v>
      </c>
      <c r="Q40" s="12">
        <f t="shared" si="18"/>
        <v>720</v>
      </c>
      <c r="R40" s="38">
        <f t="shared" si="19"/>
        <v>0.6524437548</v>
      </c>
      <c r="S40" s="38">
        <f t="shared" si="20"/>
        <v>0.5585725369</v>
      </c>
      <c r="T40" s="12">
        <f t="shared" si="21"/>
        <v>0.924154038</v>
      </c>
      <c r="U40" s="12">
        <f t="shared" si="22"/>
        <v>-0.9330407596</v>
      </c>
      <c r="V40" s="12">
        <f t="shared" si="23"/>
        <v>-0.8622733856</v>
      </c>
      <c r="W40" s="16">
        <f>Frekuensi!$L$19+ Frekuensi!$N$20*V40</f>
        <v>34.53029537</v>
      </c>
    </row>
    <row r="41">
      <c r="B41" s="6">
        <v>104.0</v>
      </c>
      <c r="C41" s="41">
        <v>57.0</v>
      </c>
      <c r="D41" s="37">
        <v>161.0</v>
      </c>
      <c r="F41" s="6">
        <v>8.0</v>
      </c>
      <c r="G41" s="35">
        <f t="shared" si="14"/>
        <v>0.5585725369</v>
      </c>
      <c r="H41" s="39">
        <f t="shared" si="24"/>
        <v>34.53029537</v>
      </c>
      <c r="J41" s="6">
        <v>8.0</v>
      </c>
      <c r="K41" s="37">
        <f t="shared" si="25"/>
        <v>841</v>
      </c>
      <c r="L41" s="37">
        <f t="shared" si="15"/>
        <v>720</v>
      </c>
      <c r="M41" s="35">
        <f t="shared" si="16"/>
        <v>0.5585725369</v>
      </c>
      <c r="O41" s="6">
        <v>8.0</v>
      </c>
      <c r="P41" s="12">
        <f t="shared" si="17"/>
        <v>720</v>
      </c>
      <c r="Q41" s="12">
        <f t="shared" si="18"/>
        <v>436</v>
      </c>
      <c r="R41" s="38">
        <f t="shared" si="19"/>
        <v>0.5585725369</v>
      </c>
      <c r="S41" s="38">
        <f t="shared" si="20"/>
        <v>0.3382467029</v>
      </c>
      <c r="T41" s="12">
        <f t="shared" si="21"/>
        <v>1.079231941</v>
      </c>
      <c r="U41" s="12">
        <f t="shared" si="22"/>
        <v>-0.5264931079</v>
      </c>
      <c r="V41" s="12">
        <f t="shared" si="23"/>
        <v>-0.5682081786</v>
      </c>
      <c r="W41" s="16">
        <f>Frekuensi!$L$19+ Frekuensi!$N$20*V41</f>
        <v>47.55772291</v>
      </c>
    </row>
    <row r="42">
      <c r="B42" s="6">
        <v>61.0</v>
      </c>
      <c r="C42" s="41">
        <v>41.0</v>
      </c>
      <c r="D42" s="37">
        <v>102.0</v>
      </c>
      <c r="F42" s="6">
        <v>9.0</v>
      </c>
      <c r="G42" s="35">
        <f t="shared" si="14"/>
        <v>0.3382467029</v>
      </c>
      <c r="H42" s="39">
        <f t="shared" si="24"/>
        <v>47.55772291</v>
      </c>
      <c r="J42" s="6">
        <v>9.0</v>
      </c>
      <c r="K42" s="37">
        <f t="shared" si="25"/>
        <v>720</v>
      </c>
      <c r="L42" s="37">
        <f t="shared" si="15"/>
        <v>436</v>
      </c>
      <c r="M42" s="35">
        <f t="shared" si="16"/>
        <v>0.3382467029</v>
      </c>
      <c r="O42" s="6">
        <v>9.0</v>
      </c>
      <c r="P42" s="12">
        <f t="shared" si="17"/>
        <v>436</v>
      </c>
      <c r="Q42" s="12">
        <f t="shared" si="18"/>
        <v>611</v>
      </c>
      <c r="R42" s="38">
        <f t="shared" si="19"/>
        <v>0.3382467029</v>
      </c>
      <c r="S42" s="38">
        <f t="shared" si="20"/>
        <v>0.4740108611</v>
      </c>
      <c r="T42" s="12">
        <f t="shared" si="21"/>
        <v>1.472399239</v>
      </c>
      <c r="U42" s="12">
        <f t="shared" si="22"/>
        <v>-0.9866970407</v>
      </c>
      <c r="V42" s="12">
        <f t="shared" si="23"/>
        <v>-1.452811972</v>
      </c>
      <c r="W42" s="16">
        <f>Frekuensi!$L$19+ Frekuensi!$N$20*V42</f>
        <v>8.36875549</v>
      </c>
    </row>
    <row r="43">
      <c r="B43" s="6">
        <v>5.0</v>
      </c>
      <c r="C43" s="41">
        <v>152.0</v>
      </c>
      <c r="D43" s="37">
        <v>157.0</v>
      </c>
      <c r="F43" s="6">
        <v>10.0</v>
      </c>
      <c r="G43" s="35">
        <f t="shared" si="14"/>
        <v>0.4740108611</v>
      </c>
      <c r="H43" s="39">
        <f t="shared" si="24"/>
        <v>8.36875549</v>
      </c>
      <c r="J43" s="6">
        <v>10.0</v>
      </c>
      <c r="K43" s="37">
        <f t="shared" si="25"/>
        <v>436</v>
      </c>
      <c r="L43" s="37">
        <f t="shared" si="15"/>
        <v>611</v>
      </c>
      <c r="M43" s="35">
        <f t="shared" si="16"/>
        <v>0.4740108611</v>
      </c>
      <c r="O43" s="6">
        <v>10.0</v>
      </c>
      <c r="P43" s="12">
        <f t="shared" si="17"/>
        <v>611</v>
      </c>
      <c r="Q43" s="12">
        <f t="shared" si="18"/>
        <v>308</v>
      </c>
      <c r="R43" s="38">
        <f t="shared" si="19"/>
        <v>0.4740108611</v>
      </c>
      <c r="S43" s="38">
        <f t="shared" si="20"/>
        <v>0.2389449185</v>
      </c>
      <c r="T43" s="12">
        <f t="shared" si="21"/>
        <v>1.221904287</v>
      </c>
      <c r="U43" s="12">
        <f t="shared" si="22"/>
        <v>0.0694052823</v>
      </c>
      <c r="V43" s="12">
        <f t="shared" si="23"/>
        <v>0.08480661201</v>
      </c>
      <c r="W43" s="16">
        <f>Frekuensi!$L$19+ Frekuensi!$N$20*V43</f>
        <v>76.48703064</v>
      </c>
    </row>
    <row r="44">
      <c r="B44" s="6">
        <v>5.0</v>
      </c>
      <c r="C44" s="41">
        <v>104.0</v>
      </c>
      <c r="D44" s="37">
        <v>109.0</v>
      </c>
      <c r="J44" s="6">
        <v>11.0</v>
      </c>
      <c r="K44" s="37">
        <f t="shared" si="25"/>
        <v>611</v>
      </c>
      <c r="L44" s="37">
        <f t="shared" si="15"/>
        <v>308</v>
      </c>
      <c r="M44" s="35">
        <f t="shared" si="16"/>
        <v>0.2389449185</v>
      </c>
      <c r="O44" s="6">
        <v>11.0</v>
      </c>
      <c r="P44" s="12">
        <f t="shared" si="17"/>
        <v>308</v>
      </c>
      <c r="Q44" s="12">
        <f t="shared" si="18"/>
        <v>236</v>
      </c>
      <c r="R44" s="38">
        <f t="shared" si="19"/>
        <v>0.2389449185</v>
      </c>
      <c r="S44" s="12" t="str">
        <f t="shared" si="20"/>
        <v/>
      </c>
      <c r="T44" s="37"/>
      <c r="U44" s="37"/>
      <c r="V44" s="37"/>
      <c r="W44" s="37"/>
    </row>
    <row r="45">
      <c r="B45" s="6">
        <v>19.0</v>
      </c>
      <c r="C45" s="41">
        <v>67.0</v>
      </c>
      <c r="D45" s="37">
        <v>86.0</v>
      </c>
      <c r="J45" s="6">
        <f t="shared" ref="J45:J47" si="26">J44+1</f>
        <v>12</v>
      </c>
      <c r="K45" s="37">
        <f t="shared" si="25"/>
        <v>308</v>
      </c>
      <c r="L45" s="37">
        <f t="shared" si="15"/>
        <v>236</v>
      </c>
      <c r="M45" s="35">
        <f t="shared" si="16"/>
        <v>0.1830876649</v>
      </c>
    </row>
    <row r="46">
      <c r="B46" s="6">
        <v>10.0</v>
      </c>
      <c r="C46" s="41">
        <v>62.0</v>
      </c>
      <c r="D46" s="37">
        <v>72.0</v>
      </c>
      <c r="J46" s="6">
        <f t="shared" si="26"/>
        <v>13</v>
      </c>
      <c r="K46" s="37">
        <f t="shared" si="25"/>
        <v>236</v>
      </c>
      <c r="L46" s="37">
        <f t="shared" si="15"/>
        <v>589</v>
      </c>
      <c r="M46" s="35">
        <f t="shared" si="16"/>
        <v>0.456943367</v>
      </c>
    </row>
    <row r="47">
      <c r="B47" s="6">
        <v>11.0</v>
      </c>
      <c r="C47" s="41">
        <v>143.0</v>
      </c>
      <c r="D47" s="37">
        <v>154.0</v>
      </c>
      <c r="J47" s="6">
        <f t="shared" si="26"/>
        <v>14</v>
      </c>
      <c r="K47" s="37">
        <f t="shared" si="25"/>
        <v>589</v>
      </c>
      <c r="L47" s="37">
        <f t="shared" si="15"/>
        <v>22</v>
      </c>
      <c r="M47" s="35">
        <f t="shared" si="16"/>
        <v>0.01706749418</v>
      </c>
    </row>
    <row r="48">
      <c r="B48" s="6">
        <v>68.0</v>
      </c>
      <c r="C48" s="41">
        <v>30.0</v>
      </c>
      <c r="D48" s="37">
        <v>98.0</v>
      </c>
    </row>
    <row r="49">
      <c r="B49" s="6">
        <v>5.0</v>
      </c>
      <c r="C49" s="41">
        <v>172.0</v>
      </c>
      <c r="D49" s="37">
        <v>177.0</v>
      </c>
    </row>
    <row r="50">
      <c r="B50" s="6">
        <v>32.0</v>
      </c>
      <c r="C50" s="41">
        <v>27.0</v>
      </c>
      <c r="D50" s="37">
        <v>59.0</v>
      </c>
      <c r="F50" s="32" t="s">
        <v>48</v>
      </c>
      <c r="G50" s="22"/>
      <c r="H50" s="33">
        <v>13.0</v>
      </c>
    </row>
    <row r="51">
      <c r="B51" s="6">
        <v>69.0</v>
      </c>
      <c r="C51" s="41">
        <v>144.0</v>
      </c>
      <c r="D51" s="37">
        <v>213.0</v>
      </c>
      <c r="F51" s="32" t="s">
        <v>49</v>
      </c>
      <c r="G51" s="22"/>
      <c r="H51" s="33">
        <v>99.0</v>
      </c>
    </row>
    <row r="52">
      <c r="B52" s="6">
        <v>37.0</v>
      </c>
      <c r="C52" s="41">
        <v>63.0</v>
      </c>
      <c r="D52" s="37">
        <v>100.0</v>
      </c>
      <c r="F52" s="32" t="s">
        <v>50</v>
      </c>
      <c r="G52" s="22"/>
      <c r="H52" s="33">
        <v>1373.0</v>
      </c>
    </row>
    <row r="53">
      <c r="F53" s="32" t="s">
        <v>51</v>
      </c>
      <c r="G53" s="22"/>
      <c r="H53" s="33">
        <v>1104015.0</v>
      </c>
    </row>
    <row r="57">
      <c r="F57" s="1" t="s">
        <v>72</v>
      </c>
      <c r="J57" s="1" t="s">
        <v>70</v>
      </c>
      <c r="O57" s="1" t="s">
        <v>54</v>
      </c>
    </row>
    <row r="58">
      <c r="F58" s="6" t="s">
        <v>55</v>
      </c>
      <c r="G58" s="10" t="s">
        <v>71</v>
      </c>
      <c r="H58" s="10" t="s">
        <v>57</v>
      </c>
      <c r="J58" s="6" t="s">
        <v>55</v>
      </c>
      <c r="K58" s="10" t="s">
        <v>58</v>
      </c>
      <c r="L58" s="6" t="s">
        <v>59</v>
      </c>
      <c r="M58" s="6" t="s">
        <v>60</v>
      </c>
      <c r="O58" s="6" t="s">
        <v>55</v>
      </c>
      <c r="P58" s="6" t="s">
        <v>61</v>
      </c>
      <c r="Q58" s="6" t="s">
        <v>62</v>
      </c>
      <c r="R58" s="6" t="s">
        <v>60</v>
      </c>
      <c r="S58" s="6" t="s">
        <v>63</v>
      </c>
      <c r="T58" s="33" t="s">
        <v>64</v>
      </c>
      <c r="U58" s="6" t="s">
        <v>65</v>
      </c>
      <c r="V58" s="6" t="s">
        <v>66</v>
      </c>
      <c r="W58" s="6" t="s">
        <v>67</v>
      </c>
    </row>
    <row r="59">
      <c r="F59" s="6">
        <v>0.0</v>
      </c>
      <c r="G59" s="35">
        <f t="shared" ref="G59:G69" si="27">M59</f>
        <v>0.2367079388</v>
      </c>
      <c r="H59" s="36" t="s">
        <v>68</v>
      </c>
      <c r="J59" s="6">
        <v>0.0</v>
      </c>
      <c r="K59" s="6">
        <f>H53</f>
        <v>1104015</v>
      </c>
      <c r="L59" s="37">
        <f t="shared" ref="L59:L73" si="28">MOD(($H$50*K59+$H$51), $H$52)</f>
        <v>325</v>
      </c>
      <c r="M59" s="35">
        <f t="shared" ref="M59:M73" si="29">L59/$H$52</f>
        <v>0.2367079388</v>
      </c>
      <c r="O59" s="6">
        <v>0.0</v>
      </c>
      <c r="P59" s="12">
        <f t="shared" ref="P59:P70" si="30">L59</f>
        <v>325</v>
      </c>
      <c r="Q59" s="12">
        <f t="shared" ref="Q59:Q70" si="31">L60</f>
        <v>205</v>
      </c>
      <c r="R59" s="38">
        <f t="shared" ref="R59:R70" si="32">M59</f>
        <v>0.2367079388</v>
      </c>
      <c r="S59" s="38">
        <f t="shared" ref="S59:S70" si="33">R60</f>
        <v>0.1493080845</v>
      </c>
      <c r="T59" s="12">
        <f t="shared" ref="T59:T69" si="34">(-2*LN(R59))^(1/2)</f>
        <v>1.697603148</v>
      </c>
      <c r="U59" s="12">
        <f t="shared" ref="U59:U69" si="35">COS(2*PI()*S59)</f>
        <v>0.5912968341</v>
      </c>
      <c r="V59" s="12">
        <f t="shared" ref="V59:V69" si="36">T59*U59</f>
        <v>1.003787367</v>
      </c>
      <c r="W59" s="16">
        <f>Frekuensi!$T$19+ Frekuensi!$V$20*V59</f>
        <v>159.5233712</v>
      </c>
    </row>
    <row r="60">
      <c r="F60" s="6">
        <v>1.0</v>
      </c>
      <c r="G60" s="35">
        <f t="shared" si="27"/>
        <v>0.1493080845</v>
      </c>
      <c r="H60" s="39">
        <f t="shared" ref="H60:H69" si="37">W59</f>
        <v>159.5233712</v>
      </c>
      <c r="J60" s="6">
        <v>1.0</v>
      </c>
      <c r="K60" s="37">
        <f t="shared" ref="K60:K73" si="38">L59</f>
        <v>325</v>
      </c>
      <c r="L60" s="37">
        <f t="shared" si="28"/>
        <v>205</v>
      </c>
      <c r="M60" s="35">
        <f t="shared" si="29"/>
        <v>0.1493080845</v>
      </c>
      <c r="O60" s="6">
        <v>1.0</v>
      </c>
      <c r="P60" s="12">
        <f t="shared" si="30"/>
        <v>205</v>
      </c>
      <c r="Q60" s="12">
        <f t="shared" si="31"/>
        <v>18</v>
      </c>
      <c r="R60" s="38">
        <f t="shared" si="32"/>
        <v>0.1493080845</v>
      </c>
      <c r="S60" s="38">
        <f t="shared" si="33"/>
        <v>0.01310997815</v>
      </c>
      <c r="T60" s="12">
        <f t="shared" si="34"/>
        <v>1.950253023</v>
      </c>
      <c r="U60" s="12">
        <f t="shared" si="35"/>
        <v>0.9966093099</v>
      </c>
      <c r="V60" s="12">
        <f t="shared" si="36"/>
        <v>1.943640319</v>
      </c>
      <c r="W60" s="16">
        <f>Frekuensi!$T$19+ Frekuensi!$V$20*V60</f>
        <v>207.1096399</v>
      </c>
    </row>
    <row r="61">
      <c r="F61" s="6">
        <v>2.0</v>
      </c>
      <c r="G61" s="35">
        <f t="shared" si="27"/>
        <v>0.01310997815</v>
      </c>
      <c r="H61" s="39">
        <f t="shared" si="37"/>
        <v>207.1096399</v>
      </c>
      <c r="J61" s="6">
        <v>2.0</v>
      </c>
      <c r="K61" s="37">
        <f t="shared" si="38"/>
        <v>205</v>
      </c>
      <c r="L61" s="37">
        <f t="shared" si="28"/>
        <v>18</v>
      </c>
      <c r="M61" s="35">
        <f t="shared" si="29"/>
        <v>0.01310997815</v>
      </c>
      <c r="O61" s="6">
        <v>2.0</v>
      </c>
      <c r="P61" s="12">
        <f t="shared" si="30"/>
        <v>18</v>
      </c>
      <c r="Q61" s="12">
        <f t="shared" si="31"/>
        <v>333</v>
      </c>
      <c r="R61" s="38">
        <f t="shared" si="32"/>
        <v>0.01310997815</v>
      </c>
      <c r="S61" s="38">
        <f t="shared" si="33"/>
        <v>0.2425345958</v>
      </c>
      <c r="T61" s="12">
        <f t="shared" si="34"/>
        <v>2.944276362</v>
      </c>
      <c r="U61" s="12">
        <f t="shared" si="35"/>
        <v>0.04688931924</v>
      </c>
      <c r="V61" s="12">
        <f t="shared" si="36"/>
        <v>0.1380551143</v>
      </c>
      <c r="W61" s="16">
        <f>Frekuensi!$T$19+ Frekuensi!$V$20*V61</f>
        <v>115.6899528</v>
      </c>
    </row>
    <row r="62">
      <c r="F62" s="6">
        <v>3.0</v>
      </c>
      <c r="G62" s="35">
        <f t="shared" si="27"/>
        <v>0.2425345958</v>
      </c>
      <c r="H62" s="39">
        <f t="shared" si="37"/>
        <v>115.6899528</v>
      </c>
      <c r="J62" s="6">
        <v>3.0</v>
      </c>
      <c r="K62" s="37">
        <f t="shared" si="38"/>
        <v>18</v>
      </c>
      <c r="L62" s="37">
        <f t="shared" si="28"/>
        <v>333</v>
      </c>
      <c r="M62" s="35">
        <f t="shared" si="29"/>
        <v>0.2425345958</v>
      </c>
      <c r="O62" s="6">
        <v>3.0</v>
      </c>
      <c r="P62" s="12">
        <f t="shared" si="30"/>
        <v>333</v>
      </c>
      <c r="Q62" s="12">
        <f t="shared" si="31"/>
        <v>309</v>
      </c>
      <c r="R62" s="38">
        <f t="shared" si="32"/>
        <v>0.2425345958</v>
      </c>
      <c r="S62" s="38">
        <f t="shared" si="33"/>
        <v>0.2250546249</v>
      </c>
      <c r="T62" s="12">
        <f t="shared" si="34"/>
        <v>1.683217702</v>
      </c>
      <c r="U62" s="12">
        <f t="shared" si="35"/>
        <v>0.156095463</v>
      </c>
      <c r="V62" s="12">
        <f t="shared" si="36"/>
        <v>0.2627426465</v>
      </c>
      <c r="W62" s="16">
        <f>Frekuensi!$T$19+ Frekuensi!$V$20*V62</f>
        <v>122.0030834</v>
      </c>
    </row>
    <row r="63">
      <c r="F63" s="6">
        <v>4.0</v>
      </c>
      <c r="G63" s="35">
        <f t="shared" si="27"/>
        <v>0.2250546249</v>
      </c>
      <c r="H63" s="39">
        <f t="shared" si="37"/>
        <v>122.0030834</v>
      </c>
      <c r="J63" s="6">
        <v>4.0</v>
      </c>
      <c r="K63" s="37">
        <f t="shared" si="38"/>
        <v>333</v>
      </c>
      <c r="L63" s="37">
        <f t="shared" si="28"/>
        <v>309</v>
      </c>
      <c r="M63" s="35">
        <f t="shared" si="29"/>
        <v>0.2250546249</v>
      </c>
      <c r="O63" s="6">
        <v>4.0</v>
      </c>
      <c r="P63" s="12">
        <f t="shared" si="30"/>
        <v>309</v>
      </c>
      <c r="Q63" s="12">
        <f t="shared" si="31"/>
        <v>1370</v>
      </c>
      <c r="R63" s="38">
        <f t="shared" si="32"/>
        <v>0.2250546249</v>
      </c>
      <c r="S63" s="38">
        <f t="shared" si="33"/>
        <v>0.9978150036</v>
      </c>
      <c r="T63" s="12">
        <f t="shared" si="34"/>
        <v>1.727085481</v>
      </c>
      <c r="U63" s="12">
        <f t="shared" si="35"/>
        <v>0.9999057624</v>
      </c>
      <c r="V63" s="12">
        <f t="shared" si="36"/>
        <v>1.726922724</v>
      </c>
      <c r="W63" s="16">
        <f>Frekuensi!$T$19+ Frekuensi!$V$20*V63</f>
        <v>196.136879</v>
      </c>
    </row>
    <row r="64">
      <c r="F64" s="6">
        <v>5.0</v>
      </c>
      <c r="G64" s="35">
        <f t="shared" si="27"/>
        <v>0.9978150036</v>
      </c>
      <c r="H64" s="39">
        <f t="shared" si="37"/>
        <v>196.136879</v>
      </c>
      <c r="J64" s="6">
        <v>5.0</v>
      </c>
      <c r="K64" s="37">
        <f t="shared" si="38"/>
        <v>309</v>
      </c>
      <c r="L64" s="37">
        <f t="shared" si="28"/>
        <v>1370</v>
      </c>
      <c r="M64" s="35">
        <f t="shared" si="29"/>
        <v>0.9978150036</v>
      </c>
      <c r="O64" s="6">
        <v>5.0</v>
      </c>
      <c r="P64" s="12">
        <f t="shared" si="30"/>
        <v>1370</v>
      </c>
      <c r="Q64" s="12">
        <f t="shared" si="31"/>
        <v>60</v>
      </c>
      <c r="R64" s="38">
        <f t="shared" si="32"/>
        <v>0.9978150036</v>
      </c>
      <c r="S64" s="38">
        <f t="shared" si="33"/>
        <v>0.04369992717</v>
      </c>
      <c r="T64" s="12">
        <f t="shared" si="34"/>
        <v>0.06614207354</v>
      </c>
      <c r="U64" s="12">
        <f t="shared" si="35"/>
        <v>0.9625405886</v>
      </c>
      <c r="V64" s="12">
        <f t="shared" si="36"/>
        <v>0.06366443039</v>
      </c>
      <c r="W64" s="16">
        <f>Frekuensi!$T$19+ Frekuensi!$V$20*V64</f>
        <v>111.9234327</v>
      </c>
    </row>
    <row r="65">
      <c r="F65" s="6">
        <v>6.0</v>
      </c>
      <c r="G65" s="35">
        <f t="shared" si="27"/>
        <v>0.04369992717</v>
      </c>
      <c r="H65" s="39">
        <f t="shared" si="37"/>
        <v>111.9234327</v>
      </c>
      <c r="J65" s="6">
        <v>6.0</v>
      </c>
      <c r="K65" s="37">
        <f t="shared" si="38"/>
        <v>1370</v>
      </c>
      <c r="L65" s="37">
        <f t="shared" si="28"/>
        <v>60</v>
      </c>
      <c r="M65" s="35">
        <f t="shared" si="29"/>
        <v>0.04369992717</v>
      </c>
      <c r="O65" s="6">
        <v>6.0</v>
      </c>
      <c r="P65" s="12">
        <f t="shared" si="30"/>
        <v>60</v>
      </c>
      <c r="Q65" s="12">
        <f t="shared" si="31"/>
        <v>879</v>
      </c>
      <c r="R65" s="38">
        <f t="shared" si="32"/>
        <v>0.04369992717</v>
      </c>
      <c r="S65" s="38">
        <f t="shared" si="33"/>
        <v>0.640203933</v>
      </c>
      <c r="T65" s="12">
        <f t="shared" si="34"/>
        <v>2.502162602</v>
      </c>
      <c r="U65" s="12">
        <f t="shared" si="35"/>
        <v>-0.6364361705</v>
      </c>
      <c r="V65" s="12">
        <f t="shared" si="36"/>
        <v>-1.592466784</v>
      </c>
      <c r="W65" s="16">
        <f>Frekuensi!$T$19+ Frekuensi!$V$20*V65</f>
        <v>28.07084175</v>
      </c>
    </row>
    <row r="66">
      <c r="F66" s="6">
        <v>7.0</v>
      </c>
      <c r="G66" s="35">
        <f t="shared" si="27"/>
        <v>0.640203933</v>
      </c>
      <c r="H66" s="39">
        <f t="shared" si="37"/>
        <v>28.07084175</v>
      </c>
      <c r="J66" s="6">
        <v>7.0</v>
      </c>
      <c r="K66" s="37">
        <f t="shared" si="38"/>
        <v>60</v>
      </c>
      <c r="L66" s="37">
        <f t="shared" si="28"/>
        <v>879</v>
      </c>
      <c r="M66" s="35">
        <f t="shared" si="29"/>
        <v>0.640203933</v>
      </c>
      <c r="O66" s="6">
        <v>7.0</v>
      </c>
      <c r="P66" s="12">
        <f t="shared" si="30"/>
        <v>879</v>
      </c>
      <c r="Q66" s="12">
        <f t="shared" si="31"/>
        <v>542</v>
      </c>
      <c r="R66" s="38">
        <f t="shared" si="32"/>
        <v>0.640203933</v>
      </c>
      <c r="S66" s="38">
        <f t="shared" si="33"/>
        <v>0.3947560087</v>
      </c>
      <c r="T66" s="12">
        <f t="shared" si="34"/>
        <v>0.9444241717</v>
      </c>
      <c r="U66" s="12">
        <f t="shared" si="35"/>
        <v>-0.7892144718</v>
      </c>
      <c r="V66" s="12">
        <f t="shared" si="36"/>
        <v>-0.7453532238</v>
      </c>
      <c r="W66" s="16">
        <f>Frekuensi!$T$19+ Frekuensi!$V$20*V66</f>
        <v>70.96156575</v>
      </c>
    </row>
    <row r="67">
      <c r="F67" s="6">
        <v>8.0</v>
      </c>
      <c r="G67" s="35">
        <f t="shared" si="27"/>
        <v>0.3947560087</v>
      </c>
      <c r="H67" s="39">
        <f t="shared" si="37"/>
        <v>70.96156575</v>
      </c>
      <c r="J67" s="6">
        <v>8.0</v>
      </c>
      <c r="K67" s="37">
        <f t="shared" si="38"/>
        <v>879</v>
      </c>
      <c r="L67" s="37">
        <f t="shared" si="28"/>
        <v>542</v>
      </c>
      <c r="M67" s="35">
        <f t="shared" si="29"/>
        <v>0.3947560087</v>
      </c>
      <c r="O67" s="6">
        <v>8.0</v>
      </c>
      <c r="P67" s="12">
        <f t="shared" si="30"/>
        <v>542</v>
      </c>
      <c r="Q67" s="12">
        <f t="shared" si="31"/>
        <v>280</v>
      </c>
      <c r="R67" s="38">
        <f t="shared" si="32"/>
        <v>0.3947560087</v>
      </c>
      <c r="S67" s="38">
        <f t="shared" si="33"/>
        <v>0.2039329934</v>
      </c>
      <c r="T67" s="12">
        <f t="shared" si="34"/>
        <v>1.363442265</v>
      </c>
      <c r="U67" s="12">
        <f t="shared" si="35"/>
        <v>0.2854227889</v>
      </c>
      <c r="V67" s="12">
        <f t="shared" si="36"/>
        <v>0.3891574936</v>
      </c>
      <c r="W67" s="16">
        <f>Frekuensi!$T$19+ Frekuensi!$V$20*V67</f>
        <v>128.4036707</v>
      </c>
    </row>
    <row r="68">
      <c r="F68" s="6">
        <v>9.0</v>
      </c>
      <c r="G68" s="35">
        <f t="shared" si="27"/>
        <v>0.2039329934</v>
      </c>
      <c r="H68" s="39">
        <f t="shared" si="37"/>
        <v>128.4036707</v>
      </c>
      <c r="J68" s="6">
        <v>9.0</v>
      </c>
      <c r="K68" s="37">
        <f t="shared" si="38"/>
        <v>542</v>
      </c>
      <c r="L68" s="37">
        <f t="shared" si="28"/>
        <v>280</v>
      </c>
      <c r="M68" s="35">
        <f t="shared" si="29"/>
        <v>0.2039329934</v>
      </c>
      <c r="O68" s="6">
        <v>9.0</v>
      </c>
      <c r="P68" s="12">
        <f t="shared" si="30"/>
        <v>280</v>
      </c>
      <c r="Q68" s="12">
        <f t="shared" si="31"/>
        <v>993</v>
      </c>
      <c r="R68" s="38">
        <f t="shared" si="32"/>
        <v>0.2039329934</v>
      </c>
      <c r="S68" s="38">
        <f t="shared" si="33"/>
        <v>0.7232337946</v>
      </c>
      <c r="T68" s="12">
        <f t="shared" si="34"/>
        <v>1.783235151</v>
      </c>
      <c r="U68" s="12">
        <f t="shared" si="35"/>
        <v>-0.1673853759</v>
      </c>
      <c r="V68" s="12">
        <f t="shared" si="36"/>
        <v>-0.2984874862</v>
      </c>
      <c r="W68" s="16">
        <f>Frekuensi!$T$19+ Frekuensi!$V$20*V68</f>
        <v>93.58709781</v>
      </c>
    </row>
    <row r="69">
      <c r="F69" s="6">
        <v>10.0</v>
      </c>
      <c r="G69" s="35">
        <f t="shared" si="27"/>
        <v>0.7232337946</v>
      </c>
      <c r="H69" s="39">
        <f t="shared" si="37"/>
        <v>93.58709781</v>
      </c>
      <c r="J69" s="6">
        <v>10.0</v>
      </c>
      <c r="K69" s="37">
        <f t="shared" si="38"/>
        <v>280</v>
      </c>
      <c r="L69" s="37">
        <f t="shared" si="28"/>
        <v>993</v>
      </c>
      <c r="M69" s="35">
        <f t="shared" si="29"/>
        <v>0.7232337946</v>
      </c>
      <c r="O69" s="6">
        <v>10.0</v>
      </c>
      <c r="P69" s="12">
        <f t="shared" si="30"/>
        <v>993</v>
      </c>
      <c r="Q69" s="12">
        <f t="shared" si="31"/>
        <v>651</v>
      </c>
      <c r="R69" s="38">
        <f t="shared" si="32"/>
        <v>0.7232337946</v>
      </c>
      <c r="S69" s="38">
        <f t="shared" si="33"/>
        <v>0.4741442098</v>
      </c>
      <c r="T69" s="12">
        <f t="shared" si="34"/>
        <v>0.8050127225</v>
      </c>
      <c r="U69" s="12">
        <f t="shared" si="35"/>
        <v>-0.9868329041</v>
      </c>
      <c r="V69" s="12">
        <f t="shared" si="36"/>
        <v>-0.7944130428</v>
      </c>
      <c r="W69" s="16">
        <f>Frekuensi!$T$19+ Frekuensi!$V$20*V69</f>
        <v>68.4775881</v>
      </c>
    </row>
    <row r="70">
      <c r="J70" s="6">
        <v>11.0</v>
      </c>
      <c r="K70" s="37">
        <f t="shared" si="38"/>
        <v>993</v>
      </c>
      <c r="L70" s="37">
        <f t="shared" si="28"/>
        <v>651</v>
      </c>
      <c r="M70" s="35">
        <f t="shared" si="29"/>
        <v>0.4741442098</v>
      </c>
      <c r="O70" s="6">
        <v>11.0</v>
      </c>
      <c r="P70" s="12">
        <f t="shared" si="30"/>
        <v>651</v>
      </c>
      <c r="Q70" s="12">
        <f t="shared" si="31"/>
        <v>324</v>
      </c>
      <c r="R70" s="38">
        <f t="shared" si="32"/>
        <v>0.4741442098</v>
      </c>
      <c r="S70" s="12" t="str">
        <f t="shared" si="33"/>
        <v/>
      </c>
      <c r="T70" s="37"/>
      <c r="U70" s="37"/>
      <c r="V70" s="37"/>
      <c r="W70" s="37"/>
    </row>
    <row r="71">
      <c r="J71" s="6">
        <f t="shared" ref="J71:J73" si="39">J70+1</f>
        <v>12</v>
      </c>
      <c r="K71" s="37">
        <f t="shared" si="38"/>
        <v>651</v>
      </c>
      <c r="L71" s="37">
        <f t="shared" si="28"/>
        <v>324</v>
      </c>
      <c r="M71" s="35">
        <f t="shared" si="29"/>
        <v>0.2359796067</v>
      </c>
    </row>
    <row r="72">
      <c r="J72" s="6">
        <f t="shared" si="39"/>
        <v>13</v>
      </c>
      <c r="K72" s="37">
        <f t="shared" si="38"/>
        <v>324</v>
      </c>
      <c r="L72" s="37">
        <f t="shared" si="28"/>
        <v>192</v>
      </c>
      <c r="M72" s="35">
        <f t="shared" si="29"/>
        <v>0.1398397669</v>
      </c>
    </row>
    <row r="73">
      <c r="J73" s="6">
        <f t="shared" si="39"/>
        <v>14</v>
      </c>
      <c r="K73" s="37">
        <f t="shared" si="38"/>
        <v>192</v>
      </c>
      <c r="L73" s="37">
        <f t="shared" si="28"/>
        <v>1222</v>
      </c>
      <c r="M73" s="35">
        <f t="shared" si="29"/>
        <v>0.89002185</v>
      </c>
    </row>
  </sheetData>
  <mergeCells count="12">
    <mergeCell ref="F28:G28"/>
    <mergeCell ref="F50:G50"/>
    <mergeCell ref="F51:G51"/>
    <mergeCell ref="F52:G52"/>
    <mergeCell ref="F53:G53"/>
    <mergeCell ref="F2:G2"/>
    <mergeCell ref="F3:G3"/>
    <mergeCell ref="F4:G4"/>
    <mergeCell ref="F5:G5"/>
    <mergeCell ref="F25:G25"/>
    <mergeCell ref="F26:G26"/>
    <mergeCell ref="F27:G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14.5"/>
    <col customWidth="1" min="5" max="5" width="19.75"/>
    <col customWidth="1" min="6" max="6" width="23.75"/>
    <col customWidth="1" min="7" max="8" width="17.63"/>
    <col customWidth="1" min="9" max="9" width="13.38"/>
  </cols>
  <sheetData>
    <row r="2">
      <c r="A2" s="21" t="s">
        <v>73</v>
      </c>
      <c r="B2" s="42"/>
      <c r="C2" s="42"/>
      <c r="D2" s="22"/>
      <c r="E2" s="43" t="s">
        <v>74</v>
      </c>
      <c r="F2" s="42"/>
      <c r="G2" s="22"/>
      <c r="H2" s="34"/>
    </row>
    <row r="3">
      <c r="A3" s="12"/>
      <c r="B3" s="6" t="s">
        <v>75</v>
      </c>
      <c r="C3" s="6" t="s">
        <v>76</v>
      </c>
      <c r="D3" s="6" t="s">
        <v>77</v>
      </c>
      <c r="E3" s="6" t="s">
        <v>78</v>
      </c>
      <c r="F3" s="6" t="s">
        <v>79</v>
      </c>
      <c r="G3" s="6" t="s">
        <v>80</v>
      </c>
      <c r="H3" s="34"/>
    </row>
    <row r="4">
      <c r="A4" s="6" t="s">
        <v>4</v>
      </c>
      <c r="B4" s="6" t="s">
        <v>81</v>
      </c>
      <c r="C4" s="6" t="s">
        <v>82</v>
      </c>
      <c r="D4" s="6" t="s">
        <v>83</v>
      </c>
      <c r="E4" s="6" t="s">
        <v>84</v>
      </c>
      <c r="F4" s="6" t="s">
        <v>85</v>
      </c>
      <c r="G4" s="6" t="s">
        <v>86</v>
      </c>
    </row>
    <row r="5">
      <c r="A5" s="6">
        <v>0.0</v>
      </c>
      <c r="B5" s="35">
        <f>Bil_acak!G9</f>
        <v>0.5154769425</v>
      </c>
      <c r="C5" s="35">
        <f>Bil_acak!G33</f>
        <v>0.440651668</v>
      </c>
      <c r="D5" s="35">
        <f>Bil_acak!G59</f>
        <v>0.2367079388</v>
      </c>
      <c r="E5" s="6" t="s">
        <v>68</v>
      </c>
      <c r="F5" s="6" t="s">
        <v>68</v>
      </c>
      <c r="G5" s="6" t="s">
        <v>68</v>
      </c>
    </row>
    <row r="6">
      <c r="A6" s="37">
        <f t="shared" ref="A6:A14" si="1">A5+1</f>
        <v>1</v>
      </c>
      <c r="B6" s="35">
        <f>Bil_acak!G10</f>
        <v>0.7637397347</v>
      </c>
      <c r="C6" s="35">
        <f>Bil_acak!G34</f>
        <v>0.8052754073</v>
      </c>
      <c r="D6" s="35">
        <f>Bil_acak!G60</f>
        <v>0.1493080845</v>
      </c>
      <c r="E6" s="39">
        <v>40.58779385898216</v>
      </c>
      <c r="F6" s="39">
        <f>Bil_acak!H34</f>
        <v>92.03413053</v>
      </c>
      <c r="G6" s="39">
        <f>Bil_acak!H60</f>
        <v>159.5233712</v>
      </c>
    </row>
    <row r="7">
      <c r="A7" s="37">
        <f t="shared" si="1"/>
        <v>2</v>
      </c>
      <c r="B7" s="35">
        <f>Bil_acak!G11</f>
        <v>0.9911560328</v>
      </c>
      <c r="C7" s="35">
        <f>Bil_acak!G35</f>
        <v>0.5453840186</v>
      </c>
      <c r="D7" s="35">
        <f>Bil_acak!G61</f>
        <v>0.01310997815</v>
      </c>
      <c r="E7" s="39">
        <v>61.198127955742535</v>
      </c>
      <c r="F7" s="39">
        <f>Bil_acak!H35</f>
        <v>44.75124586</v>
      </c>
      <c r="G7" s="39">
        <f>Bil_acak!H61</f>
        <v>207.1096399</v>
      </c>
    </row>
    <row r="8">
      <c r="A8" s="37">
        <f t="shared" si="1"/>
        <v>3</v>
      </c>
      <c r="B8" s="35">
        <f>Bil_acak!G12</f>
        <v>0.947567909</v>
      </c>
      <c r="C8" s="35">
        <f>Bil_acak!G36</f>
        <v>0.1667959659</v>
      </c>
      <c r="D8" s="35">
        <f>Bil_acak!G62</f>
        <v>0.2425345958</v>
      </c>
      <c r="E8" s="39">
        <v>41.46130393902287</v>
      </c>
      <c r="F8" s="39">
        <f>Bil_acak!H36</f>
        <v>97.08676624</v>
      </c>
      <c r="G8" s="39">
        <f>Bil_acak!H62</f>
        <v>115.6899528</v>
      </c>
    </row>
    <row r="9">
      <c r="A9" s="37">
        <f t="shared" si="1"/>
        <v>4</v>
      </c>
      <c r="B9" s="35">
        <f>Bil_acak!G13</f>
        <v>0.3809222994</v>
      </c>
      <c r="C9" s="35">
        <f>Bil_acak!G37</f>
        <v>0.2451512801</v>
      </c>
      <c r="D9" s="35">
        <f>Bil_acak!G63</f>
        <v>0.2250546249</v>
      </c>
      <c r="E9" s="39">
        <v>29.537975311761087</v>
      </c>
      <c r="F9" s="39">
        <f>Bil_acak!H37</f>
        <v>75.2839692</v>
      </c>
      <c r="G9" s="39">
        <f>Bil_acak!H63</f>
        <v>122.0030834</v>
      </c>
    </row>
    <row r="10">
      <c r="A10" s="37">
        <f t="shared" si="1"/>
        <v>5</v>
      </c>
      <c r="B10" s="35">
        <f>Bil_acak!G14</f>
        <v>0.01452937461</v>
      </c>
      <c r="C10" s="35">
        <f>Bil_acak!G38</f>
        <v>0.2637703646</v>
      </c>
      <c r="D10" s="35">
        <f>Bil_acak!G64</f>
        <v>0.9978150036</v>
      </c>
      <c r="E10" s="39">
        <v>82.35127446391462</v>
      </c>
      <c r="F10" s="39">
        <f>Bil_acak!H38</f>
        <v>66.31070355</v>
      </c>
      <c r="G10" s="39">
        <f>Bil_acak!H64</f>
        <v>196.136879</v>
      </c>
    </row>
    <row r="11">
      <c r="A11" s="37">
        <f t="shared" si="1"/>
        <v>6</v>
      </c>
      <c r="B11" s="35">
        <f>Bil_acak!G15</f>
        <v>0.2514213519</v>
      </c>
      <c r="C11" s="35">
        <f>Bil_acak!G39</f>
        <v>0.5058184639</v>
      </c>
      <c r="D11" s="35">
        <f>Bil_acak!G65</f>
        <v>0.04369992717</v>
      </c>
      <c r="E11" s="39">
        <v>36.51517255042419</v>
      </c>
      <c r="F11" s="39">
        <f>Bil_acak!H39</f>
        <v>0.452672618</v>
      </c>
      <c r="G11" s="39">
        <f>Bil_acak!H65</f>
        <v>111.9234327</v>
      </c>
    </row>
    <row r="12">
      <c r="A12" s="37">
        <f t="shared" si="1"/>
        <v>7</v>
      </c>
      <c r="B12" s="35">
        <f>Bil_acak!G16</f>
        <v>0.3310170562</v>
      </c>
      <c r="C12" s="35">
        <f>Bil_acak!G40</f>
        <v>0.6524437548</v>
      </c>
      <c r="D12" s="35">
        <f>Bil_acak!G66</f>
        <v>0.640203933</v>
      </c>
      <c r="E12" s="39">
        <v>11.026163644839297</v>
      </c>
      <c r="F12" s="39">
        <f>Bil_acak!H40</f>
        <v>42.97378191</v>
      </c>
      <c r="G12" s="39">
        <f>Bil_acak!H66</f>
        <v>28.07084175</v>
      </c>
    </row>
    <row r="13">
      <c r="A13" s="37">
        <f t="shared" si="1"/>
        <v>8</v>
      </c>
      <c r="B13" s="35">
        <f>Bil_acak!G17</f>
        <v>0.3657612129</v>
      </c>
      <c r="C13" s="35">
        <f>Bil_acak!G41</f>
        <v>0.5585725369</v>
      </c>
      <c r="D13" s="35">
        <f>Bil_acak!G67</f>
        <v>0.3947560087</v>
      </c>
      <c r="E13" s="39">
        <v>5.209471872193525</v>
      </c>
      <c r="F13" s="39">
        <f>Bil_acak!H41</f>
        <v>34.53029537</v>
      </c>
      <c r="G13" s="39">
        <f>Bil_acak!H67</f>
        <v>70.96156575</v>
      </c>
    </row>
    <row r="14">
      <c r="A14" s="37">
        <f t="shared" si="1"/>
        <v>9</v>
      </c>
      <c r="B14" s="35">
        <f>Bil_acak!G18</f>
        <v>0.8174352495</v>
      </c>
      <c r="C14" s="35">
        <f>Bil_acak!G42</f>
        <v>0.3382467029</v>
      </c>
      <c r="D14" s="35">
        <f>Bil_acak!G68</f>
        <v>0.2039329934</v>
      </c>
      <c r="E14" s="39">
        <v>56.32202356735674</v>
      </c>
      <c r="F14" s="39">
        <f>Bil_acak!H42</f>
        <v>47.55772291</v>
      </c>
      <c r="G14" s="39">
        <f>Bil_acak!H68</f>
        <v>128.4036707</v>
      </c>
    </row>
    <row r="15">
      <c r="A15" s="6">
        <v>10.0</v>
      </c>
      <c r="B15" s="6">
        <v>0.6892</v>
      </c>
      <c r="C15" s="35">
        <f>Bil_acak!G43</f>
        <v>0.4740108611</v>
      </c>
      <c r="D15" s="35">
        <f>Bil_acak!G69</f>
        <v>0.7232337946</v>
      </c>
      <c r="E15" s="39">
        <v>29.66245576016885</v>
      </c>
      <c r="F15" s="39">
        <f>Bil_acak!H43</f>
        <v>8.36875549</v>
      </c>
      <c r="G15" s="39">
        <f>Bil_acak!H69</f>
        <v>93.58709781</v>
      </c>
    </row>
    <row r="16">
      <c r="A16" s="44"/>
    </row>
    <row r="33">
      <c r="B33" s="1" t="s">
        <v>87</v>
      </c>
    </row>
    <row r="34">
      <c r="B34" s="1" t="s">
        <v>88</v>
      </c>
      <c r="E34" s="45" t="s">
        <v>89</v>
      </c>
      <c r="F34" s="46">
        <f>H34/H35</f>
        <v>0.6666666667</v>
      </c>
      <c r="G34" s="45" t="s">
        <v>90</v>
      </c>
      <c r="H34" s="47">
        <v>20.0</v>
      </c>
      <c r="I34" s="1" t="s">
        <v>91</v>
      </c>
      <c r="J34" s="48"/>
    </row>
    <row r="35">
      <c r="B35" s="1" t="s">
        <v>92</v>
      </c>
      <c r="C35" s="2">
        <f>2+1</f>
        <v>3</v>
      </c>
      <c r="E35" s="1" t="s">
        <v>93</v>
      </c>
      <c r="F35" s="49">
        <f>1-F34</f>
        <v>0.3333333333</v>
      </c>
      <c r="G35" s="45" t="s">
        <v>94</v>
      </c>
      <c r="H35" s="47">
        <f>1/2*60</f>
        <v>30</v>
      </c>
      <c r="I35" s="1" t="s">
        <v>91</v>
      </c>
    </row>
    <row r="36">
      <c r="B36" s="1" t="s">
        <v>95</v>
      </c>
      <c r="C36" s="50">
        <f>(F34^C35)*F35</f>
        <v>0.0987654321</v>
      </c>
    </row>
    <row r="37">
      <c r="B37" s="1" t="s">
        <v>96</v>
      </c>
      <c r="E37" s="1" t="s">
        <v>93</v>
      </c>
      <c r="F37" s="27">
        <f>F35</f>
        <v>0.3333333333</v>
      </c>
    </row>
    <row r="38">
      <c r="B38" s="51" t="s">
        <v>97</v>
      </c>
      <c r="E38" s="1" t="s">
        <v>98</v>
      </c>
      <c r="F38" s="50">
        <f>(F34^5)*F35</f>
        <v>0.0438957476</v>
      </c>
    </row>
    <row r="39">
      <c r="B39" s="1" t="s">
        <v>99</v>
      </c>
    </row>
    <row r="40">
      <c r="B40" s="1" t="s">
        <v>100</v>
      </c>
      <c r="C40" s="1" t="s">
        <v>101</v>
      </c>
      <c r="D40" s="52">
        <f>F34^2/F35</f>
        <v>1.333333333</v>
      </c>
      <c r="E40" s="1" t="s">
        <v>102</v>
      </c>
    </row>
    <row r="41">
      <c r="B41" s="1" t="s">
        <v>103</v>
      </c>
    </row>
    <row r="42">
      <c r="B42" s="1" t="s">
        <v>104</v>
      </c>
      <c r="C42" s="1" t="s">
        <v>105</v>
      </c>
      <c r="D42" s="52">
        <f>F34/F35</f>
        <v>2</v>
      </c>
      <c r="E42" s="1" t="s">
        <v>102</v>
      </c>
    </row>
  </sheetData>
  <mergeCells count="2">
    <mergeCell ref="A2:D2"/>
    <mergeCell ref="E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6" t="s">
        <v>106</v>
      </c>
    </row>
    <row r="3">
      <c r="B3" s="6" t="s">
        <v>68</v>
      </c>
    </row>
    <row r="4">
      <c r="B4" s="39">
        <f>Last!E6</f>
        <v>40.58779386</v>
      </c>
    </row>
    <row r="5">
      <c r="B5" s="39">
        <f>Last!E7+B4</f>
        <v>101.7859218</v>
      </c>
    </row>
    <row r="6">
      <c r="B6" s="39">
        <f>Last!E8+B5</f>
        <v>143.2472258</v>
      </c>
    </row>
    <row r="7">
      <c r="B7" s="39">
        <f>Last!E9+B6</f>
        <v>172.7852011</v>
      </c>
    </row>
    <row r="8">
      <c r="B8" s="39">
        <f>Last!E10+B7</f>
        <v>255.1364755</v>
      </c>
    </row>
    <row r="9">
      <c r="B9" s="39">
        <f>Last!E11+B8</f>
        <v>291.6516481</v>
      </c>
    </row>
    <row r="10">
      <c r="B10" s="39">
        <f>Last!E12+B9</f>
        <v>302.6778117</v>
      </c>
    </row>
    <row r="11">
      <c r="B11" s="39">
        <f>Last!E13+B10</f>
        <v>307.8872836</v>
      </c>
    </row>
    <row r="12">
      <c r="B12" s="39">
        <f>Last!E14+B11</f>
        <v>364.2093072</v>
      </c>
    </row>
    <row r="13">
      <c r="B13" s="39">
        <f>Last!E15+B12</f>
        <v>393.8717629</v>
      </c>
    </row>
  </sheetData>
  <drawing r:id="rId1"/>
</worksheet>
</file>