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2CE5D73B-E0D3-4E03-964B-C4FFCAF13164}" xr6:coauthVersionLast="47" xr6:coauthVersionMax="47" xr10:uidLastSave="{00000000-0000-0000-0000-000000000000}"/>
  <bookViews>
    <workbookView xWindow="-108" yWindow="-108" windowWidth="23256" windowHeight="12576" activeTab="1" xr2:uid="{79B26AD0-A94A-48C4-A23E-8C1D9F8BB468}"/>
  </bookViews>
  <sheets>
    <sheet name="Preview" sheetId="1" r:id="rId1"/>
    <sheet name="DCF" sheetId="2" r:id="rId2"/>
  </sheets>
  <definedNames>
    <definedName name="g">DCF!$K$8</definedName>
    <definedName name="ReinvestmentRate">DCF!$K$11</definedName>
    <definedName name="TaxRate">DCF!$K$10</definedName>
    <definedName name="wacc">DCF!$E$8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2" l="1"/>
  <c r="P50" i="2"/>
  <c r="P55" i="2"/>
  <c r="M14" i="2"/>
  <c r="N14" i="2" s="1"/>
  <c r="O14" i="2" s="1"/>
  <c r="P14" i="2" s="1"/>
  <c r="K22" i="2"/>
  <c r="J22" i="2"/>
  <c r="I22" i="2"/>
  <c r="H22" i="2"/>
  <c r="G22" i="2"/>
  <c r="F22" i="2"/>
  <c r="E22" i="2"/>
  <c r="K44" i="2"/>
  <c r="K34" i="2"/>
  <c r="K33" i="2"/>
  <c r="K35" i="2" s="1"/>
  <c r="J44" i="2"/>
  <c r="J33" i="2"/>
  <c r="J35" i="2" s="1"/>
  <c r="J36" i="2" s="1"/>
  <c r="I44" i="2"/>
  <c r="I33" i="2"/>
  <c r="I35" i="2" s="1"/>
  <c r="I36" i="2" s="1"/>
  <c r="H44" i="2"/>
  <c r="H34" i="2"/>
  <c r="H33" i="2"/>
  <c r="K29" i="2"/>
  <c r="K30" i="2" s="1"/>
  <c r="J29" i="2"/>
  <c r="I29" i="2"/>
  <c r="H29" i="2"/>
  <c r="H30" i="2" s="1"/>
  <c r="K20" i="2"/>
  <c r="J20" i="2"/>
  <c r="I20" i="2"/>
  <c r="H20" i="2"/>
  <c r="K17" i="2"/>
  <c r="J17" i="2"/>
  <c r="I17" i="2"/>
  <c r="H17" i="2"/>
  <c r="G44" i="2"/>
  <c r="G34" i="2"/>
  <c r="G33" i="2"/>
  <c r="G29" i="2"/>
  <c r="G30" i="2" s="1"/>
  <c r="G20" i="2"/>
  <c r="G17" i="2"/>
  <c r="E34" i="2"/>
  <c r="E33" i="2"/>
  <c r="F44" i="2"/>
  <c r="F34" i="2"/>
  <c r="F33" i="2"/>
  <c r="E44" i="2"/>
  <c r="F29" i="2"/>
  <c r="F30" i="2" s="1"/>
  <c r="E29" i="2"/>
  <c r="F20" i="2"/>
  <c r="F17" i="2"/>
  <c r="E20" i="2"/>
  <c r="E35" i="2" l="1"/>
  <c r="E37" i="2" s="1"/>
  <c r="E31" i="2"/>
  <c r="I31" i="2"/>
  <c r="J31" i="2"/>
  <c r="I30" i="2"/>
  <c r="G31" i="2"/>
  <c r="K31" i="2"/>
  <c r="I37" i="2"/>
  <c r="E30" i="2"/>
  <c r="F31" i="2"/>
  <c r="H31" i="2"/>
  <c r="J37" i="2"/>
  <c r="J30" i="2"/>
  <c r="M20" i="2"/>
  <c r="P17" i="2"/>
  <c r="G35" i="2"/>
  <c r="H35" i="2"/>
  <c r="O20" i="2"/>
  <c r="N20" i="2"/>
  <c r="L17" i="2"/>
  <c r="L16" i="2" s="1"/>
  <c r="M17" i="2"/>
  <c r="P20" i="2"/>
  <c r="N17" i="2"/>
  <c r="L20" i="2"/>
  <c r="O17" i="2"/>
  <c r="J39" i="2"/>
  <c r="J40" i="2" s="1"/>
  <c r="I45" i="2"/>
  <c r="J45" i="2"/>
  <c r="K45" i="2"/>
  <c r="K23" i="2"/>
  <c r="I39" i="2"/>
  <c r="I40" i="2" s="1"/>
  <c r="G45" i="2"/>
  <c r="G23" i="2"/>
  <c r="J23" i="2"/>
  <c r="I23" i="2"/>
  <c r="H45" i="2"/>
  <c r="F45" i="2"/>
  <c r="F35" i="2"/>
  <c r="F23" i="2"/>
  <c r="E45" i="2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E36" i="2" l="1"/>
  <c r="E39" i="2"/>
  <c r="E40" i="2" s="1"/>
  <c r="F39" i="2"/>
  <c r="F40" i="2" s="1"/>
  <c r="F36" i="2"/>
  <c r="F37" i="2"/>
  <c r="L30" i="2"/>
  <c r="L29" i="2" s="1"/>
  <c r="M30" i="2"/>
  <c r="P30" i="2"/>
  <c r="N30" i="2"/>
  <c r="O30" i="2"/>
  <c r="K39" i="2"/>
  <c r="K40" i="2" s="1"/>
  <c r="K37" i="2"/>
  <c r="K36" i="2"/>
  <c r="H39" i="2"/>
  <c r="H40" i="2" s="1"/>
  <c r="H36" i="2"/>
  <c r="H37" i="2"/>
  <c r="G36" i="2"/>
  <c r="G37" i="2"/>
  <c r="G39" i="2"/>
  <c r="G40" i="2" s="1"/>
  <c r="L19" i="2"/>
  <c r="L22" i="2" s="1"/>
  <c r="M16" i="2"/>
  <c r="H23" i="2"/>
  <c r="M29" i="2" l="1"/>
  <c r="P36" i="2"/>
  <c r="O36" i="2"/>
  <c r="L36" i="2"/>
  <c r="L35" i="2" s="1"/>
  <c r="L47" i="2" s="1"/>
  <c r="L48" i="2" s="1"/>
  <c r="M36" i="2"/>
  <c r="M35" i="2" s="1"/>
  <c r="N36" i="2"/>
  <c r="M19" i="2"/>
  <c r="M22" i="2" s="1"/>
  <c r="N16" i="2"/>
  <c r="N29" i="2" s="1"/>
  <c r="M47" i="2" l="1"/>
  <c r="M48" i="2" s="1"/>
  <c r="N35" i="2"/>
  <c r="O16" i="2"/>
  <c r="O29" i="2" s="1"/>
  <c r="N19" i="2"/>
  <c r="N22" i="2" s="1"/>
  <c r="N47" i="2" l="1"/>
  <c r="N48" i="2" s="1"/>
  <c r="O35" i="2"/>
  <c r="P16" i="2"/>
  <c r="P51" i="2" s="1"/>
  <c r="O19" i="2"/>
  <c r="O22" i="2" s="1"/>
  <c r="O47" i="2" l="1"/>
  <c r="O48" i="2" s="1"/>
  <c r="P19" i="2"/>
  <c r="P22" i="2" s="1"/>
  <c r="P29" i="2"/>
  <c r="P35" i="2"/>
  <c r="P47" i="2" l="1"/>
  <c r="P48" i="2" s="1"/>
  <c r="P53" i="2" s="1"/>
  <c r="P56" i="2" s="1"/>
  <c r="P58" i="2" s="1"/>
</calcChain>
</file>

<file path=xl/sharedStrings.xml><?xml version="1.0" encoding="utf-8"?>
<sst xmlns="http://schemas.openxmlformats.org/spreadsheetml/2006/main" count="74" uniqueCount="66">
  <si>
    <t>Agenda</t>
  </si>
  <si>
    <t>Write all the keyboard shortcuts used while doveloping the model</t>
  </si>
  <si>
    <t>Turnoff Grid</t>
  </si>
  <si>
    <t>Alt W, VG</t>
  </si>
  <si>
    <t>Change column Width</t>
  </si>
  <si>
    <t>Alt O, CW</t>
  </si>
  <si>
    <t>Shift Cells</t>
  </si>
  <si>
    <t>Shift rows</t>
  </si>
  <si>
    <t>Auto fit row height</t>
  </si>
  <si>
    <t>Alt H, OA</t>
  </si>
  <si>
    <t>Alt H, OI</t>
  </si>
  <si>
    <t>Auto fit column width</t>
  </si>
  <si>
    <t>Insert grid line</t>
  </si>
  <si>
    <t>Alt H, BO</t>
  </si>
  <si>
    <t>x</t>
  </si>
  <si>
    <t>Shift between worksheets</t>
  </si>
  <si>
    <t>Ctrl +(numeric keyboard)</t>
  </si>
  <si>
    <t>Ctrl Pageup Pagedown</t>
  </si>
  <si>
    <t>Shift space, Ctrl +(numeric keyboard)</t>
  </si>
  <si>
    <t>Ticker</t>
  </si>
  <si>
    <t>Date</t>
  </si>
  <si>
    <t>Change row Height</t>
  </si>
  <si>
    <t>Alt O, RE</t>
  </si>
  <si>
    <t>Assumptions</t>
  </si>
  <si>
    <t>Income Statement</t>
  </si>
  <si>
    <t>Green coloured values means it is linked to another sheet</t>
  </si>
  <si>
    <t>% growth</t>
  </si>
  <si>
    <t>Purple means those are linked in the same sheet</t>
  </si>
  <si>
    <t>Stable growth rate</t>
  </si>
  <si>
    <t>Current Share Price</t>
  </si>
  <si>
    <t>Implied Share Price</t>
  </si>
  <si>
    <t>WACC</t>
  </si>
  <si>
    <t>Capex</t>
  </si>
  <si>
    <t>D&amp;A</t>
  </si>
  <si>
    <t>Capex - D&amp;A</t>
  </si>
  <si>
    <t>NEP</t>
  </si>
  <si>
    <t>Nextera Energy DCF</t>
  </si>
  <si>
    <t>Reinvested Amount</t>
  </si>
  <si>
    <t>Capital Employed</t>
  </si>
  <si>
    <t>ROCE</t>
  </si>
  <si>
    <t>Build a DCF Valuation for a green eergy firm</t>
  </si>
  <si>
    <t>Change in Operating assets</t>
  </si>
  <si>
    <t>Change in Liabilities</t>
  </si>
  <si>
    <t>Change in Working Capital</t>
  </si>
  <si>
    <t>Cash Flow Statement</t>
  </si>
  <si>
    <t>Balance Sheet</t>
  </si>
  <si>
    <t>% Operating Income</t>
  </si>
  <si>
    <t>% Operating Income(1-tax rate)</t>
  </si>
  <si>
    <t>Tax Expense(Benefit)</t>
  </si>
  <si>
    <t>All values below are in million USD</t>
  </si>
  <si>
    <t>I have projected historical Avg of Operating Income because it has less fluctuations</t>
  </si>
  <si>
    <t>Operating Income net of Taxes</t>
  </si>
  <si>
    <t>Operating Income</t>
  </si>
  <si>
    <t>% Operating Income net of Taxes</t>
  </si>
  <si>
    <t>Free Cash Flow to the Firm</t>
  </si>
  <si>
    <t>Terminal Value</t>
  </si>
  <si>
    <t>Present Value of FCFF</t>
  </si>
  <si>
    <t>Present Value of Terminal Value</t>
  </si>
  <si>
    <t>Equity Value</t>
  </si>
  <si>
    <t>No.of Shares</t>
  </si>
  <si>
    <t>Enterprise Value</t>
  </si>
  <si>
    <t>(+)Cash&amp;Marketable Securities</t>
  </si>
  <si>
    <t>(-)Long term &amp; Short term Debt</t>
  </si>
  <si>
    <t>Share Price</t>
  </si>
  <si>
    <t>Data tab group, ungroup</t>
  </si>
  <si>
    <t>Grouping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</si>
</sst>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 * #,##0_ ;_ * \-#,##0_ ;_ * &quot;-&quot;??_ ;_ @_ "/>
    <numFmt numFmtId="165" formatCode="0.0%"/>
    <numFmt numFmtId="168" formatCode="_-[$$-409]* #,##0.00_ ;_-[$$-409]* \-#,##0.00\ ;_-[$$-409]* &quot;-&quot;??_ ;_-@_ "/>
    <numFmt numFmtId="169" formatCode="[$$-409]#,##0.00"/>
    <numFmt numFmtId="171" formatCode="_ * #,##0.0_ ;_ * \-#,##0.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3"/>
      <color theme="9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3" fillId="0" borderId="0" xfId="0" applyFont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4" fillId="3" borderId="0" xfId="0" applyFont="1" applyFill="1"/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5" fontId="5" fillId="0" borderId="0" xfId="2" applyNumberFormat="1" applyFont="1"/>
    <xf numFmtId="164" fontId="7" fillId="0" borderId="0" xfId="1" applyNumberFormat="1" applyFont="1"/>
    <xf numFmtId="9" fontId="5" fillId="0" borderId="0" xfId="0" applyNumberFormat="1" applyFont="1"/>
    <xf numFmtId="165" fontId="5" fillId="0" borderId="0" xfId="0" applyNumberFormat="1" applyFont="1"/>
    <xf numFmtId="10" fontId="5" fillId="0" borderId="0" xfId="0" applyNumberFormat="1" applyFont="1"/>
    <xf numFmtId="169" fontId="0" fillId="0" borderId="0" xfId="0" applyNumberFormat="1"/>
    <xf numFmtId="0" fontId="5" fillId="0" borderId="0" xfId="0" applyFont="1" applyAlignment="1"/>
    <xf numFmtId="164" fontId="5" fillId="0" borderId="0" xfId="0" applyNumberFormat="1" applyFont="1"/>
    <xf numFmtId="10" fontId="5" fillId="0" borderId="0" xfId="2" applyNumberFormat="1" applyFont="1"/>
    <xf numFmtId="10" fontId="0" fillId="0" borderId="0" xfId="0" applyNumberFormat="1"/>
    <xf numFmtId="171" fontId="5" fillId="0" borderId="0" xfId="1" applyNumberFormat="1" applyFont="1"/>
    <xf numFmtId="0" fontId="8" fillId="4" borderId="0" xfId="0" applyFont="1" applyFill="1"/>
    <xf numFmtId="0" fontId="5" fillId="4" borderId="0" xfId="0" applyFont="1" applyFill="1"/>
    <xf numFmtId="164" fontId="5" fillId="4" borderId="0" xfId="1" applyNumberFormat="1" applyFont="1" applyFill="1"/>
    <xf numFmtId="0" fontId="0" fillId="0" borderId="0" xfId="0" applyNumberFormat="1"/>
    <xf numFmtId="0" fontId="0" fillId="4" borderId="0" xfId="0" applyFill="1"/>
    <xf numFmtId="168" fontId="5" fillId="4" borderId="0" xfId="1" applyNumberFormat="1" applyFont="1" applyFill="1"/>
    <xf numFmtId="168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87B3-4981-4497-AEBB-969979489E07}">
  <dimension ref="B2:E19"/>
  <sheetViews>
    <sheetView showGridLines="0" workbookViewId="0">
      <selection activeCell="C20" sqref="C20"/>
    </sheetView>
  </sheetViews>
  <sheetFormatPr defaultRowHeight="14.4" x14ac:dyDescent="0.3"/>
  <cols>
    <col min="1" max="1" width="4.77734375" customWidth="1"/>
  </cols>
  <sheetData>
    <row r="2" spans="2:5" x14ac:dyDescent="0.3">
      <c r="B2" t="s">
        <v>0</v>
      </c>
    </row>
    <row r="4" spans="2:5" x14ac:dyDescent="0.3">
      <c r="B4" t="s">
        <v>40</v>
      </c>
    </row>
    <row r="5" spans="2:5" x14ac:dyDescent="0.3">
      <c r="B5" t="s">
        <v>1</v>
      </c>
    </row>
    <row r="7" spans="2:5" x14ac:dyDescent="0.3">
      <c r="B7" t="s">
        <v>2</v>
      </c>
      <c r="E7" t="s">
        <v>3</v>
      </c>
    </row>
    <row r="8" spans="2:5" x14ac:dyDescent="0.3">
      <c r="B8" t="s">
        <v>4</v>
      </c>
      <c r="E8" t="s">
        <v>5</v>
      </c>
    </row>
    <row r="9" spans="2:5" x14ac:dyDescent="0.3">
      <c r="B9" t="s">
        <v>21</v>
      </c>
      <c r="E9" t="s">
        <v>22</v>
      </c>
    </row>
    <row r="10" spans="2:5" x14ac:dyDescent="0.3">
      <c r="B10" t="s">
        <v>6</v>
      </c>
      <c r="E10" t="s">
        <v>16</v>
      </c>
    </row>
    <row r="11" spans="2:5" x14ac:dyDescent="0.3">
      <c r="B11" t="s">
        <v>7</v>
      </c>
      <c r="E11" t="s">
        <v>18</v>
      </c>
    </row>
    <row r="12" spans="2:5" x14ac:dyDescent="0.3">
      <c r="B12" t="s">
        <v>8</v>
      </c>
      <c r="E12" t="s">
        <v>9</v>
      </c>
    </row>
    <row r="13" spans="2:5" x14ac:dyDescent="0.3">
      <c r="B13" t="s">
        <v>11</v>
      </c>
      <c r="E13" t="s">
        <v>10</v>
      </c>
    </row>
    <row r="14" spans="2:5" x14ac:dyDescent="0.3">
      <c r="B14" t="s">
        <v>12</v>
      </c>
      <c r="E14" t="s">
        <v>13</v>
      </c>
    </row>
    <row r="15" spans="2:5" x14ac:dyDescent="0.3">
      <c r="B15" t="s">
        <v>15</v>
      </c>
      <c r="E15" t="s">
        <v>17</v>
      </c>
    </row>
    <row r="16" spans="2:5" x14ac:dyDescent="0.3">
      <c r="B16" t="s">
        <v>65</v>
      </c>
      <c r="E16" t="s">
        <v>64</v>
      </c>
    </row>
    <row r="18" spans="2:2" x14ac:dyDescent="0.3">
      <c r="B18" t="s">
        <v>25</v>
      </c>
    </row>
    <row r="19" spans="2:2" x14ac:dyDescent="0.3">
      <c r="B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AFAE-7C5D-44D9-AB8E-05DF6F7619A1}">
  <dimension ref="A1:P58"/>
  <sheetViews>
    <sheetView showGridLines="0" tabSelected="1" workbookViewId="0">
      <selection activeCell="H9" sqref="H9"/>
    </sheetView>
  </sheetViews>
  <sheetFormatPr defaultColWidth="14.88671875" defaultRowHeight="17.399999999999999" customHeight="1" outlineLevelRow="1" x14ac:dyDescent="0.3"/>
  <cols>
    <col min="1" max="1" width="4.77734375" style="25" customWidth="1"/>
    <col min="2" max="2" width="26.88671875" style="25" customWidth="1"/>
    <col min="3" max="3" width="10.88671875" style="25" bestFit="1" customWidth="1"/>
    <col min="4" max="4" width="8.88671875" style="25" customWidth="1"/>
    <col min="5" max="10" width="14.88671875" style="25" bestFit="1" customWidth="1"/>
    <col min="11" max="11" width="16.6640625" style="25" bestFit="1" customWidth="1"/>
    <col min="12" max="12" width="14.88671875" style="25" customWidth="1"/>
    <col min="13" max="16384" width="14.88671875" style="25"/>
  </cols>
  <sheetData>
    <row r="1" spans="1:16" customFormat="1" ht="14.4" x14ac:dyDescent="0.3"/>
    <row r="2" spans="1:16" s="1" customFormat="1" ht="19.95" customHeight="1" x14ac:dyDescent="0.4">
      <c r="B2" s="2" t="s">
        <v>36</v>
      </c>
    </row>
    <row r="3" spans="1:16" customFormat="1" ht="14.4" x14ac:dyDescent="0.3"/>
    <row r="4" spans="1:16" customFormat="1" ht="18" x14ac:dyDescent="0.35">
      <c r="A4" s="3" t="s">
        <v>14</v>
      </c>
      <c r="B4" s="4" t="s">
        <v>19</v>
      </c>
      <c r="C4" s="6" t="s">
        <v>35</v>
      </c>
      <c r="H4" s="4" t="s">
        <v>29</v>
      </c>
      <c r="J4" s="16"/>
      <c r="K4" s="28">
        <v>78.569999999999993</v>
      </c>
    </row>
    <row r="5" spans="1:16" customFormat="1" ht="18" x14ac:dyDescent="0.35">
      <c r="B5" s="4" t="s">
        <v>20</v>
      </c>
      <c r="C5" s="5">
        <v>44716</v>
      </c>
      <c r="H5" s="4" t="s">
        <v>30</v>
      </c>
      <c r="J5" s="16"/>
      <c r="K5" s="28">
        <f>P58</f>
        <v>39.731732638875975</v>
      </c>
    </row>
    <row r="6" spans="1:16" customFormat="1" ht="14.4" x14ac:dyDescent="0.3"/>
    <row r="7" spans="1:16" customFormat="1" ht="17.399999999999999" customHeight="1" x14ac:dyDescent="0.35">
      <c r="A7" s="3" t="s">
        <v>14</v>
      </c>
      <c r="B7" s="7" t="s">
        <v>23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customFormat="1" ht="17.399999999999999" customHeight="1" x14ac:dyDescent="0.35">
      <c r="A8" s="3"/>
      <c r="B8" s="8" t="s">
        <v>31</v>
      </c>
      <c r="E8" s="13">
        <v>0.08</v>
      </c>
      <c r="H8" s="8" t="s">
        <v>28</v>
      </c>
      <c r="K8" s="13">
        <v>0.05</v>
      </c>
    </row>
    <row r="9" spans="1:16" customFormat="1" ht="17.399999999999999" customHeight="1" x14ac:dyDescent="0.35">
      <c r="A9" s="3"/>
      <c r="H9" s="4"/>
      <c r="K9" s="13"/>
    </row>
    <row r="10" spans="1:16" customFormat="1" ht="17.399999999999999" customHeight="1" x14ac:dyDescent="0.35">
      <c r="A10" s="3"/>
      <c r="B10" s="4"/>
      <c r="E10" s="15"/>
      <c r="H10" s="4"/>
      <c r="K10" s="19"/>
    </row>
    <row r="11" spans="1:16" customFormat="1" ht="17.399999999999999" customHeight="1" x14ac:dyDescent="0.35">
      <c r="A11" s="3"/>
      <c r="B11" s="4"/>
      <c r="E11" s="8"/>
      <c r="H11" s="4"/>
      <c r="K11" s="14"/>
    </row>
    <row r="12" spans="1:16" customFormat="1" ht="17.399999999999999" customHeight="1" x14ac:dyDescent="0.35">
      <c r="A12" s="3"/>
      <c r="B12" s="4"/>
    </row>
    <row r="13" spans="1:16" customFormat="1" ht="17.399999999999999" customHeight="1" x14ac:dyDescent="0.35">
      <c r="A13" s="3"/>
      <c r="B13" s="4"/>
      <c r="E13" s="8"/>
    </row>
    <row r="14" spans="1:16" customFormat="1" ht="17.399999999999999" customHeight="1" x14ac:dyDescent="0.35">
      <c r="B14" s="8" t="s">
        <v>49</v>
      </c>
      <c r="E14" s="10" t="s">
        <v>50</v>
      </c>
      <c r="F14" s="10"/>
      <c r="G14" s="10"/>
      <c r="I14" s="10"/>
      <c r="J14" s="10"/>
      <c r="K14" s="10"/>
      <c r="L14">
        <v>1</v>
      </c>
      <c r="M14">
        <f>L14+1</f>
        <v>2</v>
      </c>
      <c r="N14">
        <f t="shared" ref="N14:P14" si="0">M14+1</f>
        <v>3</v>
      </c>
      <c r="O14">
        <f t="shared" si="0"/>
        <v>4</v>
      </c>
      <c r="P14">
        <f t="shared" si="0"/>
        <v>5</v>
      </c>
    </row>
    <row r="15" spans="1:16" customFormat="1" ht="17.399999999999999" customHeight="1" x14ac:dyDescent="0.35">
      <c r="A15" s="3" t="s">
        <v>14</v>
      </c>
      <c r="B15" s="7" t="s">
        <v>24</v>
      </c>
      <c r="C15" s="7"/>
      <c r="D15" s="7"/>
      <c r="E15" s="7">
        <v>2015</v>
      </c>
      <c r="F15" s="7">
        <f>E15+1</f>
        <v>2016</v>
      </c>
      <c r="G15" s="7">
        <f t="shared" ref="G15:P15" si="1">F15+1</f>
        <v>2017</v>
      </c>
      <c r="H15" s="7">
        <f t="shared" si="1"/>
        <v>2018</v>
      </c>
      <c r="I15" s="7">
        <f t="shared" si="1"/>
        <v>2019</v>
      </c>
      <c r="J15" s="7">
        <f t="shared" si="1"/>
        <v>2020</v>
      </c>
      <c r="K15" s="7">
        <f t="shared" si="1"/>
        <v>2021</v>
      </c>
      <c r="L15" s="7">
        <f t="shared" si="1"/>
        <v>2022</v>
      </c>
      <c r="M15" s="7">
        <f t="shared" si="1"/>
        <v>2023</v>
      </c>
      <c r="N15" s="7">
        <f t="shared" si="1"/>
        <v>2024</v>
      </c>
      <c r="O15" s="7">
        <f t="shared" si="1"/>
        <v>2025</v>
      </c>
      <c r="P15" s="7">
        <f t="shared" si="1"/>
        <v>2026</v>
      </c>
    </row>
    <row r="16" spans="1:16" customFormat="1" ht="17.399999999999999" customHeight="1" x14ac:dyDescent="0.35">
      <c r="B16" s="8" t="s">
        <v>52</v>
      </c>
      <c r="C16" s="8"/>
      <c r="E16" s="12">
        <v>215</v>
      </c>
      <c r="F16" s="12">
        <v>290</v>
      </c>
      <c r="G16" s="12">
        <v>307</v>
      </c>
      <c r="H16" s="12">
        <v>443</v>
      </c>
      <c r="I16" s="12">
        <v>233</v>
      </c>
      <c r="J16" s="12">
        <v>253</v>
      </c>
      <c r="K16" s="12">
        <v>234</v>
      </c>
      <c r="L16" s="10">
        <f>K16*(1+L17)</f>
        <v>249.09893210343677</v>
      </c>
      <c r="M16" s="10">
        <f t="shared" ref="M16:P16" si="2">L16*(1+M17)</f>
        <v>265.17212809860087</v>
      </c>
      <c r="N16" s="10">
        <f t="shared" si="2"/>
        <v>282.28245270494534</v>
      </c>
      <c r="O16" s="10">
        <f t="shared" si="2"/>
        <v>300.49682701000336</v>
      </c>
      <c r="P16" s="10">
        <f t="shared" si="2"/>
        <v>319.88649020796157</v>
      </c>
    </row>
    <row r="17" spans="1:16" customFormat="1" ht="17.399999999999999" customHeight="1" x14ac:dyDescent="0.35">
      <c r="B17" s="9" t="s">
        <v>26</v>
      </c>
      <c r="E17" s="8"/>
      <c r="F17" s="19">
        <f>F16/E16-1</f>
        <v>0.34883720930232553</v>
      </c>
      <c r="G17" s="19">
        <f>G16/F16-1</f>
        <v>5.862068965517242E-2</v>
      </c>
      <c r="H17" s="19">
        <f t="shared" ref="H17:K17" si="3">H16/G16-1</f>
        <v>0.44299674267100975</v>
      </c>
      <c r="I17" s="19">
        <f t="shared" si="3"/>
        <v>-0.47404063205417613</v>
      </c>
      <c r="J17" s="19">
        <f t="shared" si="3"/>
        <v>8.5836909871244593E-2</v>
      </c>
      <c r="K17" s="19">
        <f t="shared" si="3"/>
        <v>-7.5098814229249022E-2</v>
      </c>
      <c r="L17" s="19">
        <f>AVERAGE($F$17:$K$17)</f>
        <v>6.4525350869387862E-2</v>
      </c>
      <c r="M17" s="19">
        <f t="shared" ref="M17:P17" si="4">AVERAGE($F$17:$K$17)</f>
        <v>6.4525350869387862E-2</v>
      </c>
      <c r="N17" s="19">
        <f t="shared" si="4"/>
        <v>6.4525350869387862E-2</v>
      </c>
      <c r="O17" s="19">
        <f t="shared" si="4"/>
        <v>6.4525350869387862E-2</v>
      </c>
      <c r="P17" s="19">
        <f t="shared" si="4"/>
        <v>6.4525350869387862E-2</v>
      </c>
    </row>
    <row r="18" spans="1:16" customFormat="1" ht="17.399999999999999" customHeight="1" x14ac:dyDescent="0.35">
      <c r="B18" s="9"/>
      <c r="F18" s="11"/>
      <c r="G18" s="11"/>
      <c r="H18" s="11"/>
      <c r="I18" s="11"/>
      <c r="J18" s="11"/>
      <c r="K18" s="11"/>
    </row>
    <row r="19" spans="1:16" customFormat="1" ht="17.399999999999999" customHeight="1" x14ac:dyDescent="0.35">
      <c r="B19" s="8" t="s">
        <v>48</v>
      </c>
      <c r="E19" s="12">
        <v>21</v>
      </c>
      <c r="F19" s="12">
        <v>56</v>
      </c>
      <c r="G19" s="12">
        <v>167</v>
      </c>
      <c r="H19" s="12">
        <v>6</v>
      </c>
      <c r="I19" s="12">
        <v>-26</v>
      </c>
      <c r="J19" s="12">
        <v>-19</v>
      </c>
      <c r="K19" s="12">
        <v>48</v>
      </c>
      <c r="L19" s="10">
        <f>L16*L20</f>
        <v>30.843331356679279</v>
      </c>
      <c r="M19" s="10">
        <f t="shared" ref="M19:P19" si="5">M16*M20</f>
        <v>32.833508134449808</v>
      </c>
      <c r="N19" s="10">
        <f t="shared" si="5"/>
        <v>34.952101767098078</v>
      </c>
      <c r="O19" s="10">
        <f t="shared" si="5"/>
        <v>37.207398397242635</v>
      </c>
      <c r="P19" s="10">
        <f t="shared" si="5"/>
        <v>39.608218833761818</v>
      </c>
    </row>
    <row r="20" spans="1:16" customFormat="1" ht="17.399999999999999" customHeight="1" x14ac:dyDescent="0.35">
      <c r="B20" s="9" t="s">
        <v>46</v>
      </c>
      <c r="E20" s="19">
        <f>E19/E16</f>
        <v>9.7674418604651161E-2</v>
      </c>
      <c r="F20" s="19">
        <f>F19/F16</f>
        <v>0.19310344827586207</v>
      </c>
      <c r="G20" s="19">
        <f>G19/G16</f>
        <v>0.5439739413680782</v>
      </c>
      <c r="H20" s="19">
        <f t="shared" ref="H20:K20" si="6">H19/H16</f>
        <v>1.3544018058690745E-2</v>
      </c>
      <c r="I20" s="19">
        <f t="shared" si="6"/>
        <v>-0.11158798283261803</v>
      </c>
      <c r="J20" s="19">
        <f t="shared" si="6"/>
        <v>-7.5098814229249009E-2</v>
      </c>
      <c r="K20" s="19">
        <f t="shared" si="6"/>
        <v>0.20512820512820512</v>
      </c>
      <c r="L20" s="19">
        <f>AVERAGE($E$20:$K$20)</f>
        <v>0.12381960491051716</v>
      </c>
      <c r="M20" s="19">
        <f t="shared" ref="M20:P20" si="7">AVERAGE($E$20:$K$20)</f>
        <v>0.12381960491051716</v>
      </c>
      <c r="N20" s="19">
        <f t="shared" si="7"/>
        <v>0.12381960491051716</v>
      </c>
      <c r="O20" s="19">
        <f t="shared" si="7"/>
        <v>0.12381960491051716</v>
      </c>
      <c r="P20" s="19">
        <f t="shared" si="7"/>
        <v>0.12381960491051716</v>
      </c>
    </row>
    <row r="21" spans="1:16" customFormat="1" ht="17.399999999999999" customHeight="1" x14ac:dyDescent="0.35">
      <c r="B21" s="9"/>
      <c r="F21" s="11"/>
      <c r="G21" s="11"/>
      <c r="H21" s="11"/>
      <c r="I21" s="11"/>
      <c r="J21" s="11"/>
      <c r="K21" s="11"/>
    </row>
    <row r="22" spans="1:16" customFormat="1" ht="17.399999999999999" customHeight="1" x14ac:dyDescent="0.35">
      <c r="B22" s="8" t="s">
        <v>51</v>
      </c>
      <c r="C22" s="8"/>
      <c r="E22" s="10">
        <f>E16-E19</f>
        <v>194</v>
      </c>
      <c r="F22" s="10">
        <f t="shared" ref="F22:P22" si="8">F16-F19</f>
        <v>234</v>
      </c>
      <c r="G22" s="10">
        <f t="shared" si="8"/>
        <v>140</v>
      </c>
      <c r="H22" s="10">
        <f t="shared" si="8"/>
        <v>437</v>
      </c>
      <c r="I22" s="10">
        <f t="shared" si="8"/>
        <v>259</v>
      </c>
      <c r="J22" s="10">
        <f t="shared" si="8"/>
        <v>272</v>
      </c>
      <c r="K22" s="10">
        <f t="shared" si="8"/>
        <v>186</v>
      </c>
      <c r="L22" s="10">
        <f t="shared" si="8"/>
        <v>218.25560074675749</v>
      </c>
      <c r="M22" s="10">
        <f t="shared" si="8"/>
        <v>232.33861996415106</v>
      </c>
      <c r="N22" s="10">
        <f t="shared" si="8"/>
        <v>247.33035093784727</v>
      </c>
      <c r="O22" s="10">
        <f t="shared" si="8"/>
        <v>263.28942861276073</v>
      </c>
      <c r="P22" s="10">
        <f t="shared" si="8"/>
        <v>280.27827137419973</v>
      </c>
    </row>
    <row r="23" spans="1:16" customFormat="1" ht="17.399999999999999" hidden="1" customHeight="1" outlineLevel="1" x14ac:dyDescent="0.35">
      <c r="B23" s="9" t="s">
        <v>26</v>
      </c>
      <c r="E23" s="18"/>
      <c r="F23" s="19">
        <f>F22/E22-1</f>
        <v>0.20618556701030921</v>
      </c>
      <c r="G23" s="19">
        <f>G22/F22-1</f>
        <v>-0.40170940170940173</v>
      </c>
      <c r="H23" s="19">
        <f>H22/G22-1</f>
        <v>2.1214285714285714</v>
      </c>
      <c r="I23" s="19">
        <f>I22/H22-1</f>
        <v>-0.40732265446224258</v>
      </c>
      <c r="J23" s="19">
        <f t="shared" ref="J23:K23" si="9">J22/I22-1</f>
        <v>5.0193050193050093E-2</v>
      </c>
      <c r="K23" s="19">
        <f t="shared" si="9"/>
        <v>-0.31617647058823528</v>
      </c>
      <c r="L23" s="20"/>
    </row>
    <row r="24" spans="1:16" customFormat="1" ht="17.399999999999999" customHeight="1" collapsed="1" x14ac:dyDescent="0.35">
      <c r="B24" s="9"/>
      <c r="E24" s="18"/>
      <c r="F24" s="19"/>
      <c r="G24" s="11"/>
      <c r="H24" s="11"/>
      <c r="I24" s="11"/>
      <c r="J24" s="11"/>
      <c r="K24" s="11"/>
    </row>
    <row r="25" spans="1:16" customFormat="1" ht="17.399999999999999" customHeight="1" x14ac:dyDescent="0.35">
      <c r="A25" s="3" t="s">
        <v>14</v>
      </c>
      <c r="B25" s="7" t="s">
        <v>44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customFormat="1" ht="17.399999999999999" customHeight="1" x14ac:dyDescent="0.3"/>
    <row r="27" spans="1:16" customFormat="1" ht="17.399999999999999" hidden="1" customHeight="1" outlineLevel="1" x14ac:dyDescent="0.35">
      <c r="B27" s="8" t="s">
        <v>32</v>
      </c>
      <c r="C27" s="8"/>
      <c r="E27" s="12">
        <v>125</v>
      </c>
      <c r="F27" s="12">
        <v>283</v>
      </c>
      <c r="G27" s="12">
        <v>349</v>
      </c>
      <c r="H27" s="12">
        <v>25</v>
      </c>
      <c r="I27" s="12">
        <v>93</v>
      </c>
      <c r="J27" s="12">
        <v>334</v>
      </c>
      <c r="K27" s="12">
        <v>113</v>
      </c>
    </row>
    <row r="28" spans="1:16" customFormat="1" ht="17.399999999999999" hidden="1" customHeight="1" outlineLevel="1" x14ac:dyDescent="0.35">
      <c r="B28" s="8" t="s">
        <v>33</v>
      </c>
      <c r="C28" s="8"/>
      <c r="E28" s="12">
        <v>141</v>
      </c>
      <c r="F28" s="12">
        <v>205</v>
      </c>
      <c r="G28" s="12">
        <v>226</v>
      </c>
      <c r="H28" s="12">
        <v>203</v>
      </c>
      <c r="I28" s="12">
        <v>259</v>
      </c>
      <c r="J28" s="12">
        <v>271</v>
      </c>
      <c r="K28" s="12">
        <v>288</v>
      </c>
    </row>
    <row r="29" spans="1:16" customFormat="1" ht="17.399999999999999" customHeight="1" collapsed="1" x14ac:dyDescent="0.35">
      <c r="B29" s="8" t="s">
        <v>34</v>
      </c>
      <c r="C29" s="8"/>
      <c r="E29" s="18">
        <f>E27-E28</f>
        <v>-16</v>
      </c>
      <c r="F29" s="18">
        <f>F27-F28</f>
        <v>78</v>
      </c>
      <c r="G29" s="18">
        <f>G27-G28</f>
        <v>123</v>
      </c>
      <c r="H29" s="18">
        <f t="shared" ref="H29:K29" si="10">H27-H28</f>
        <v>-178</v>
      </c>
      <c r="I29" s="18">
        <f t="shared" si="10"/>
        <v>-166</v>
      </c>
      <c r="J29" s="18">
        <f t="shared" si="10"/>
        <v>63</v>
      </c>
      <c r="K29" s="18">
        <f t="shared" si="10"/>
        <v>-175</v>
      </c>
      <c r="L29" s="18">
        <f>L16*L30</f>
        <v>-36.222729495189832</v>
      </c>
      <c r="M29" s="18">
        <f t="shared" ref="M29:P29" si="11">M16*M30</f>
        <v>-38.560013825313881</v>
      </c>
      <c r="N29" s="18">
        <f t="shared" si="11"/>
        <v>-41.048112246920709</v>
      </c>
      <c r="O29" s="18">
        <f t="shared" si="11"/>
        <v>-43.696756092179292</v>
      </c>
      <c r="P29" s="18">
        <f t="shared" si="11"/>
        <v>-46.516304610881221</v>
      </c>
    </row>
    <row r="30" spans="1:16" customFormat="1" ht="17.399999999999999" customHeight="1" x14ac:dyDescent="0.35">
      <c r="B30" s="9" t="s">
        <v>46</v>
      </c>
      <c r="C30" s="8"/>
      <c r="E30" s="19">
        <f>E29/E16</f>
        <v>-7.441860465116279E-2</v>
      </c>
      <c r="F30" s="19">
        <f t="shared" ref="F30:K30" si="12">F29/F16</f>
        <v>0.26896551724137929</v>
      </c>
      <c r="G30" s="19">
        <f t="shared" si="12"/>
        <v>0.40065146579804561</v>
      </c>
      <c r="H30" s="19">
        <f t="shared" si="12"/>
        <v>-0.40180586907449212</v>
      </c>
      <c r="I30" s="19">
        <f t="shared" si="12"/>
        <v>-0.71244635193133043</v>
      </c>
      <c r="J30" s="19">
        <f t="shared" si="12"/>
        <v>0.24901185770750989</v>
      </c>
      <c r="K30" s="19">
        <f t="shared" si="12"/>
        <v>-0.74786324786324787</v>
      </c>
      <c r="L30" s="19">
        <f>AVERAGE($E$30:$K$30)</f>
        <v>-0.14541503325332833</v>
      </c>
      <c r="M30" s="19">
        <f t="shared" ref="M30:P30" si="13">AVERAGE($E$30:$K$30)</f>
        <v>-0.14541503325332833</v>
      </c>
      <c r="N30" s="19">
        <f t="shared" si="13"/>
        <v>-0.14541503325332833</v>
      </c>
      <c r="O30" s="19">
        <f t="shared" si="13"/>
        <v>-0.14541503325332833</v>
      </c>
      <c r="P30" s="19">
        <f t="shared" si="13"/>
        <v>-0.14541503325332833</v>
      </c>
    </row>
    <row r="31" spans="1:16" customFormat="1" ht="17.399999999999999" hidden="1" customHeight="1" outlineLevel="1" x14ac:dyDescent="0.35">
      <c r="B31" s="9" t="s">
        <v>53</v>
      </c>
      <c r="C31" s="8"/>
      <c r="E31" s="19">
        <f>E29/E22</f>
        <v>-8.247422680412371E-2</v>
      </c>
      <c r="F31" s="19">
        <f t="shared" ref="F31:K31" si="14">F29/F22</f>
        <v>0.33333333333333331</v>
      </c>
      <c r="G31" s="19">
        <f t="shared" si="14"/>
        <v>0.87857142857142856</v>
      </c>
      <c r="H31" s="19">
        <f t="shared" si="14"/>
        <v>-0.40732265446224258</v>
      </c>
      <c r="I31" s="19">
        <f t="shared" si="14"/>
        <v>-0.64092664092664098</v>
      </c>
      <c r="J31" s="19">
        <f t="shared" si="14"/>
        <v>0.23161764705882354</v>
      </c>
      <c r="K31" s="19">
        <f t="shared" si="14"/>
        <v>-0.94086021505376349</v>
      </c>
    </row>
    <row r="32" spans="1:16" customFormat="1" ht="17.399999999999999" customHeight="1" collapsed="1" x14ac:dyDescent="0.35">
      <c r="C32" s="8"/>
    </row>
    <row r="33" spans="1:16" customFormat="1" ht="17.399999999999999" hidden="1" customHeight="1" outlineLevel="1" x14ac:dyDescent="0.35">
      <c r="B33" s="8" t="s">
        <v>41</v>
      </c>
      <c r="C33" s="8"/>
      <c r="E33" s="12">
        <f>2+13+0</f>
        <v>15</v>
      </c>
      <c r="F33" s="12">
        <f>-11-7-1</f>
        <v>-19</v>
      </c>
      <c r="G33" s="12">
        <f>1-7-5</f>
        <v>-11</v>
      </c>
      <c r="H33" s="12">
        <f>-18+8+5</f>
        <v>-5</v>
      </c>
      <c r="I33" s="12">
        <f>-17-1</f>
        <v>-18</v>
      </c>
      <c r="J33" s="12">
        <f>6-4</f>
        <v>2</v>
      </c>
      <c r="K33" s="12">
        <f>-6-7</f>
        <v>-13</v>
      </c>
    </row>
    <row r="34" spans="1:16" customFormat="1" ht="17.399999999999999" hidden="1" customHeight="1" outlineLevel="1" x14ac:dyDescent="0.35">
      <c r="B34" s="17" t="s">
        <v>42</v>
      </c>
      <c r="C34" s="8"/>
      <c r="E34" s="12">
        <f>-6+1+5+2</f>
        <v>2</v>
      </c>
      <c r="F34" s="12">
        <f>4-3+3+5</f>
        <v>9</v>
      </c>
      <c r="G34" s="12">
        <f>6+1+28-14+7</f>
        <v>28</v>
      </c>
      <c r="H34" s="12">
        <f>-11-2-13+4</f>
        <v>-22</v>
      </c>
      <c r="I34" s="12">
        <v>-6</v>
      </c>
      <c r="J34" s="12">
        <v>-1</v>
      </c>
      <c r="K34" s="12">
        <f>-10-2</f>
        <v>-12</v>
      </c>
    </row>
    <row r="35" spans="1:16" customFormat="1" ht="17.399999999999999" customHeight="1" collapsed="1" x14ac:dyDescent="0.35">
      <c r="B35" s="8" t="s">
        <v>43</v>
      </c>
      <c r="C35" s="8"/>
      <c r="E35" s="18">
        <f>E33-E34</f>
        <v>13</v>
      </c>
      <c r="F35" s="18">
        <f>F33-F34</f>
        <v>-28</v>
      </c>
      <c r="G35" s="18">
        <f>G33-G34</f>
        <v>-39</v>
      </c>
      <c r="H35" s="18">
        <f t="shared" ref="H35:J35" si="15">H33-H34</f>
        <v>17</v>
      </c>
      <c r="I35" s="18">
        <f t="shared" si="15"/>
        <v>-12</v>
      </c>
      <c r="J35" s="18">
        <f t="shared" si="15"/>
        <v>3</v>
      </c>
      <c r="K35" s="18">
        <f>K33-K34</f>
        <v>-1</v>
      </c>
      <c r="L35" s="18">
        <f>L36*L16</f>
        <v>-6.0020623740444741</v>
      </c>
      <c r="M35" s="18">
        <f t="shared" ref="M35:P35" si="16">M36*M16</f>
        <v>-6.3893475546696452</v>
      </c>
      <c r="N35" s="18">
        <f t="shared" si="16"/>
        <v>-6.8016224474611695</v>
      </c>
      <c r="O35" s="18">
        <f t="shared" si="16"/>
        <v>-7.2404995223647068</v>
      </c>
      <c r="P35" s="18">
        <f t="shared" si="16"/>
        <v>-7.7076952945149246</v>
      </c>
    </row>
    <row r="36" spans="1:16" customFormat="1" ht="17.399999999999999" customHeight="1" x14ac:dyDescent="0.35">
      <c r="B36" s="9" t="s">
        <v>46</v>
      </c>
      <c r="C36" s="8"/>
      <c r="E36" s="19">
        <f>E35/E16</f>
        <v>6.0465116279069767E-2</v>
      </c>
      <c r="F36" s="19">
        <f t="shared" ref="F36:K36" si="17">F35/F16</f>
        <v>-9.6551724137931033E-2</v>
      </c>
      <c r="G36" s="19">
        <f t="shared" si="17"/>
        <v>-0.12703583061889251</v>
      </c>
      <c r="H36" s="19">
        <f t="shared" si="17"/>
        <v>3.8374717832957109E-2</v>
      </c>
      <c r="I36" s="19">
        <f t="shared" si="17"/>
        <v>-5.1502145922746781E-2</v>
      </c>
      <c r="J36" s="19">
        <f t="shared" si="17"/>
        <v>1.1857707509881422E-2</v>
      </c>
      <c r="K36" s="19">
        <f t="shared" si="17"/>
        <v>-4.2735042735042739E-3</v>
      </c>
      <c r="L36" s="19">
        <f>AVERAGE($E$36:$K$36)</f>
        <v>-2.4095094761595187E-2</v>
      </c>
      <c r="M36" s="19">
        <f t="shared" ref="M36:P36" si="18">AVERAGE($E$36:$K$36)</f>
        <v>-2.4095094761595187E-2</v>
      </c>
      <c r="N36" s="19">
        <f t="shared" si="18"/>
        <v>-2.4095094761595187E-2</v>
      </c>
      <c r="O36" s="19">
        <f t="shared" si="18"/>
        <v>-2.4095094761595187E-2</v>
      </c>
      <c r="P36" s="19">
        <f t="shared" si="18"/>
        <v>-2.4095094761595187E-2</v>
      </c>
    </row>
    <row r="37" spans="1:16" customFormat="1" ht="17.399999999999999" hidden="1" customHeight="1" outlineLevel="1" x14ac:dyDescent="0.35">
      <c r="B37" s="9" t="s">
        <v>53</v>
      </c>
      <c r="C37" s="8"/>
      <c r="E37" s="19">
        <f>E35/E22</f>
        <v>6.7010309278350513E-2</v>
      </c>
      <c r="F37" s="19">
        <f t="shared" ref="F37:K37" si="19">F35/F22</f>
        <v>-0.11965811965811966</v>
      </c>
      <c r="G37" s="19">
        <f t="shared" si="19"/>
        <v>-0.27857142857142858</v>
      </c>
      <c r="H37" s="19">
        <f t="shared" si="19"/>
        <v>3.8901601830663615E-2</v>
      </c>
      <c r="I37" s="19">
        <f t="shared" si="19"/>
        <v>-4.633204633204633E-2</v>
      </c>
      <c r="J37" s="19">
        <f t="shared" si="19"/>
        <v>1.1029411764705883E-2</v>
      </c>
      <c r="K37" s="19">
        <f t="shared" si="19"/>
        <v>-5.3763440860215058E-3</v>
      </c>
    </row>
    <row r="38" spans="1:16" customFormat="1" ht="17.399999999999999" hidden="1" customHeight="1" outlineLevel="1" collapsed="1" x14ac:dyDescent="0.35">
      <c r="B38" s="8"/>
      <c r="C38" s="8"/>
      <c r="E38" s="18"/>
      <c r="F38" s="18"/>
    </row>
    <row r="39" spans="1:16" customFormat="1" ht="17.399999999999999" hidden="1" customHeight="1" outlineLevel="1" x14ac:dyDescent="0.35">
      <c r="B39" s="8" t="s">
        <v>37</v>
      </c>
      <c r="E39" s="18">
        <f>E29+E35</f>
        <v>-3</v>
      </c>
      <c r="F39" s="18">
        <f>F29+F35</f>
        <v>50</v>
      </c>
      <c r="G39" s="18">
        <f>G29+G35</f>
        <v>84</v>
      </c>
      <c r="H39" s="18">
        <f>H29+H35</f>
        <v>-161</v>
      </c>
      <c r="I39" s="18">
        <f>I29+I35</f>
        <v>-178</v>
      </c>
      <c r="J39" s="18">
        <f>J29+J35</f>
        <v>66</v>
      </c>
      <c r="K39" s="18">
        <f>K29+K35</f>
        <v>-176</v>
      </c>
    </row>
    <row r="40" spans="1:16" customFormat="1" ht="17.399999999999999" hidden="1" customHeight="1" outlineLevel="1" x14ac:dyDescent="0.35">
      <c r="B40" s="9" t="s">
        <v>47</v>
      </c>
      <c r="E40" s="19">
        <f>E39/E22</f>
        <v>-1.5463917525773196E-2</v>
      </c>
      <c r="F40" s="19">
        <f>F39/F22</f>
        <v>0.21367521367521367</v>
      </c>
      <c r="G40" s="19">
        <f>G39/G22</f>
        <v>0.6</v>
      </c>
      <c r="H40" s="19">
        <f>H39/H22</f>
        <v>-0.36842105263157893</v>
      </c>
      <c r="I40" s="19">
        <f>I39/I22</f>
        <v>-0.68725868725868722</v>
      </c>
      <c r="J40" s="19">
        <f>J39/J22</f>
        <v>0.24264705882352941</v>
      </c>
      <c r="K40" s="19">
        <f>K39/K22</f>
        <v>-0.94623655913978499</v>
      </c>
    </row>
    <row r="41" spans="1:16" customFormat="1" ht="17.399999999999999" hidden="1" customHeight="1" outlineLevel="1" x14ac:dyDescent="0.35">
      <c r="B41" s="9"/>
      <c r="E41" s="19"/>
      <c r="F41" s="19"/>
    </row>
    <row r="42" spans="1:16" customFormat="1" ht="17.399999999999999" hidden="1" customHeight="1" outlineLevel="1" x14ac:dyDescent="0.35">
      <c r="A42" s="3" t="s">
        <v>14</v>
      </c>
      <c r="B42" s="7" t="s">
        <v>45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Format="1" ht="17.399999999999999" hidden="1" customHeight="1" outlineLevel="1" x14ac:dyDescent="0.3"/>
    <row r="44" spans="1:16" customFormat="1" ht="17.399999999999999" hidden="1" customHeight="1" outlineLevel="1" x14ac:dyDescent="0.35">
      <c r="B44" s="8" t="s">
        <v>38</v>
      </c>
      <c r="E44" s="12">
        <f>6092-241</f>
        <v>5851</v>
      </c>
      <c r="F44" s="12">
        <f>7150-397</f>
        <v>6753</v>
      </c>
      <c r="G44" s="12">
        <f>8359-276</f>
        <v>8083</v>
      </c>
      <c r="H44" s="12">
        <f>9405-859</f>
        <v>8546</v>
      </c>
      <c r="I44" s="12">
        <f>12256-301</f>
        <v>11955</v>
      </c>
      <c r="J44" s="12">
        <f>12562-350</f>
        <v>12212</v>
      </c>
      <c r="K44" s="12">
        <f>18976-1261</f>
        <v>17715</v>
      </c>
    </row>
    <row r="45" spans="1:16" customFormat="1" ht="17.399999999999999" hidden="1" customHeight="1" outlineLevel="1" x14ac:dyDescent="0.35">
      <c r="B45" s="8" t="s">
        <v>39</v>
      </c>
      <c r="E45" s="19">
        <f>E22/E44</f>
        <v>3.3156725346094686E-2</v>
      </c>
      <c r="F45" s="19">
        <f>F22/F44</f>
        <v>3.4651266103953797E-2</v>
      </c>
      <c r="G45" s="19">
        <f>G22/G44</f>
        <v>1.7320301868118271E-2</v>
      </c>
      <c r="H45" s="19">
        <f>H22/H44</f>
        <v>5.1135033934004211E-2</v>
      </c>
      <c r="I45" s="19">
        <f>I22/I44</f>
        <v>2.1664575491426183E-2</v>
      </c>
      <c r="J45" s="19">
        <f>J22/J44</f>
        <v>2.2273173927284638E-2</v>
      </c>
      <c r="K45" s="19">
        <f>K22/K44</f>
        <v>1.0499576629974599E-2</v>
      </c>
    </row>
    <row r="46" spans="1:16" customFormat="1" ht="17.399999999999999" customHeight="1" collapsed="1" x14ac:dyDescent="0.3"/>
    <row r="47" spans="1:16" customFormat="1" ht="17.399999999999999" customHeight="1" x14ac:dyDescent="0.35">
      <c r="B47" s="22" t="s">
        <v>54</v>
      </c>
      <c r="C47" s="23"/>
      <c r="D47" s="23"/>
      <c r="E47" s="23"/>
      <c r="F47" s="23"/>
      <c r="G47" s="23"/>
      <c r="H47" s="23"/>
      <c r="I47" s="23"/>
      <c r="J47" s="23"/>
      <c r="K47" s="23"/>
      <c r="L47" s="24">
        <f t="shared" ref="L47:P47" si="20">L22-L29-L35</f>
        <v>260.48039261599183</v>
      </c>
      <c r="M47" s="24">
        <f t="shared" si="20"/>
        <v>277.28798134413461</v>
      </c>
      <c r="N47" s="24">
        <f t="shared" si="20"/>
        <v>295.18008563222912</v>
      </c>
      <c r="O47" s="24">
        <f t="shared" si="20"/>
        <v>314.2266842273047</v>
      </c>
      <c r="P47" s="24">
        <f t="shared" si="20"/>
        <v>334.50227127959585</v>
      </c>
    </row>
    <row r="48" spans="1:16" customFormat="1" ht="17.399999999999999" customHeight="1" x14ac:dyDescent="0.35">
      <c r="B48" s="8" t="s">
        <v>56</v>
      </c>
      <c r="L48" s="10">
        <f>L47/(1+wacc)^L14</f>
        <v>241.18554871851094</v>
      </c>
      <c r="M48" s="10">
        <f>M47/(1+wacc)^M14</f>
        <v>237.72975080944323</v>
      </c>
      <c r="N48" s="10">
        <f>N47/(1+wacc)^N14</f>
        <v>234.32346888195801</v>
      </c>
      <c r="O48" s="10">
        <f>O47/(1+wacc)^O14</f>
        <v>230.96599345231337</v>
      </c>
      <c r="P48" s="10">
        <f>P47/(1+wacc)^P14</f>
        <v>227.65662520251908</v>
      </c>
    </row>
    <row r="49" spans="2:16" customFormat="1" ht="17.399999999999999" customHeight="1" x14ac:dyDescent="0.35">
      <c r="B49" s="8"/>
      <c r="L49" s="10"/>
      <c r="M49" s="10"/>
      <c r="N49" s="10"/>
      <c r="O49" s="10"/>
      <c r="P49" s="10"/>
    </row>
    <row r="50" spans="2:16" customFormat="1" ht="17.399999999999999" customHeight="1" x14ac:dyDescent="0.35">
      <c r="B50" s="8" t="s">
        <v>55</v>
      </c>
      <c r="O50" s="10"/>
      <c r="P50" s="10">
        <f>P47*(1+g)/(wacc-g)</f>
        <v>11707.579494785856</v>
      </c>
    </row>
    <row r="51" spans="2:16" customFormat="1" ht="17.399999999999999" customHeight="1" x14ac:dyDescent="0.35">
      <c r="B51" s="8" t="s">
        <v>57</v>
      </c>
      <c r="P51" s="10">
        <f>P50/(1+wacc)^P14</f>
        <v>7967.9818820881683</v>
      </c>
    </row>
    <row r="52" spans="2:16" customFormat="1" ht="17.399999999999999" customHeight="1" x14ac:dyDescent="0.3"/>
    <row r="53" spans="2:16" customFormat="1" ht="17.399999999999999" customHeight="1" x14ac:dyDescent="0.35">
      <c r="B53" s="8" t="s">
        <v>60</v>
      </c>
      <c r="P53" s="10">
        <f>P51+L48:P48</f>
        <v>8195.6385072906869</v>
      </c>
    </row>
    <row r="54" spans="2:16" customFormat="1" ht="17.399999999999999" customHeight="1" x14ac:dyDescent="0.35">
      <c r="B54" s="8" t="s">
        <v>61</v>
      </c>
      <c r="P54" s="10">
        <v>147</v>
      </c>
    </row>
    <row r="55" spans="2:16" customFormat="1" ht="17.399999999999999" customHeight="1" x14ac:dyDescent="0.35">
      <c r="B55" s="8" t="s">
        <v>62</v>
      </c>
      <c r="P55" s="10">
        <f>5294+33</f>
        <v>5327</v>
      </c>
    </row>
    <row r="56" spans="2:16" customFormat="1" ht="17.399999999999999" customHeight="1" x14ac:dyDescent="0.35">
      <c r="B56" s="8" t="s">
        <v>58</v>
      </c>
      <c r="P56" s="10">
        <f>P53+P54-P55</f>
        <v>3015.6385072906869</v>
      </c>
    </row>
    <row r="57" spans="2:16" customFormat="1" ht="17.399999999999999" customHeight="1" x14ac:dyDescent="0.35">
      <c r="B57" s="8" t="s">
        <v>59</v>
      </c>
      <c r="P57" s="21">
        <v>75.900000000000006</v>
      </c>
    </row>
    <row r="58" spans="2:16" customFormat="1" ht="17.399999999999999" customHeight="1" x14ac:dyDescent="0.35">
      <c r="B58" s="22" t="s">
        <v>63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7">
        <f>P56/P57</f>
        <v>39.731732638875975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Preview</vt:lpstr>
      <vt:lpstr>DCF</vt:lpstr>
      <vt:lpstr>g</vt:lpstr>
      <vt:lpstr>ReinvestmentRate</vt:lpstr>
      <vt:lpstr>TaxRate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gnanchand chelli</dc:creator>
  <cp:lastModifiedBy>gnanchand chelli</cp:lastModifiedBy>
  <dcterms:created xsi:type="dcterms:W3CDTF">2022-06-01T02:10:47Z</dcterms:created>
  <dcterms:modified xsi:type="dcterms:W3CDTF">2022-06-05T17:06:49Z</dcterms:modified>
</cp:coreProperties>
</file>